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31871A8B-1721-415C-B289-A057E298F4C5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SWBD risks" sheetId="89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81" l="1"/>
  <c r="K30" i="81"/>
  <c r="L30" i="81"/>
  <c r="M30" i="81"/>
  <c r="N30" i="81"/>
  <c r="O30" i="81"/>
  <c r="P30" i="81"/>
  <c r="Q30" i="81"/>
  <c r="R30" i="81"/>
  <c r="S30" i="81"/>
  <c r="T30" i="81"/>
  <c r="U30" i="81"/>
  <c r="V30" i="81"/>
  <c r="W30" i="81"/>
  <c r="X30" i="81"/>
  <c r="Y30" i="81"/>
  <c r="Z30" i="81"/>
  <c r="AA30" i="81"/>
  <c r="AB30" i="81"/>
  <c r="AC30" i="81"/>
  <c r="AD30" i="81"/>
  <c r="AE30" i="81"/>
  <c r="AF30" i="81"/>
  <c r="AG30" i="81"/>
  <c r="J31" i="81"/>
  <c r="K31" i="81"/>
  <c r="L31" i="81"/>
  <c r="M31" i="81"/>
  <c r="N31" i="81"/>
  <c r="O31" i="81"/>
  <c r="P31" i="81"/>
  <c r="Q31" i="81"/>
  <c r="R31" i="81"/>
  <c r="S31" i="81"/>
  <c r="T31" i="81"/>
  <c r="U31" i="81"/>
  <c r="V31" i="81"/>
  <c r="W31" i="81"/>
  <c r="X31" i="81"/>
  <c r="Y31" i="81"/>
  <c r="Z31" i="81"/>
  <c r="AA31" i="81"/>
  <c r="AB31" i="81"/>
  <c r="AC31" i="81"/>
  <c r="AD31" i="81"/>
  <c r="AE31" i="81"/>
  <c r="AF31" i="81"/>
  <c r="AG31" i="81"/>
  <c r="J32" i="81"/>
  <c r="K32" i="81"/>
  <c r="L32" i="81"/>
  <c r="M32" i="81"/>
  <c r="N32" i="81"/>
  <c r="O32" i="81"/>
  <c r="P32" i="81"/>
  <c r="Q32" i="81"/>
  <c r="R32" i="81"/>
  <c r="S32" i="81"/>
  <c r="T32" i="81"/>
  <c r="U32" i="81"/>
  <c r="V32" i="81"/>
  <c r="W32" i="81"/>
  <c r="X32" i="81"/>
  <c r="Y32" i="81"/>
  <c r="Z32" i="81"/>
  <c r="AA32" i="81"/>
  <c r="AB32" i="81"/>
  <c r="AC32" i="81"/>
  <c r="AD32" i="81"/>
  <c r="AE32" i="81"/>
  <c r="AF32" i="81"/>
  <c r="AG32" i="81"/>
  <c r="J33" i="81"/>
  <c r="K33" i="81"/>
  <c r="L33" i="81"/>
  <c r="M33" i="81"/>
  <c r="N33" i="81"/>
  <c r="O33" i="81"/>
  <c r="P33" i="81"/>
  <c r="Q33" i="81"/>
  <c r="R33" i="81"/>
  <c r="S33" i="81"/>
  <c r="T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AG33" i="81"/>
  <c r="J34" i="81"/>
  <c r="K34" i="81"/>
  <c r="L34" i="81"/>
  <c r="M34" i="81"/>
  <c r="N34" i="81"/>
  <c r="O34" i="81"/>
  <c r="P34" i="81"/>
  <c r="Q34" i="81"/>
  <c r="R34" i="81"/>
  <c r="S34" i="81"/>
  <c r="T34" i="81"/>
  <c r="U34" i="81"/>
  <c r="V34" i="81"/>
  <c r="W34" i="81"/>
  <c r="X34" i="81"/>
  <c r="Y34" i="81"/>
  <c r="Z34" i="81"/>
  <c r="AA34" i="81"/>
  <c r="AB34" i="81"/>
  <c r="AC34" i="81"/>
  <c r="AD34" i="81"/>
  <c r="AE34" i="81"/>
  <c r="AF34" i="81"/>
  <c r="AG34" i="81"/>
  <c r="I31" i="81"/>
  <c r="I32" i="81"/>
  <c r="I33" i="81"/>
  <c r="I34" i="81"/>
  <c r="C31" i="81"/>
  <c r="C32" i="81"/>
  <c r="C33" i="81"/>
  <c r="C34" i="81"/>
  <c r="J30" i="72"/>
  <c r="K30" i="72"/>
  <c r="L30" i="72"/>
  <c r="M30" i="72"/>
  <c r="N30" i="72"/>
  <c r="O30" i="72"/>
  <c r="P30" i="72"/>
  <c r="Q30" i="72"/>
  <c r="R30" i="72"/>
  <c r="S30" i="72"/>
  <c r="T30" i="72"/>
  <c r="U30" i="72"/>
  <c r="V30" i="72"/>
  <c r="W30" i="72"/>
  <c r="X30" i="72"/>
  <c r="Y30" i="72"/>
  <c r="Z30" i="72"/>
  <c r="AA30" i="72"/>
  <c r="AB30" i="72"/>
  <c r="AC30" i="72"/>
  <c r="AD30" i="72"/>
  <c r="AE30" i="72"/>
  <c r="AF30" i="72"/>
  <c r="AG30" i="72"/>
  <c r="J31" i="72"/>
  <c r="K31" i="72"/>
  <c r="L31" i="72"/>
  <c r="M31" i="72"/>
  <c r="N31" i="72"/>
  <c r="O31" i="72"/>
  <c r="P31" i="72"/>
  <c r="Q31" i="72"/>
  <c r="R31" i="72"/>
  <c r="S31" i="72"/>
  <c r="T31" i="72"/>
  <c r="U31" i="72"/>
  <c r="V31" i="72"/>
  <c r="W31" i="72"/>
  <c r="X31" i="72"/>
  <c r="Y31" i="72"/>
  <c r="Z31" i="72"/>
  <c r="AA31" i="72"/>
  <c r="AB31" i="72"/>
  <c r="AC31" i="72"/>
  <c r="AD31" i="72"/>
  <c r="AE31" i="72"/>
  <c r="AF31" i="72"/>
  <c r="AG31" i="72"/>
  <c r="J32" i="72"/>
  <c r="K32" i="72"/>
  <c r="L32" i="72"/>
  <c r="M32" i="72"/>
  <c r="N32" i="72"/>
  <c r="O32" i="72"/>
  <c r="P32" i="72"/>
  <c r="Q32" i="72"/>
  <c r="R32" i="72"/>
  <c r="S32" i="72"/>
  <c r="T32" i="72"/>
  <c r="U32" i="72"/>
  <c r="V32" i="72"/>
  <c r="W32" i="72"/>
  <c r="X32" i="72"/>
  <c r="Y32" i="72"/>
  <c r="Z32" i="72"/>
  <c r="AA32" i="72"/>
  <c r="AB32" i="72"/>
  <c r="AC32" i="72"/>
  <c r="AD32" i="72"/>
  <c r="AE32" i="72"/>
  <c r="AF32" i="72"/>
  <c r="AG32" i="72"/>
  <c r="J33" i="72"/>
  <c r="K33" i="72"/>
  <c r="L33" i="72"/>
  <c r="M33" i="72"/>
  <c r="N33" i="72"/>
  <c r="O33" i="72"/>
  <c r="P33" i="72"/>
  <c r="Q33" i="72"/>
  <c r="R33" i="72"/>
  <c r="S33" i="72"/>
  <c r="T33" i="72"/>
  <c r="U33" i="72"/>
  <c r="V33" i="72"/>
  <c r="W33" i="72"/>
  <c r="X33" i="72"/>
  <c r="Y33" i="72"/>
  <c r="Z33" i="72"/>
  <c r="AA33" i="72"/>
  <c r="AB33" i="72"/>
  <c r="AC33" i="72"/>
  <c r="AD33" i="72"/>
  <c r="AE33" i="72"/>
  <c r="AF33" i="72"/>
  <c r="AG33" i="72"/>
  <c r="J34" i="72"/>
  <c r="K34" i="72"/>
  <c r="L34" i="72"/>
  <c r="M34" i="72"/>
  <c r="N34" i="72"/>
  <c r="O34" i="72"/>
  <c r="P34" i="72"/>
  <c r="Q34" i="72"/>
  <c r="R34" i="72"/>
  <c r="S34" i="72"/>
  <c r="T34" i="72"/>
  <c r="U34" i="72"/>
  <c r="V34" i="72"/>
  <c r="W34" i="72"/>
  <c r="X34" i="72"/>
  <c r="Y34" i="72"/>
  <c r="Z34" i="72"/>
  <c r="AA34" i="72"/>
  <c r="AB34" i="72"/>
  <c r="AC34" i="72"/>
  <c r="AD34" i="72"/>
  <c r="AE34" i="72"/>
  <c r="AF34" i="72"/>
  <c r="AG34" i="72"/>
  <c r="I31" i="72"/>
  <c r="I32" i="72"/>
  <c r="I33" i="72"/>
  <c r="I34" i="72"/>
  <c r="F92" i="88" a="1"/>
  <c r="F92" i="88"/>
  <c r="G92" i="88" a="1"/>
  <c r="G92" i="88"/>
  <c r="H92" i="88" a="1"/>
  <c r="H92" i="88"/>
  <c r="I92" i="88" a="1"/>
  <c r="I92" i="88"/>
  <c r="J92" i="88" a="1"/>
  <c r="J92" i="88"/>
  <c r="K92" i="88" a="1"/>
  <c r="K92" i="88"/>
  <c r="L92" i="88" a="1"/>
  <c r="L92" i="88"/>
  <c r="M92" i="88" a="1"/>
  <c r="M92" i="88"/>
  <c r="N92" i="88" a="1"/>
  <c r="N92" i="88"/>
  <c r="O92" i="88" a="1"/>
  <c r="O92" i="88"/>
  <c r="P92" i="88" a="1"/>
  <c r="P92" i="88"/>
  <c r="Q92" i="88" a="1"/>
  <c r="Q92" i="88"/>
  <c r="R92" i="88" a="1"/>
  <c r="R92" i="88"/>
  <c r="S92" i="88" a="1"/>
  <c r="S92" i="88"/>
  <c r="T92" i="88" a="1"/>
  <c r="T92" i="88"/>
  <c r="U92" i="88" a="1"/>
  <c r="U92" i="88"/>
  <c r="V92" i="88" a="1"/>
  <c r="V92" i="88"/>
  <c r="W92" i="88" a="1"/>
  <c r="W92" i="88"/>
  <c r="X92" i="88" a="1"/>
  <c r="X92" i="88"/>
  <c r="Y92" i="88" a="1"/>
  <c r="Y92" i="88"/>
  <c r="Z92" i="88" a="1"/>
  <c r="Z92" i="88"/>
  <c r="AA92" i="88" a="1"/>
  <c r="AA92" i="88"/>
  <c r="AB92" i="88" a="1"/>
  <c r="AB92" i="88"/>
  <c r="AC92" i="88" a="1"/>
  <c r="AC92" i="88"/>
  <c r="F93" i="88" a="1"/>
  <c r="F93" i="88"/>
  <c r="G93" i="88" a="1"/>
  <c r="G93" i="88"/>
  <c r="H93" i="88" a="1"/>
  <c r="H93" i="88"/>
  <c r="I93" i="88" a="1"/>
  <c r="I93" i="88"/>
  <c r="J93" i="88" a="1"/>
  <c r="J93" i="88"/>
  <c r="K93" i="88" a="1"/>
  <c r="K93" i="88"/>
  <c r="L93" i="88" a="1"/>
  <c r="L93" i="88"/>
  <c r="M93" i="88" a="1"/>
  <c r="M93" i="88"/>
  <c r="N93" i="88" a="1"/>
  <c r="N93" i="88"/>
  <c r="O93" i="88" a="1"/>
  <c r="O93" i="88"/>
  <c r="P93" i="88" a="1"/>
  <c r="P93" i="88"/>
  <c r="Q93" i="88" a="1"/>
  <c r="Q93" i="88"/>
  <c r="R93" i="88" a="1"/>
  <c r="R93" i="88"/>
  <c r="S93" i="88" a="1"/>
  <c r="S93" i="88"/>
  <c r="T93" i="88" a="1"/>
  <c r="T93" i="88"/>
  <c r="U93" i="88" a="1"/>
  <c r="U93" i="88"/>
  <c r="V93" i="88" a="1"/>
  <c r="V93" i="88"/>
  <c r="W93" i="88" a="1"/>
  <c r="W93" i="88"/>
  <c r="X93" i="88" a="1"/>
  <c r="X93" i="88"/>
  <c r="Y93" i="88" a="1"/>
  <c r="Y93" i="88"/>
  <c r="Z93" i="88" a="1"/>
  <c r="Z93" i="88"/>
  <c r="AA93" i="88" a="1"/>
  <c r="AA93" i="88"/>
  <c r="AB93" i="88" a="1"/>
  <c r="AB93" i="88"/>
  <c r="AC93" i="88" a="1"/>
  <c r="AC93" i="88"/>
  <c r="F94" i="88" a="1"/>
  <c r="F94" i="88"/>
  <c r="G94" i="88" a="1"/>
  <c r="G94" i="88"/>
  <c r="H94" i="88" a="1"/>
  <c r="H94" i="88"/>
  <c r="I94" i="88" a="1"/>
  <c r="I94" i="88"/>
  <c r="J94" i="88" a="1"/>
  <c r="J94" i="88"/>
  <c r="K94" i="88" a="1"/>
  <c r="K94" i="88"/>
  <c r="L94" i="88" a="1"/>
  <c r="L94" i="88"/>
  <c r="M94" i="88" a="1"/>
  <c r="M94" i="88"/>
  <c r="N94" i="88" a="1"/>
  <c r="N94" i="88"/>
  <c r="O94" i="88" a="1"/>
  <c r="O94" i="88"/>
  <c r="P94" i="88" a="1"/>
  <c r="P94" i="88"/>
  <c r="Q94" i="88" a="1"/>
  <c r="Q94" i="88"/>
  <c r="R94" i="88" a="1"/>
  <c r="R94" i="88"/>
  <c r="S94" i="88" a="1"/>
  <c r="S94" i="88"/>
  <c r="T94" i="88" a="1"/>
  <c r="T94" i="88"/>
  <c r="U94" i="88" a="1"/>
  <c r="U94" i="88"/>
  <c r="V94" i="88" a="1"/>
  <c r="V94" i="88"/>
  <c r="W94" i="88" a="1"/>
  <c r="W94" i="88"/>
  <c r="X94" i="88" a="1"/>
  <c r="X94" i="88"/>
  <c r="Y94" i="88" a="1"/>
  <c r="Y94" i="88"/>
  <c r="Z94" i="88" a="1"/>
  <c r="Z94" i="88"/>
  <c r="AA94" i="88" a="1"/>
  <c r="AA94" i="88"/>
  <c r="AB94" i="88" a="1"/>
  <c r="AB94" i="88"/>
  <c r="AC94" i="88" a="1"/>
  <c r="AC94" i="88"/>
  <c r="F95" i="88" a="1"/>
  <c r="F95" i="88"/>
  <c r="G95" i="88" a="1"/>
  <c r="G95" i="88"/>
  <c r="H95" i="88" a="1"/>
  <c r="H95" i="88"/>
  <c r="I95" i="88" a="1"/>
  <c r="I95" i="88"/>
  <c r="J95" i="88" a="1"/>
  <c r="J95" i="88"/>
  <c r="K95" i="88" a="1"/>
  <c r="K95" i="88"/>
  <c r="L95" i="88" a="1"/>
  <c r="L95" i="88"/>
  <c r="M95" i="88" a="1"/>
  <c r="M95" i="88"/>
  <c r="N95" i="88" a="1"/>
  <c r="N95" i="88"/>
  <c r="O95" i="88" a="1"/>
  <c r="O95" i="88"/>
  <c r="P95" i="88" a="1"/>
  <c r="P95" i="88"/>
  <c r="Q95" i="88" a="1"/>
  <c r="Q95" i="88"/>
  <c r="R95" i="88" a="1"/>
  <c r="R95" i="88"/>
  <c r="S95" i="88" a="1"/>
  <c r="S95" i="88"/>
  <c r="T95" i="88" a="1"/>
  <c r="T95" i="88"/>
  <c r="U95" i="88" a="1"/>
  <c r="U95" i="88"/>
  <c r="V95" i="88" a="1"/>
  <c r="V95" i="88"/>
  <c r="W95" i="88" a="1"/>
  <c r="W95" i="88"/>
  <c r="X95" i="88" a="1"/>
  <c r="X95" i="88"/>
  <c r="Y95" i="88" a="1"/>
  <c r="Y95" i="88"/>
  <c r="Z95" i="88" a="1"/>
  <c r="Z95" i="88"/>
  <c r="AA95" i="88" a="1"/>
  <c r="AA95" i="88"/>
  <c r="AB95" i="88" a="1"/>
  <c r="AB95" i="88"/>
  <c r="AC95" i="88" a="1"/>
  <c r="AC95" i="88"/>
  <c r="F96" i="88" a="1"/>
  <c r="F96" i="88"/>
  <c r="G96" i="88" a="1"/>
  <c r="G96" i="88"/>
  <c r="H96" i="88" a="1"/>
  <c r="H96" i="88"/>
  <c r="I96" i="88" a="1"/>
  <c r="I96" i="88"/>
  <c r="J96" i="88" a="1"/>
  <c r="J96" i="88"/>
  <c r="K96" i="88" a="1"/>
  <c r="K96" i="88"/>
  <c r="L96" i="88" a="1"/>
  <c r="L96" i="88"/>
  <c r="M96" i="88" a="1"/>
  <c r="M96" i="88"/>
  <c r="N96" i="88" a="1"/>
  <c r="N96" i="88"/>
  <c r="O96" i="88" a="1"/>
  <c r="O96" i="88"/>
  <c r="P96" i="88" a="1"/>
  <c r="P96" i="88"/>
  <c r="Q96" i="88" a="1"/>
  <c r="Q96" i="88"/>
  <c r="R96" i="88" a="1"/>
  <c r="R96" i="88"/>
  <c r="S96" i="88" a="1"/>
  <c r="S96" i="88"/>
  <c r="T96" i="88" a="1"/>
  <c r="T96" i="88"/>
  <c r="U96" i="88" a="1"/>
  <c r="U96" i="88"/>
  <c r="V96" i="88" a="1"/>
  <c r="V96" i="88"/>
  <c r="W96" i="88" a="1"/>
  <c r="W96" i="88"/>
  <c r="X96" i="88" a="1"/>
  <c r="X96" i="88"/>
  <c r="Y96" i="88" a="1"/>
  <c r="Y96" i="88"/>
  <c r="Z96" i="88" a="1"/>
  <c r="Z96" i="88"/>
  <c r="AA96" i="88" a="1"/>
  <c r="AA96" i="88"/>
  <c r="AB96" i="88" a="1"/>
  <c r="AB96" i="88"/>
  <c r="AC96" i="88" a="1"/>
  <c r="AC96" i="88"/>
  <c r="F97" i="88" a="1"/>
  <c r="F97" i="88"/>
  <c r="G97" i="88" a="1"/>
  <c r="G97" i="88"/>
  <c r="H97" i="88" a="1"/>
  <c r="H97" i="88"/>
  <c r="I97" i="88" a="1"/>
  <c r="I97" i="88"/>
  <c r="J97" i="88" a="1"/>
  <c r="J97" i="88"/>
  <c r="K97" i="88" a="1"/>
  <c r="K97" i="88"/>
  <c r="L97" i="88" a="1"/>
  <c r="L97" i="88"/>
  <c r="M97" i="88" a="1"/>
  <c r="M97" i="88"/>
  <c r="N97" i="88" a="1"/>
  <c r="N97" i="88"/>
  <c r="O97" i="88" a="1"/>
  <c r="O97" i="88"/>
  <c r="P97" i="88" a="1"/>
  <c r="P97" i="88"/>
  <c r="Q97" i="88" a="1"/>
  <c r="Q97" i="88"/>
  <c r="R97" i="88" a="1"/>
  <c r="R97" i="88"/>
  <c r="S97" i="88" a="1"/>
  <c r="S97" i="88"/>
  <c r="T97" i="88" a="1"/>
  <c r="T97" i="88"/>
  <c r="U97" i="88" a="1"/>
  <c r="U97" i="88"/>
  <c r="V97" i="88" a="1"/>
  <c r="V97" i="88"/>
  <c r="W97" i="88" a="1"/>
  <c r="W97" i="88"/>
  <c r="X97" i="88" a="1"/>
  <c r="X97" i="88"/>
  <c r="Y97" i="88" a="1"/>
  <c r="Y97" i="88"/>
  <c r="Z97" i="88" a="1"/>
  <c r="Z97" i="88"/>
  <c r="AA97" i="88" a="1"/>
  <c r="AA97" i="88"/>
  <c r="AB97" i="88" a="1"/>
  <c r="AB97" i="88"/>
  <c r="AC97" i="88" a="1"/>
  <c r="AC97" i="88"/>
  <c r="F61" i="88" a="1"/>
  <c r="F61" i="88"/>
  <c r="G61" i="88" a="1"/>
  <c r="G61" i="88"/>
  <c r="H61" i="88" a="1"/>
  <c r="H61" i="88"/>
  <c r="I61" i="88" a="1"/>
  <c r="I61" i="88"/>
  <c r="J61" i="88" a="1"/>
  <c r="J61" i="88"/>
  <c r="K61" i="88" a="1"/>
  <c r="K61" i="88"/>
  <c r="L61" i="88" a="1"/>
  <c r="L61" i="88"/>
  <c r="M61" i="88" a="1"/>
  <c r="M61" i="88"/>
  <c r="N61" i="88" a="1"/>
  <c r="N61" i="88"/>
  <c r="O61" i="88" a="1"/>
  <c r="O61" i="88"/>
  <c r="P61" i="88" a="1"/>
  <c r="P61" i="88"/>
  <c r="Q61" i="88" a="1"/>
  <c r="Q61" i="88"/>
  <c r="R61" i="88" a="1"/>
  <c r="R61" i="88"/>
  <c r="S61" i="88" a="1"/>
  <c r="S61" i="88"/>
  <c r="T61" i="88" a="1"/>
  <c r="T61" i="88"/>
  <c r="U61" i="88" a="1"/>
  <c r="U61" i="88"/>
  <c r="V61" i="88" a="1"/>
  <c r="V61" i="88"/>
  <c r="W61" i="88" a="1"/>
  <c r="W61" i="88"/>
  <c r="X61" i="88" a="1"/>
  <c r="X61" i="88"/>
  <c r="Y61" i="88" a="1"/>
  <c r="Y61" i="88"/>
  <c r="Z61" i="88" a="1"/>
  <c r="Z61" i="88"/>
  <c r="AA61" i="88" a="1"/>
  <c r="AA61" i="88"/>
  <c r="AB61" i="88" a="1"/>
  <c r="AB61" i="88"/>
  <c r="AC61" i="88" a="1"/>
  <c r="AC61" i="88"/>
  <c r="F62" i="88" a="1"/>
  <c r="F62" i="88"/>
  <c r="G62" i="88" a="1"/>
  <c r="G62" i="88"/>
  <c r="H62" i="88" a="1"/>
  <c r="H62" i="88"/>
  <c r="I62" i="88" a="1"/>
  <c r="I62" i="88"/>
  <c r="J62" i="88" a="1"/>
  <c r="J62" i="88"/>
  <c r="K62" i="88" a="1"/>
  <c r="K62" i="88"/>
  <c r="L62" i="88" a="1"/>
  <c r="L62" i="88"/>
  <c r="M62" i="88" a="1"/>
  <c r="M62" i="88"/>
  <c r="N62" i="88" a="1"/>
  <c r="N62" i="88"/>
  <c r="O62" i="88" a="1"/>
  <c r="O62" i="88"/>
  <c r="P62" i="88" a="1"/>
  <c r="P62" i="88"/>
  <c r="Q62" i="88" a="1"/>
  <c r="Q62" i="88"/>
  <c r="R62" i="88" a="1"/>
  <c r="R62" i="88"/>
  <c r="S62" i="88" a="1"/>
  <c r="S62" i="88"/>
  <c r="T62" i="88" a="1"/>
  <c r="T62" i="88"/>
  <c r="U62" i="88" a="1"/>
  <c r="U62" i="88"/>
  <c r="V62" i="88" a="1"/>
  <c r="V62" i="88"/>
  <c r="W62" i="88" a="1"/>
  <c r="W62" i="88"/>
  <c r="X62" i="88" a="1"/>
  <c r="X62" i="88"/>
  <c r="Y62" i="88" a="1"/>
  <c r="Y62" i="88"/>
  <c r="Z62" i="88" a="1"/>
  <c r="Z62" i="88"/>
  <c r="AA62" i="88" a="1"/>
  <c r="AA62" i="88"/>
  <c r="AB62" i="88" a="1"/>
  <c r="AB62" i="88"/>
  <c r="AC62" i="88" a="1"/>
  <c r="AC62" i="88"/>
  <c r="F63" i="88" a="1"/>
  <c r="F63" i="88"/>
  <c r="G63" i="88" a="1"/>
  <c r="G63" i="88"/>
  <c r="H63" i="88" a="1"/>
  <c r="H63" i="88"/>
  <c r="I63" i="88" a="1"/>
  <c r="I63" i="88"/>
  <c r="J63" i="88" a="1"/>
  <c r="J63" i="88"/>
  <c r="K63" i="88" a="1"/>
  <c r="K63" i="88"/>
  <c r="L63" i="88" a="1"/>
  <c r="L63" i="88"/>
  <c r="M63" i="88" a="1"/>
  <c r="M63" i="88"/>
  <c r="N63" i="88" a="1"/>
  <c r="N63" i="88"/>
  <c r="O63" i="88" a="1"/>
  <c r="O63" i="88"/>
  <c r="P63" i="88" a="1"/>
  <c r="P63" i="88"/>
  <c r="Q63" i="88" a="1"/>
  <c r="Q63" i="88"/>
  <c r="R63" i="88" a="1"/>
  <c r="R63" i="88"/>
  <c r="S63" i="88" a="1"/>
  <c r="S63" i="88"/>
  <c r="T63" i="88" a="1"/>
  <c r="T63" i="88"/>
  <c r="U63" i="88" a="1"/>
  <c r="U63" i="88"/>
  <c r="V63" i="88" a="1"/>
  <c r="V63" i="88"/>
  <c r="W63" i="88" a="1"/>
  <c r="W63" i="88"/>
  <c r="X63" i="88" a="1"/>
  <c r="X63" i="88"/>
  <c r="Y63" i="88" a="1"/>
  <c r="Y63" i="88"/>
  <c r="Z63" i="88" a="1"/>
  <c r="Z63" i="88"/>
  <c r="AA63" i="88" a="1"/>
  <c r="AA63" i="88"/>
  <c r="AB63" i="88" a="1"/>
  <c r="AB63" i="88"/>
  <c r="AC63" i="88" a="1"/>
  <c r="AC63" i="88"/>
  <c r="F64" i="88" a="1"/>
  <c r="F64" i="88"/>
  <c r="G64" i="88" a="1"/>
  <c r="G64" i="88"/>
  <c r="H64" i="88" a="1"/>
  <c r="H64" i="88"/>
  <c r="I64" i="88" a="1"/>
  <c r="I64" i="88"/>
  <c r="J64" i="88" a="1"/>
  <c r="J64" i="88"/>
  <c r="K64" i="88" a="1"/>
  <c r="K64" i="88"/>
  <c r="L64" i="88" a="1"/>
  <c r="L64" i="88"/>
  <c r="M64" i="88" a="1"/>
  <c r="M64" i="88"/>
  <c r="N64" i="88" a="1"/>
  <c r="N64" i="88"/>
  <c r="O64" i="88" a="1"/>
  <c r="O64" i="88"/>
  <c r="P64" i="88" a="1"/>
  <c r="P64" i="88"/>
  <c r="Q64" i="88" a="1"/>
  <c r="Q64" i="88"/>
  <c r="R64" i="88" a="1"/>
  <c r="R64" i="88"/>
  <c r="S64" i="88" a="1"/>
  <c r="S64" i="88"/>
  <c r="T64" i="88" a="1"/>
  <c r="T64" i="88"/>
  <c r="U64" i="88" a="1"/>
  <c r="U64" i="88"/>
  <c r="V64" i="88" a="1"/>
  <c r="V64" i="88"/>
  <c r="W64" i="88" a="1"/>
  <c r="W64" i="88"/>
  <c r="X64" i="88" a="1"/>
  <c r="X64" i="88"/>
  <c r="Y64" i="88" a="1"/>
  <c r="Y64" i="88"/>
  <c r="Z64" i="88" a="1"/>
  <c r="Z64" i="88"/>
  <c r="AA64" i="88" a="1"/>
  <c r="AA64" i="88"/>
  <c r="AB64" i="88" a="1"/>
  <c r="AB64" i="88"/>
  <c r="AC64" i="88" a="1"/>
  <c r="AC64" i="88"/>
  <c r="F65" i="88" a="1"/>
  <c r="F65" i="88"/>
  <c r="G65" i="88" a="1"/>
  <c r="G65" i="88"/>
  <c r="H65" i="88" a="1"/>
  <c r="H65" i="88"/>
  <c r="I65" i="88" a="1"/>
  <c r="I65" i="88"/>
  <c r="J65" i="88" a="1"/>
  <c r="J65" i="88"/>
  <c r="K65" i="88" a="1"/>
  <c r="K65" i="88"/>
  <c r="L65" i="88" a="1"/>
  <c r="L65" i="88"/>
  <c r="M65" i="88" a="1"/>
  <c r="M65" i="88"/>
  <c r="N65" i="88" a="1"/>
  <c r="N65" i="88"/>
  <c r="O65" i="88" a="1"/>
  <c r="O65" i="88"/>
  <c r="P65" i="88" a="1"/>
  <c r="P65" i="88"/>
  <c r="Q65" i="88" a="1"/>
  <c r="Q65" i="88"/>
  <c r="R65" i="88" a="1"/>
  <c r="R65" i="88"/>
  <c r="S65" i="88" a="1"/>
  <c r="S65" i="88"/>
  <c r="T65" i="88" a="1"/>
  <c r="T65" i="88"/>
  <c r="U65" i="88" a="1"/>
  <c r="U65" i="88"/>
  <c r="V65" i="88" a="1"/>
  <c r="V65" i="88"/>
  <c r="W65" i="88" a="1"/>
  <c r="W65" i="88"/>
  <c r="X65" i="88" a="1"/>
  <c r="X65" i="88"/>
  <c r="Y65" i="88" a="1"/>
  <c r="Y65" i="88"/>
  <c r="Z65" i="88" a="1"/>
  <c r="Z65" i="88"/>
  <c r="AA65" i="88" a="1"/>
  <c r="AA65" i="88"/>
  <c r="AB65" i="88" a="1"/>
  <c r="AB65" i="88"/>
  <c r="AC65" i="88" a="1"/>
  <c r="AC65" i="88"/>
  <c r="F66" i="88" a="1"/>
  <c r="F66" i="88"/>
  <c r="G66" i="88" a="1"/>
  <c r="G66" i="88"/>
  <c r="H66" i="88" a="1"/>
  <c r="H66" i="88"/>
  <c r="I66" i="88" a="1"/>
  <c r="I66" i="88"/>
  <c r="J66" i="88" a="1"/>
  <c r="J66" i="88"/>
  <c r="K66" i="88" a="1"/>
  <c r="K66" i="88"/>
  <c r="L66" i="88" a="1"/>
  <c r="L66" i="88"/>
  <c r="M66" i="88" a="1"/>
  <c r="M66" i="88"/>
  <c r="N66" i="88" a="1"/>
  <c r="N66" i="88"/>
  <c r="O66" i="88" a="1"/>
  <c r="O66" i="88"/>
  <c r="P66" i="88" a="1"/>
  <c r="P66" i="88"/>
  <c r="Q66" i="88" a="1"/>
  <c r="Q66" i="88"/>
  <c r="R66" i="88" a="1"/>
  <c r="R66" i="88"/>
  <c r="S66" i="88" a="1"/>
  <c r="S66" i="88"/>
  <c r="T66" i="88" a="1"/>
  <c r="T66" i="88"/>
  <c r="U66" i="88" a="1"/>
  <c r="U66" i="88"/>
  <c r="V66" i="88" a="1"/>
  <c r="V66" i="88"/>
  <c r="W66" i="88" a="1"/>
  <c r="W66" i="88"/>
  <c r="X66" i="88" a="1"/>
  <c r="X66" i="88"/>
  <c r="Y66" i="88" a="1"/>
  <c r="Y66" i="88"/>
  <c r="Z66" i="88" a="1"/>
  <c r="Z66" i="88"/>
  <c r="AA66" i="88" a="1"/>
  <c r="AA66" i="88"/>
  <c r="AB66" i="88" a="1"/>
  <c r="AB66" i="88"/>
  <c r="AC66" i="88" a="1"/>
  <c r="AC66" i="88"/>
  <c r="C31" i="72"/>
  <c r="C32" i="72"/>
  <c r="C33" i="72"/>
  <c r="C34" i="72"/>
  <c r="J30" i="68"/>
  <c r="K30" i="68"/>
  <c r="L30" i="68"/>
  <c r="M30" i="68"/>
  <c r="N30" i="68"/>
  <c r="O30" i="68"/>
  <c r="P30" i="68"/>
  <c r="Q30" i="68"/>
  <c r="R30" i="68"/>
  <c r="S30" i="68"/>
  <c r="T30" i="68"/>
  <c r="U30" i="68"/>
  <c r="V30" i="68"/>
  <c r="W30" i="68"/>
  <c r="X30" i="68"/>
  <c r="Y30" i="68"/>
  <c r="Z30" i="68"/>
  <c r="AA30" i="68"/>
  <c r="AB30" i="68"/>
  <c r="AC30" i="68"/>
  <c r="AD30" i="68"/>
  <c r="AE30" i="68"/>
  <c r="AF30" i="68"/>
  <c r="AG30" i="68"/>
  <c r="J31" i="68"/>
  <c r="K31" i="68"/>
  <c r="L31" i="68"/>
  <c r="M31" i="68"/>
  <c r="N31" i="68"/>
  <c r="O31" i="68"/>
  <c r="P31" i="68"/>
  <c r="Q31" i="68"/>
  <c r="R31" i="68"/>
  <c r="S31" i="68"/>
  <c r="T31" i="68"/>
  <c r="U31" i="68"/>
  <c r="V31" i="68"/>
  <c r="W31" i="68"/>
  <c r="X31" i="68"/>
  <c r="Y31" i="68"/>
  <c r="Z31" i="68"/>
  <c r="AA31" i="68"/>
  <c r="AB31" i="68"/>
  <c r="AC31" i="68"/>
  <c r="AD31" i="68"/>
  <c r="AE31" i="68"/>
  <c r="AF31" i="68"/>
  <c r="AG31" i="68"/>
  <c r="J32" i="68"/>
  <c r="K32" i="68"/>
  <c r="L32" i="68"/>
  <c r="M32" i="68"/>
  <c r="N32" i="68"/>
  <c r="O32" i="68"/>
  <c r="P32" i="68"/>
  <c r="Q32" i="68"/>
  <c r="R32" i="68"/>
  <c r="S32" i="68"/>
  <c r="T32" i="68"/>
  <c r="U32" i="68"/>
  <c r="V32" i="68"/>
  <c r="W32" i="68"/>
  <c r="X32" i="68"/>
  <c r="Y32" i="68"/>
  <c r="Z32" i="68"/>
  <c r="AA32" i="68"/>
  <c r="AB32" i="68"/>
  <c r="AC32" i="68"/>
  <c r="AD32" i="68"/>
  <c r="AE32" i="68"/>
  <c r="AF32" i="68"/>
  <c r="AG32" i="68"/>
  <c r="J33" i="68"/>
  <c r="K33" i="68"/>
  <c r="L33" i="68"/>
  <c r="M33" i="68"/>
  <c r="N33" i="68"/>
  <c r="O33" i="68"/>
  <c r="P33" i="68"/>
  <c r="Q33" i="68"/>
  <c r="R33" i="68"/>
  <c r="S33" i="68"/>
  <c r="T33" i="68"/>
  <c r="U33" i="68"/>
  <c r="V33" i="68"/>
  <c r="W33" i="68"/>
  <c r="X33" i="68"/>
  <c r="Y33" i="68"/>
  <c r="Z33" i="68"/>
  <c r="AA33" i="68"/>
  <c r="AB33" i="68"/>
  <c r="AC33" i="68"/>
  <c r="AD33" i="68"/>
  <c r="AE33" i="68"/>
  <c r="AF33" i="68"/>
  <c r="AG33" i="68"/>
  <c r="J34" i="68"/>
  <c r="K34" i="68"/>
  <c r="L34" i="68"/>
  <c r="M34" i="68"/>
  <c r="N34" i="68"/>
  <c r="O34" i="68"/>
  <c r="P34" i="68"/>
  <c r="Q34" i="68"/>
  <c r="R34" i="68"/>
  <c r="S34" i="68"/>
  <c r="T34" i="68"/>
  <c r="U34" i="68"/>
  <c r="V34" i="68"/>
  <c r="W34" i="68"/>
  <c r="X34" i="68"/>
  <c r="Y34" i="68"/>
  <c r="Z34" i="68"/>
  <c r="AA34" i="68"/>
  <c r="AB34" i="68"/>
  <c r="AC34" i="68"/>
  <c r="AD34" i="68"/>
  <c r="AE34" i="68"/>
  <c r="AF34" i="68"/>
  <c r="AG34" i="68"/>
  <c r="I31" i="68"/>
  <c r="I32" i="68"/>
  <c r="I33" i="68"/>
  <c r="I34" i="68"/>
  <c r="C31" i="68"/>
  <c r="C32" i="68"/>
  <c r="C33" i="68"/>
  <c r="C34" i="68"/>
  <c r="N30" i="88" a="1"/>
  <c r="N30" i="88"/>
  <c r="O30" i="88" a="1"/>
  <c r="O30" i="88"/>
  <c r="R30" i="88" a="1"/>
  <c r="R30" i="88" s="1"/>
  <c r="T30" i="88" a="1"/>
  <c r="T30" i="88" s="1"/>
  <c r="F31" i="88" a="1"/>
  <c r="F31" i="88" s="1"/>
  <c r="K31" i="88" a="1"/>
  <c r="K31" i="88" s="1"/>
  <c r="T31" i="88" a="1"/>
  <c r="T31" i="88"/>
  <c r="U31" i="88" a="1"/>
  <c r="U31" i="88" s="1"/>
  <c r="K32" i="88" a="1"/>
  <c r="K32" i="88"/>
  <c r="L32" i="88" a="1"/>
  <c r="L32" i="88" s="1"/>
  <c r="N32" i="88" a="1"/>
  <c r="N32" i="88" s="1"/>
  <c r="U32" i="88" a="1"/>
  <c r="U32" i="88"/>
  <c r="V32" i="88" a="1"/>
  <c r="V32" i="88" s="1"/>
  <c r="H33" i="88" a="1"/>
  <c r="H33" i="88" s="1"/>
  <c r="L33" i="88" a="1"/>
  <c r="L33" i="88" s="1"/>
  <c r="P33" i="88" a="1"/>
  <c r="P33" i="88"/>
  <c r="Q33" i="88" a="1"/>
  <c r="Q33" i="88" s="1"/>
  <c r="AB33" i="88" a="1"/>
  <c r="AB33" i="88" s="1"/>
  <c r="F34" i="88" a="1"/>
  <c r="F34" i="88" s="1"/>
  <c r="M34" i="88" a="1"/>
  <c r="M34" i="88"/>
  <c r="Z34" i="88" a="1"/>
  <c r="Z34" i="88"/>
  <c r="T35" i="88" a="1"/>
  <c r="T35" i="88" s="1"/>
  <c r="X35" i="88" a="1"/>
  <c r="X35" i="88" s="1"/>
  <c r="E31" i="88" a="1"/>
  <c r="E31" i="88" s="1"/>
  <c r="E33" i="88" a="1"/>
  <c r="E33" i="88"/>
  <c r="E18" i="88"/>
  <c r="E32" i="88" s="1" a="1"/>
  <c r="E32" i="88" s="1"/>
  <c r="F18" i="88"/>
  <c r="F30" i="88" s="1" a="1"/>
  <c r="F30" i="88" s="1"/>
  <c r="G18" i="88"/>
  <c r="G30" i="88" s="1" a="1"/>
  <c r="G30" i="88" s="1"/>
  <c r="H18" i="88"/>
  <c r="H32" i="88" s="1" a="1"/>
  <c r="H32" i="88" s="1"/>
  <c r="I18" i="88"/>
  <c r="I32" i="88" s="1" a="1"/>
  <c r="I32" i="88" s="1"/>
  <c r="J18" i="88"/>
  <c r="K18" i="88"/>
  <c r="L18" i="88"/>
  <c r="M18" i="88"/>
  <c r="M33" i="88" s="1" a="1"/>
  <c r="M33" i="88" s="1"/>
  <c r="N18" i="88"/>
  <c r="N31" i="88" s="1" a="1"/>
  <c r="N31" i="88" s="1"/>
  <c r="O18" i="88"/>
  <c r="O34" i="88" s="1" a="1"/>
  <c r="O34" i="88" s="1"/>
  <c r="P18" i="88"/>
  <c r="P30" i="88" s="1" a="1"/>
  <c r="P30" i="88" s="1"/>
  <c r="Q18" i="88"/>
  <c r="Q30" i="88" s="1" a="1"/>
  <c r="Q30" i="88" s="1"/>
  <c r="R18" i="88"/>
  <c r="R32" i="88" s="1" a="1"/>
  <c r="R32" i="88" s="1"/>
  <c r="S18" i="88"/>
  <c r="S32" i="88" s="1" a="1"/>
  <c r="S32" i="88" s="1"/>
  <c r="T18" i="88"/>
  <c r="T34" i="88" s="1" a="1"/>
  <c r="T34" i="88" s="1"/>
  <c r="U18" i="88"/>
  <c r="V18" i="88"/>
  <c r="V33" i="88" s="1" a="1"/>
  <c r="V33" i="88" s="1"/>
  <c r="W18" i="88"/>
  <c r="X18" i="88"/>
  <c r="Y18" i="88"/>
  <c r="Y34" i="88" s="1" a="1"/>
  <c r="Y34" i="88" s="1"/>
  <c r="Z18" i="88"/>
  <c r="Z30" i="88" s="1" a="1"/>
  <c r="Z30" i="88" s="1"/>
  <c r="AA18" i="88"/>
  <c r="AA30" i="88" s="1" a="1"/>
  <c r="AA30" i="88" s="1"/>
  <c r="AB18" i="88"/>
  <c r="AB32" i="88" s="1" a="1"/>
  <c r="AB32" i="88" s="1"/>
  <c r="AC18" i="88"/>
  <c r="AC32" i="88" s="1" a="1"/>
  <c r="AC32" i="88" s="1"/>
  <c r="AC30" i="88" l="1" a="1"/>
  <c r="AC30" i="88" s="1"/>
  <c r="S35" i="88" a="1"/>
  <c r="S35" i="88" s="1"/>
  <c r="S34" i="88" a="1"/>
  <c r="S34" i="88" s="1"/>
  <c r="AA33" i="88" a="1"/>
  <c r="AA33" i="88" s="1"/>
  <c r="G33" i="88" a="1"/>
  <c r="G33" i="88" s="1"/>
  <c r="G32" i="88" a="1"/>
  <c r="G32" i="88" s="1"/>
  <c r="AB30" i="88" a="1"/>
  <c r="AB30" i="88" s="1"/>
  <c r="R35" i="88" a="1"/>
  <c r="R35" i="88" s="1"/>
  <c r="R34" i="88" a="1"/>
  <c r="R34" i="88" s="1"/>
  <c r="Z33" i="88" a="1"/>
  <c r="Z33" i="88" s="1"/>
  <c r="F33" i="88" a="1"/>
  <c r="F33" i="88" s="1"/>
  <c r="E30" i="88" a="1"/>
  <c r="E30" i="88" s="1"/>
  <c r="AA32" i="88" a="1"/>
  <c r="AA32" i="88" s="1"/>
  <c r="F32" i="88" a="1"/>
  <c r="F32" i="88" s="1"/>
  <c r="Y30" i="88" a="1"/>
  <c r="Y30" i="88" s="1"/>
  <c r="Q35" i="88" a="1"/>
  <c r="Q35" i="88" s="1"/>
  <c r="Q34" i="88" a="1"/>
  <c r="Q34" i="88" s="1"/>
  <c r="Y33" i="88" a="1"/>
  <c r="Y33" i="88" s="1"/>
  <c r="Z31" i="88" a="1"/>
  <c r="Z31" i="88" s="1"/>
  <c r="E35" i="88" a="1"/>
  <c r="E35" i="88" s="1"/>
  <c r="O35" i="88" a="1"/>
  <c r="O35" i="88" s="1"/>
  <c r="Z32" i="88" a="1"/>
  <c r="Z32" i="88" s="1"/>
  <c r="P34" i="88" a="1"/>
  <c r="P34" i="88" s="1"/>
  <c r="R33" i="88" a="1"/>
  <c r="R33" i="88" s="1"/>
  <c r="Y31" i="88" a="1"/>
  <c r="Y31" i="88" s="1"/>
  <c r="S30" i="88" a="1"/>
  <c r="S30" i="88" s="1"/>
  <c r="E34" i="88" a="1"/>
  <c r="E34" i="88" s="1"/>
  <c r="N35" i="88" a="1"/>
  <c r="N35" i="88" s="1"/>
  <c r="N34" i="88" a="1"/>
  <c r="N34" i="88" s="1"/>
  <c r="Y32" i="88" a="1"/>
  <c r="Y32" i="88" s="1"/>
  <c r="I35" i="88" a="1"/>
  <c r="I35" i="88" s="1"/>
  <c r="H35" i="88" a="1"/>
  <c r="H35" i="88" s="1"/>
  <c r="I34" i="88" a="1"/>
  <c r="I34" i="88" s="1"/>
  <c r="P31" i="88" a="1"/>
  <c r="P31" i="88" s="1"/>
  <c r="AC35" i="88" a="1"/>
  <c r="AC35" i="88" s="1"/>
  <c r="AC34" i="88" a="1"/>
  <c r="AC34" i="88" s="1"/>
  <c r="O33" i="88" a="1"/>
  <c r="O33" i="88" s="1"/>
  <c r="Q32" i="88" a="1"/>
  <c r="Q32" i="88" s="1"/>
  <c r="H34" i="88" a="1"/>
  <c r="H34" i="88" s="1"/>
  <c r="P32" i="88" a="1"/>
  <c r="P32" i="88" s="1"/>
  <c r="O31" i="88" a="1"/>
  <c r="O31" i="88" s="1"/>
  <c r="AB35" i="88" a="1"/>
  <c r="AB35" i="88" s="1"/>
  <c r="AB34" i="88" a="1"/>
  <c r="AB34" i="88" s="1"/>
  <c r="N33" i="88" a="1"/>
  <c r="N33" i="88" s="1"/>
  <c r="I30" i="88" a="1"/>
  <c r="I30" i="88" s="1"/>
  <c r="Y35" i="88" a="1"/>
  <c r="Y35" i="88" s="1"/>
  <c r="G34" i="88" a="1"/>
  <c r="G34" i="88" s="1"/>
  <c r="O32" i="88" a="1"/>
  <c r="O32" i="88" s="1"/>
  <c r="AA34" i="88" a="1"/>
  <c r="AA34" i="88" s="1"/>
  <c r="H30" i="88" a="1"/>
  <c r="H30" i="88" s="1"/>
  <c r="X33" i="88" a="1"/>
  <c r="X33" i="88" s="1"/>
  <c r="X31" i="88" a="1"/>
  <c r="X31" i="88" s="1"/>
  <c r="X32" i="88" a="1"/>
  <c r="X32" i="88" s="1"/>
  <c r="X30" i="88" a="1"/>
  <c r="X30" i="88" s="1"/>
  <c r="W31" i="88" a="1"/>
  <c r="W31" i="88" s="1"/>
  <c r="W32" i="88" a="1"/>
  <c r="W32" i="88" s="1"/>
  <c r="W30" i="88" a="1"/>
  <c r="W30" i="88" s="1"/>
  <c r="W35" i="88" a="1"/>
  <c r="W35" i="88" s="1"/>
  <c r="X34" i="88" a="1"/>
  <c r="X34" i="88" s="1"/>
  <c r="V31" i="88" a="1"/>
  <c r="V31" i="88" s="1"/>
  <c r="V34" i="88" a="1"/>
  <c r="V34" i="88" s="1"/>
  <c r="V30" i="88" a="1"/>
  <c r="V30" i="88" s="1"/>
  <c r="V35" i="88" a="1"/>
  <c r="V35" i="88" s="1"/>
  <c r="U34" i="88" a="1"/>
  <c r="U34" i="88" s="1"/>
  <c r="U30" i="88" a="1"/>
  <c r="U30" i="88" s="1"/>
  <c r="U35" i="88" a="1"/>
  <c r="U35" i="88" s="1"/>
  <c r="U33" i="88" a="1"/>
  <c r="U33" i="88" s="1"/>
  <c r="W34" i="88" a="1"/>
  <c r="W34" i="88" s="1"/>
  <c r="J34" i="88" a="1"/>
  <c r="J34" i="88" s="1"/>
  <c r="J32" i="88" a="1"/>
  <c r="J32" i="88" s="1"/>
  <c r="J33" i="88" a="1"/>
  <c r="J33" i="88" s="1"/>
  <c r="J31" i="88" a="1"/>
  <c r="J31" i="88" s="1"/>
  <c r="J35" i="88" a="1"/>
  <c r="J35" i="88" s="1"/>
  <c r="J30" i="88" a="1"/>
  <c r="J30" i="88" s="1"/>
  <c r="M31" i="88" a="1"/>
  <c r="M31" i="88" s="1"/>
  <c r="M32" i="88" a="1"/>
  <c r="M32" i="88" s="1"/>
  <c r="M30" i="88" a="1"/>
  <c r="M30" i="88" s="1"/>
  <c r="M35" i="88" a="1"/>
  <c r="M35" i="88" s="1"/>
  <c r="L31" i="88" a="1"/>
  <c r="L31" i="88" s="1"/>
  <c r="L34" i="88" a="1"/>
  <c r="L34" i="88" s="1"/>
  <c r="L30" i="88" a="1"/>
  <c r="L30" i="88" s="1"/>
  <c r="L35" i="88" a="1"/>
  <c r="L35" i="88" s="1"/>
  <c r="W33" i="88" a="1"/>
  <c r="W33" i="88" s="1"/>
  <c r="K34" i="88" a="1"/>
  <c r="K34" i="88" s="1"/>
  <c r="K30" i="88" a="1"/>
  <c r="K30" i="88" s="1"/>
  <c r="K35" i="88" a="1"/>
  <c r="K35" i="88" s="1"/>
  <c r="K33" i="88" a="1"/>
  <c r="K33" i="88" s="1"/>
  <c r="AC31" i="88" a="1"/>
  <c r="AC31" i="88" s="1"/>
  <c r="S31" i="88" a="1"/>
  <c r="S31" i="88" s="1"/>
  <c r="I31" i="88" a="1"/>
  <c r="I31" i="88" s="1"/>
  <c r="T33" i="88" a="1"/>
  <c r="T33" i="88" s="1"/>
  <c r="AB31" i="88" a="1"/>
  <c r="AB31" i="88" s="1"/>
  <c r="R31" i="88" a="1"/>
  <c r="R31" i="88" s="1"/>
  <c r="H31" i="88" a="1"/>
  <c r="H31" i="88" s="1"/>
  <c r="AC33" i="88" a="1"/>
  <c r="AC33" i="88" s="1"/>
  <c r="S33" i="88" a="1"/>
  <c r="S33" i="88" s="1"/>
  <c r="I33" i="88" a="1"/>
  <c r="I33" i="88" s="1"/>
  <c r="AA31" i="88" a="1"/>
  <c r="AA31" i="88" s="1"/>
  <c r="Q31" i="88" a="1"/>
  <c r="Q31" i="88" s="1"/>
  <c r="G31" i="88" a="1"/>
  <c r="G31" i="88" s="1"/>
  <c r="T32" i="88" a="1"/>
  <c r="T32" i="88" s="1"/>
  <c r="AA35" i="88" a="1"/>
  <c r="AA35" i="88" s="1"/>
  <c r="G35" i="88" a="1"/>
  <c r="G35" i="88" s="1"/>
  <c r="Z35" i="88" a="1"/>
  <c r="Z35" i="88" s="1"/>
  <c r="P35" i="88" a="1"/>
  <c r="P35" i="88" s="1"/>
  <c r="F35" i="88" a="1"/>
  <c r="F35" i="88" s="1"/>
  <c r="C30" i="72" l="1"/>
  <c r="B8" i="88"/>
  <c r="B34" i="87"/>
  <c r="B70" i="88" s="1"/>
  <c r="B18" i="87"/>
  <c r="B39" i="88" s="1"/>
  <c r="C30" i="81" l="1"/>
  <c r="C30" i="68"/>
  <c r="J14" i="72"/>
  <c r="K14" i="72"/>
  <c r="L14" i="72"/>
  <c r="M14" i="72"/>
  <c r="N14" i="72"/>
  <c r="O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J15" i="72"/>
  <c r="N15" i="72"/>
  <c r="O15" i="72"/>
  <c r="P15" i="72"/>
  <c r="Q15" i="72"/>
  <c r="R15" i="72"/>
  <c r="S15" i="72"/>
  <c r="T15" i="72"/>
  <c r="U15" i="72"/>
  <c r="V15" i="72"/>
  <c r="W15" i="72"/>
  <c r="X15" i="72"/>
  <c r="Y15" i="72"/>
  <c r="Z15" i="72"/>
  <c r="AA15" i="72"/>
  <c r="AB15" i="72"/>
  <c r="AC15" i="72"/>
  <c r="AD15" i="72"/>
  <c r="AE15" i="72"/>
  <c r="AF15" i="72"/>
  <c r="AG15" i="72"/>
  <c r="I15" i="72"/>
  <c r="I14" i="72"/>
  <c r="J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J15" i="81"/>
  <c r="N15" i="81"/>
  <c r="O15" i="81"/>
  <c r="P15" i="81"/>
  <c r="Q15" i="81"/>
  <c r="R15" i="81"/>
  <c r="S15" i="81"/>
  <c r="T15" i="81"/>
  <c r="U15" i="81"/>
  <c r="V15" i="81"/>
  <c r="W15" i="81"/>
  <c r="X15" i="81"/>
  <c r="Y15" i="81"/>
  <c r="Z15" i="81"/>
  <c r="AA15" i="81"/>
  <c r="AB15" i="81"/>
  <c r="AC15" i="81"/>
  <c r="AD15" i="81"/>
  <c r="AE15" i="81"/>
  <c r="AF15" i="81"/>
  <c r="AG15" i="81"/>
  <c r="I15" i="81"/>
  <c r="I14" i="81"/>
  <c r="A2" i="89" l="1"/>
  <c r="A1" i="89"/>
  <c r="AC89" i="88" l="1"/>
  <c r="AB89" i="88"/>
  <c r="AA89" i="88"/>
  <c r="Z89" i="88"/>
  <c r="Y89" i="88"/>
  <c r="X89" i="88"/>
  <c r="W89" i="88"/>
  <c r="V89" i="88"/>
  <c r="U89" i="88"/>
  <c r="T89" i="88"/>
  <c r="S89" i="88"/>
  <c r="R89" i="88"/>
  <c r="Q89" i="88"/>
  <c r="P89" i="88"/>
  <c r="O89" i="88"/>
  <c r="N89" i="88"/>
  <c r="M89" i="88"/>
  <c r="L89" i="88"/>
  <c r="K89" i="88"/>
  <c r="J89" i="88"/>
  <c r="I89" i="88"/>
  <c r="H89" i="88"/>
  <c r="G89" i="88"/>
  <c r="F89" i="88"/>
  <c r="E89" i="88"/>
  <c r="AF28" i="72"/>
  <c r="AE28" i="72"/>
  <c r="AD28" i="72"/>
  <c r="AB28" i="72"/>
  <c r="Y28" i="72"/>
  <c r="U28" i="72"/>
  <c r="T28" i="72"/>
  <c r="S28" i="72"/>
  <c r="F72" i="88"/>
  <c r="G72" i="88" s="1"/>
  <c r="H72" i="88" s="1"/>
  <c r="I72" i="88" s="1"/>
  <c r="J72" i="88" s="1"/>
  <c r="K72" i="88" s="1"/>
  <c r="L72" i="88" s="1"/>
  <c r="M72" i="88" s="1"/>
  <c r="N72" i="88" s="1"/>
  <c r="O72" i="88" s="1"/>
  <c r="P72" i="88" s="1"/>
  <c r="Q72" i="88" s="1"/>
  <c r="R72" i="88" s="1"/>
  <c r="S72" i="88" s="1"/>
  <c r="T72" i="88" s="1"/>
  <c r="U72" i="88" s="1"/>
  <c r="V72" i="88" s="1"/>
  <c r="W72" i="88" s="1"/>
  <c r="X72" i="88" s="1"/>
  <c r="Y72" i="88" s="1"/>
  <c r="Z72" i="88" s="1"/>
  <c r="AA72" i="88" s="1"/>
  <c r="AB72" i="88" s="1"/>
  <c r="AC72" i="88" s="1"/>
  <c r="AC58" i="88"/>
  <c r="AB58" i="88"/>
  <c r="AA58" i="88"/>
  <c r="Z58" i="88"/>
  <c r="Y58" i="88"/>
  <c r="X58" i="88"/>
  <c r="W58" i="88"/>
  <c r="V58" i="88"/>
  <c r="U58" i="88"/>
  <c r="T58" i="88"/>
  <c r="S58" i="88"/>
  <c r="R58" i="88"/>
  <c r="Q58" i="88"/>
  <c r="P58" i="88"/>
  <c r="O58" i="88"/>
  <c r="N58" i="88"/>
  <c r="M58" i="88"/>
  <c r="L58" i="88"/>
  <c r="K58" i="88"/>
  <c r="J58" i="88"/>
  <c r="I58" i="88"/>
  <c r="H58" i="88"/>
  <c r="G58" i="88"/>
  <c r="F58" i="88"/>
  <c r="E58" i="88"/>
  <c r="F41" i="88"/>
  <c r="G41" i="88" s="1"/>
  <c r="H41" i="88" s="1"/>
  <c r="I41" i="88" s="1"/>
  <c r="J41" i="88" s="1"/>
  <c r="K41" i="88" s="1"/>
  <c r="L41" i="88" s="1"/>
  <c r="M41" i="88" s="1"/>
  <c r="N41" i="88" s="1"/>
  <c r="O41" i="88" s="1"/>
  <c r="P41" i="88" s="1"/>
  <c r="Q41" i="88" s="1"/>
  <c r="R41" i="88" s="1"/>
  <c r="S41" i="88" s="1"/>
  <c r="T41" i="88" s="1"/>
  <c r="U41" i="88" s="1"/>
  <c r="V41" i="88" s="1"/>
  <c r="W41" i="88" s="1"/>
  <c r="X41" i="88" s="1"/>
  <c r="Y41" i="88" s="1"/>
  <c r="Z41" i="88" s="1"/>
  <c r="AA41" i="88" s="1"/>
  <c r="AB41" i="88" s="1"/>
  <c r="AC41" i="88" s="1"/>
  <c r="AC27" i="88"/>
  <c r="AB27" i="88"/>
  <c r="AA27" i="88"/>
  <c r="Z27" i="88"/>
  <c r="Y27" i="88"/>
  <c r="X27" i="88"/>
  <c r="W27" i="88"/>
  <c r="V27" i="88"/>
  <c r="U27" i="88"/>
  <c r="T27" i="88"/>
  <c r="S27" i="88"/>
  <c r="R27" i="88"/>
  <c r="Q27" i="88"/>
  <c r="P27" i="88"/>
  <c r="O27" i="88"/>
  <c r="N27" i="88"/>
  <c r="M27" i="88"/>
  <c r="L27" i="88"/>
  <c r="K27" i="88"/>
  <c r="J27" i="88"/>
  <c r="I27" i="88"/>
  <c r="H27" i="88"/>
  <c r="G27" i="88"/>
  <c r="F27" i="88"/>
  <c r="E27" i="88"/>
  <c r="AE28" i="68"/>
  <c r="AD28" i="68"/>
  <c r="AC28" i="68"/>
  <c r="AB28" i="68"/>
  <c r="Z28" i="68"/>
  <c r="Y28" i="68"/>
  <c r="X28" i="68"/>
  <c r="W28" i="68"/>
  <c r="V28" i="68"/>
  <c r="U28" i="68"/>
  <c r="T28" i="68"/>
  <c r="S28" i="68"/>
  <c r="N28" i="68"/>
  <c r="F10" i="88"/>
  <c r="G10" i="88" s="1"/>
  <c r="H10" i="88" s="1"/>
  <c r="I10" i="88" s="1"/>
  <c r="J10" i="88" s="1"/>
  <c r="K10" i="88" s="1"/>
  <c r="L10" i="88" s="1"/>
  <c r="M10" i="88" s="1"/>
  <c r="N10" i="88" s="1"/>
  <c r="O10" i="88" s="1"/>
  <c r="P10" i="88" s="1"/>
  <c r="Q10" i="88" s="1"/>
  <c r="R10" i="88" s="1"/>
  <c r="S10" i="88" s="1"/>
  <c r="T10" i="88" s="1"/>
  <c r="U10" i="88" s="1"/>
  <c r="V10" i="88" s="1"/>
  <c r="W10" i="88" s="1"/>
  <c r="X10" i="88" s="1"/>
  <c r="Y10" i="88" s="1"/>
  <c r="Z10" i="88" s="1"/>
  <c r="AA10" i="88" s="1"/>
  <c r="AB10" i="88" s="1"/>
  <c r="AC10" i="88" s="1"/>
  <c r="A2" i="88"/>
  <c r="A1" i="88"/>
  <c r="T46" i="87"/>
  <c r="T47" i="87" s="1"/>
  <c r="X54" i="72" s="1"/>
  <c r="S46" i="87"/>
  <c r="S47" i="87" s="1"/>
  <c r="W54" i="72" s="1"/>
  <c r="AA46" i="87"/>
  <c r="AA47" i="87" s="1"/>
  <c r="AE54" i="72" s="1"/>
  <c r="Z46" i="87"/>
  <c r="Z47" i="87" s="1"/>
  <c r="AD54" i="72" s="1"/>
  <c r="Y46" i="87"/>
  <c r="Y47" i="87" s="1"/>
  <c r="AC54" i="72" s="1"/>
  <c r="X46" i="87"/>
  <c r="X47" i="87" s="1"/>
  <c r="AB54" i="72" s="1"/>
  <c r="W46" i="87"/>
  <c r="W47" i="87" s="1"/>
  <c r="AA54" i="72" s="1"/>
  <c r="V46" i="87"/>
  <c r="V47" i="87" s="1"/>
  <c r="Z54" i="72" s="1"/>
  <c r="N46" i="87"/>
  <c r="N47" i="87" s="1"/>
  <c r="R54" i="72" s="1"/>
  <c r="J46" i="87"/>
  <c r="J47" i="87" s="1"/>
  <c r="N54" i="72" s="1"/>
  <c r="F46" i="87"/>
  <c r="F47" i="87" s="1"/>
  <c r="J54" i="72" s="1"/>
  <c r="E46" i="87"/>
  <c r="E47" i="87" s="1"/>
  <c r="I54" i="72" s="1"/>
  <c r="F42" i="87"/>
  <c r="G42" i="87" s="1"/>
  <c r="H42" i="87" s="1"/>
  <c r="I42" i="87" s="1"/>
  <c r="J42" i="87" s="1"/>
  <c r="K42" i="87" s="1"/>
  <c r="L42" i="87" s="1"/>
  <c r="M42" i="87" s="1"/>
  <c r="N42" i="87" s="1"/>
  <c r="O42" i="87" s="1"/>
  <c r="P42" i="87" s="1"/>
  <c r="Q42" i="87" s="1"/>
  <c r="R42" i="87" s="1"/>
  <c r="S42" i="87" s="1"/>
  <c r="T42" i="87" s="1"/>
  <c r="U42" i="87" s="1"/>
  <c r="V42" i="87" s="1"/>
  <c r="W42" i="87" s="1"/>
  <c r="X42" i="87" s="1"/>
  <c r="Y42" i="87" s="1"/>
  <c r="Z42" i="87" s="1"/>
  <c r="AA42" i="87" s="1"/>
  <c r="AB42" i="87" s="1"/>
  <c r="AC42" i="87" s="1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K40" i="87"/>
  <c r="J40" i="87"/>
  <c r="F40" i="87"/>
  <c r="E40" i="87"/>
  <c r="F37" i="87"/>
  <c r="G37" i="87" s="1"/>
  <c r="H37" i="87" s="1"/>
  <c r="I37" i="87" s="1"/>
  <c r="J37" i="87" s="1"/>
  <c r="K37" i="87" s="1"/>
  <c r="L37" i="87" s="1"/>
  <c r="M37" i="87" s="1"/>
  <c r="N37" i="87" s="1"/>
  <c r="O37" i="87" s="1"/>
  <c r="P37" i="87" s="1"/>
  <c r="Q37" i="87" s="1"/>
  <c r="R37" i="87" s="1"/>
  <c r="S37" i="87" s="1"/>
  <c r="T37" i="87" s="1"/>
  <c r="U37" i="87" s="1"/>
  <c r="V37" i="87" s="1"/>
  <c r="W37" i="87" s="1"/>
  <c r="X37" i="87" s="1"/>
  <c r="Y37" i="87" s="1"/>
  <c r="Z37" i="87" s="1"/>
  <c r="AA37" i="87" s="1"/>
  <c r="AB37" i="87" s="1"/>
  <c r="AC37" i="87" s="1"/>
  <c r="AA30" i="87"/>
  <c r="AA31" i="87" s="1"/>
  <c r="AE54" i="81" s="1"/>
  <c r="Z30" i="87"/>
  <c r="Z31" i="87" s="1"/>
  <c r="AD54" i="81" s="1"/>
  <c r="Y30" i="87"/>
  <c r="Y31" i="87" s="1"/>
  <c r="AC54" i="81" s="1"/>
  <c r="X30" i="87"/>
  <c r="X31" i="87" s="1"/>
  <c r="AB54" i="81" s="1"/>
  <c r="T30" i="87"/>
  <c r="T31" i="87" s="1"/>
  <c r="X54" i="81" s="1"/>
  <c r="S30" i="87"/>
  <c r="S31" i="87" s="1"/>
  <c r="W54" i="81" s="1"/>
  <c r="R30" i="87"/>
  <c r="R31" i="87" s="1"/>
  <c r="V54" i="81" s="1"/>
  <c r="Q30" i="87"/>
  <c r="Q31" i="87" s="1"/>
  <c r="U54" i="81" s="1"/>
  <c r="P30" i="87"/>
  <c r="P31" i="87" s="1"/>
  <c r="T54" i="81" s="1"/>
  <c r="N30" i="87"/>
  <c r="N31" i="87" s="1"/>
  <c r="R54" i="81" s="1"/>
  <c r="J30" i="87"/>
  <c r="J31" i="87" s="1"/>
  <c r="N54" i="81" s="1"/>
  <c r="H30" i="87"/>
  <c r="H31" i="87" s="1"/>
  <c r="L54" i="81" s="1"/>
  <c r="G30" i="87"/>
  <c r="G31" i="87" s="1"/>
  <c r="K54" i="81" s="1"/>
  <c r="E30" i="87"/>
  <c r="E31" i="87" s="1"/>
  <c r="I54" i="81" s="1"/>
  <c r="AB46" i="87"/>
  <c r="AB47" i="87" s="1"/>
  <c r="AF54" i="72" s="1"/>
  <c r="W30" i="87"/>
  <c r="W31" i="87" s="1"/>
  <c r="AA54" i="81" s="1"/>
  <c r="V30" i="87"/>
  <c r="V31" i="87" s="1"/>
  <c r="Z54" i="81" s="1"/>
  <c r="U30" i="87"/>
  <c r="U31" i="87" s="1"/>
  <c r="Y54" i="81" s="1"/>
  <c r="R46" i="87"/>
  <c r="R47" i="87" s="1"/>
  <c r="V54" i="72" s="1"/>
  <c r="Q46" i="87"/>
  <c r="Q47" i="87" s="1"/>
  <c r="U54" i="72" s="1"/>
  <c r="P46" i="87"/>
  <c r="P47" i="87" s="1"/>
  <c r="T54" i="72" s="1"/>
  <c r="O30" i="87"/>
  <c r="O31" i="87" s="1"/>
  <c r="S54" i="81" s="1"/>
  <c r="I46" i="87"/>
  <c r="I47" i="87" s="1"/>
  <c r="M54" i="72" s="1"/>
  <c r="H46" i="87"/>
  <c r="H47" i="87" s="1"/>
  <c r="L54" i="72" s="1"/>
  <c r="F30" i="87"/>
  <c r="F31" i="87" s="1"/>
  <c r="J54" i="81" s="1"/>
  <c r="F26" i="87"/>
  <c r="G26" i="87" s="1"/>
  <c r="H26" i="87" s="1"/>
  <c r="I26" i="87" s="1"/>
  <c r="J26" i="87" s="1"/>
  <c r="K26" i="87" s="1"/>
  <c r="L26" i="87" s="1"/>
  <c r="M26" i="87" s="1"/>
  <c r="N26" i="87" s="1"/>
  <c r="O26" i="87" s="1"/>
  <c r="P26" i="87" s="1"/>
  <c r="Q26" i="87" s="1"/>
  <c r="R26" i="87" s="1"/>
  <c r="S26" i="87" s="1"/>
  <c r="T26" i="87" s="1"/>
  <c r="U26" i="87" s="1"/>
  <c r="V26" i="87" s="1"/>
  <c r="W26" i="87" s="1"/>
  <c r="X26" i="87" s="1"/>
  <c r="Y26" i="87" s="1"/>
  <c r="Z26" i="87" s="1"/>
  <c r="AA26" i="87" s="1"/>
  <c r="AB26" i="87" s="1"/>
  <c r="AC26" i="87" s="1"/>
  <c r="AC24" i="87"/>
  <c r="AB24" i="87"/>
  <c r="AA24" i="87"/>
  <c r="Z24" i="87"/>
  <c r="Y24" i="87"/>
  <c r="X24" i="87"/>
  <c r="W24" i="87"/>
  <c r="V24" i="87"/>
  <c r="U24" i="87"/>
  <c r="T24" i="87"/>
  <c r="S24" i="87"/>
  <c r="R24" i="87"/>
  <c r="Q24" i="87"/>
  <c r="P24" i="87"/>
  <c r="O24" i="87"/>
  <c r="N24" i="87"/>
  <c r="M24" i="87"/>
  <c r="L24" i="87"/>
  <c r="K24" i="87"/>
  <c r="J24" i="87"/>
  <c r="F24" i="87"/>
  <c r="E24" i="87"/>
  <c r="F21" i="87"/>
  <c r="G21" i="87" s="1"/>
  <c r="H21" i="87" s="1"/>
  <c r="I21" i="87" s="1"/>
  <c r="J21" i="87" s="1"/>
  <c r="K21" i="87" s="1"/>
  <c r="L21" i="87" s="1"/>
  <c r="M21" i="87" s="1"/>
  <c r="N21" i="87" s="1"/>
  <c r="O21" i="87" s="1"/>
  <c r="P21" i="87" s="1"/>
  <c r="Q21" i="87" s="1"/>
  <c r="R21" i="87" s="1"/>
  <c r="S21" i="87" s="1"/>
  <c r="T21" i="87" s="1"/>
  <c r="U21" i="87" s="1"/>
  <c r="V21" i="87" s="1"/>
  <c r="W21" i="87" s="1"/>
  <c r="X21" i="87" s="1"/>
  <c r="Y21" i="87" s="1"/>
  <c r="Z21" i="87" s="1"/>
  <c r="AA21" i="87" s="1"/>
  <c r="AB21" i="87" s="1"/>
  <c r="AC21" i="87" s="1"/>
  <c r="M15" i="81"/>
  <c r="AC15" i="87"/>
  <c r="AB15" i="87"/>
  <c r="AA15" i="87"/>
  <c r="Z15" i="87"/>
  <c r="Y15" i="87"/>
  <c r="X15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I15" i="87"/>
  <c r="H15" i="87"/>
  <c r="G15" i="87"/>
  <c r="F15" i="87"/>
  <c r="E15" i="87"/>
  <c r="F11" i="87"/>
  <c r="G11" i="87" s="1"/>
  <c r="H11" i="87" s="1"/>
  <c r="I11" i="87" s="1"/>
  <c r="J11" i="87" s="1"/>
  <c r="K11" i="87" s="1"/>
  <c r="L11" i="87" s="1"/>
  <c r="M11" i="87" s="1"/>
  <c r="N11" i="87" s="1"/>
  <c r="O11" i="87" s="1"/>
  <c r="P11" i="87" s="1"/>
  <c r="Q11" i="87" s="1"/>
  <c r="R11" i="87" s="1"/>
  <c r="S11" i="87" s="1"/>
  <c r="T11" i="87" s="1"/>
  <c r="U11" i="87" s="1"/>
  <c r="V11" i="87" s="1"/>
  <c r="W11" i="87" s="1"/>
  <c r="X11" i="87" s="1"/>
  <c r="Y11" i="87" s="1"/>
  <c r="Z11" i="87" s="1"/>
  <c r="AA11" i="87" s="1"/>
  <c r="AB11" i="87" s="1"/>
  <c r="AC11" i="87" s="1"/>
  <c r="A2" i="87"/>
  <c r="A1" i="87"/>
  <c r="I30" i="68" l="1"/>
  <c r="AC28" i="72"/>
  <c r="Y98" i="88"/>
  <c r="L40" i="87"/>
  <c r="P14" i="72"/>
  <c r="I24" i="87"/>
  <c r="M14" i="81"/>
  <c r="I40" i="87"/>
  <c r="M15" i="72"/>
  <c r="K15" i="81"/>
  <c r="L15" i="81"/>
  <c r="AC36" i="88"/>
  <c r="AG28" i="68"/>
  <c r="AC80" i="88"/>
  <c r="O28" i="68"/>
  <c r="Q80" i="88"/>
  <c r="P28" i="68"/>
  <c r="AA36" i="88"/>
  <c r="J49" i="88"/>
  <c r="Q28" i="72"/>
  <c r="Q28" i="68"/>
  <c r="O49" i="88"/>
  <c r="J28" i="68"/>
  <c r="X98" i="88"/>
  <c r="T49" i="88"/>
  <c r="K49" i="88"/>
  <c r="L49" i="88"/>
  <c r="AB80" i="88"/>
  <c r="M49" i="88"/>
  <c r="X80" i="88"/>
  <c r="S36" i="88"/>
  <c r="Y80" i="88"/>
  <c r="Y49" i="88"/>
  <c r="Z49" i="88"/>
  <c r="T36" i="88"/>
  <c r="AA49" i="88"/>
  <c r="U36" i="88"/>
  <c r="S49" i="88"/>
  <c r="N49" i="88"/>
  <c r="AC49" i="88"/>
  <c r="L28" i="68"/>
  <c r="V36" i="88"/>
  <c r="O80" i="88"/>
  <c r="AB30" i="87"/>
  <c r="AB31" i="87" s="1"/>
  <c r="AF54" i="81" s="1"/>
  <c r="X36" i="88"/>
  <c r="P80" i="88"/>
  <c r="M46" i="87"/>
  <c r="M47" i="87" s="1"/>
  <c r="Q54" i="72" s="1"/>
  <c r="M30" i="87"/>
  <c r="M31" i="87" s="1"/>
  <c r="Q54" i="81" s="1"/>
  <c r="AA80" i="88"/>
  <c r="O36" i="88"/>
  <c r="Y36" i="88"/>
  <c r="S80" i="88"/>
  <c r="U80" i="88"/>
  <c r="Z80" i="88"/>
  <c r="R80" i="88"/>
  <c r="T80" i="88"/>
  <c r="U46" i="87"/>
  <c r="U47" i="87" s="1"/>
  <c r="Y54" i="72" s="1"/>
  <c r="V80" i="88"/>
  <c r="L46" i="87"/>
  <c r="L47" i="87" s="1"/>
  <c r="P54" i="72" s="1"/>
  <c r="L30" i="87"/>
  <c r="L31" i="87" s="1"/>
  <c r="P54" i="81" s="1"/>
  <c r="U49" i="88"/>
  <c r="Z36" i="88"/>
  <c r="AB49" i="88"/>
  <c r="AC30" i="87"/>
  <c r="AC31" i="87" s="1"/>
  <c r="AG54" i="81" s="1"/>
  <c r="AC46" i="87"/>
  <c r="AC47" i="87" s="1"/>
  <c r="AG54" i="72" s="1"/>
  <c r="U98" i="88"/>
  <c r="R36" i="88"/>
  <c r="K46" i="87"/>
  <c r="K47" i="87" s="1"/>
  <c r="O54" i="72" s="1"/>
  <c r="K30" i="87"/>
  <c r="K31" i="87" s="1"/>
  <c r="O54" i="81" s="1"/>
  <c r="W80" i="88"/>
  <c r="P49" i="88"/>
  <c r="Q36" i="88"/>
  <c r="Q49" i="88"/>
  <c r="R49" i="88"/>
  <c r="X49" i="88"/>
  <c r="K28" i="68"/>
  <c r="W49" i="88"/>
  <c r="I30" i="87"/>
  <c r="I31" i="87" s="1"/>
  <c r="M54" i="81" s="1"/>
  <c r="O46" i="87"/>
  <c r="O47" i="87" s="1"/>
  <c r="S54" i="72" s="1"/>
  <c r="V49" i="88"/>
  <c r="G46" i="87"/>
  <c r="G47" i="87" s="1"/>
  <c r="K54" i="72" s="1"/>
  <c r="Z28" i="81" l="1"/>
  <c r="O28" i="81"/>
  <c r="U28" i="81"/>
  <c r="AG28" i="81"/>
  <c r="R28" i="81"/>
  <c r="X28" i="81"/>
  <c r="AF28" i="81"/>
  <c r="W28" i="81"/>
  <c r="Y28" i="81"/>
  <c r="P98" i="88"/>
  <c r="O98" i="88"/>
  <c r="H24" i="87"/>
  <c r="L14" i="81"/>
  <c r="G40" i="87"/>
  <c r="K15" i="72"/>
  <c r="H40" i="87"/>
  <c r="L15" i="72"/>
  <c r="G24" i="87"/>
  <c r="K14" i="81"/>
  <c r="M40" i="87"/>
  <c r="Q14" i="72"/>
  <c r="N40" i="87"/>
  <c r="R14" i="72"/>
  <c r="AB36" i="88"/>
  <c r="AF28" i="68"/>
  <c r="K36" i="88"/>
  <c r="Z98" i="88"/>
  <c r="N36" i="88"/>
  <c r="R28" i="68"/>
  <c r="E36" i="88"/>
  <c r="I28" i="68"/>
  <c r="V98" i="88"/>
  <c r="Z28" i="72"/>
  <c r="R67" i="88"/>
  <c r="V28" i="81"/>
  <c r="Q98" i="88"/>
  <c r="AB98" i="88"/>
  <c r="W98" i="88"/>
  <c r="AA28" i="72"/>
  <c r="W36" i="88"/>
  <c r="AA28" i="68"/>
  <c r="I36" i="88"/>
  <c r="M28" i="68"/>
  <c r="R98" i="88"/>
  <c r="V28" i="72"/>
  <c r="S28" i="81"/>
  <c r="P36" i="88"/>
  <c r="F36" i="88"/>
  <c r="L36" i="88"/>
  <c r="AA98" i="88"/>
  <c r="AC98" i="88"/>
  <c r="AG28" i="72"/>
  <c r="J36" i="88"/>
  <c r="N98" i="88"/>
  <c r="R28" i="72"/>
  <c r="S98" i="88"/>
  <c r="W28" i="72"/>
  <c r="T98" i="88"/>
  <c r="X28" i="72"/>
  <c r="T28" i="81"/>
  <c r="N80" i="88"/>
  <c r="E80" i="88"/>
  <c r="F80" i="88"/>
  <c r="G36" i="88"/>
  <c r="M36" i="88"/>
  <c r="K80" i="88"/>
  <c r="L80" i="88"/>
  <c r="M80" i="88"/>
  <c r="H36" i="88"/>
  <c r="H80" i="88"/>
  <c r="H49" i="88"/>
  <c r="I49" i="88"/>
  <c r="F49" i="88"/>
  <c r="J80" i="88"/>
  <c r="I80" i="88"/>
  <c r="G80" i="88"/>
  <c r="E49" i="88"/>
  <c r="G49" i="88"/>
  <c r="E93" i="88" l="1" a="1"/>
  <c r="E93" i="88" s="1"/>
  <c r="I30" i="72" s="1"/>
  <c r="E96" i="88" a="1"/>
  <c r="E96" i="88" s="1"/>
  <c r="E92" i="88" a="1"/>
  <c r="E92" i="88" s="1"/>
  <c r="E94" i="88" a="1"/>
  <c r="E94" i="88" s="1"/>
  <c r="E95" i="88" a="1"/>
  <c r="E95" i="88" s="1"/>
  <c r="E97" i="88" a="1"/>
  <c r="E97" i="88" s="1"/>
  <c r="L67" i="88"/>
  <c r="N67" i="88"/>
  <c r="O67" i="88"/>
  <c r="AB67" i="88"/>
  <c r="M67" i="88"/>
  <c r="AD28" i="81"/>
  <c r="Z67" i="88"/>
  <c r="Q67" i="88"/>
  <c r="P28" i="81"/>
  <c r="AE28" i="81"/>
  <c r="AA67" i="88"/>
  <c r="N28" i="81"/>
  <c r="J67" i="88"/>
  <c r="K28" i="81"/>
  <c r="E65" i="88" a="1"/>
  <c r="E65" i="88" s="1"/>
  <c r="E66" i="88" a="1"/>
  <c r="E66" i="88" s="1"/>
  <c r="E61" i="88" a="1"/>
  <c r="E61" i="88" s="1"/>
  <c r="I28" i="81" s="1"/>
  <c r="E63" i="88" a="1"/>
  <c r="E63" i="88" s="1"/>
  <c r="E62" i="88" a="1"/>
  <c r="E62" i="88" s="1"/>
  <c r="I30" i="81" s="1"/>
  <c r="E64" i="88" a="1"/>
  <c r="E64" i="88" s="1"/>
  <c r="V67" i="88"/>
  <c r="AC67" i="88"/>
  <c r="K67" i="88"/>
  <c r="T67" i="88"/>
  <c r="S67" i="88"/>
  <c r="AA28" i="81"/>
  <c r="W67" i="88"/>
  <c r="P67" i="88"/>
  <c r="AB28" i="81"/>
  <c r="X67" i="88"/>
  <c r="AC28" i="81"/>
  <c r="Y67" i="88"/>
  <c r="Q28" i="81"/>
  <c r="U67" i="88"/>
  <c r="H98" i="88"/>
  <c r="L28" i="72"/>
  <c r="M98" i="88"/>
  <c r="I98" i="88"/>
  <c r="M28" i="72"/>
  <c r="J98" i="88"/>
  <c r="N28" i="72"/>
  <c r="L98" i="88"/>
  <c r="P28" i="72"/>
  <c r="K98" i="88"/>
  <c r="O28" i="72"/>
  <c r="G98" i="88"/>
  <c r="K28" i="72"/>
  <c r="F98" i="88"/>
  <c r="J28" i="72"/>
  <c r="M28" i="81"/>
  <c r="L28" i="81"/>
  <c r="I28" i="72" l="1"/>
  <c r="E98" i="88"/>
  <c r="H67" i="88"/>
  <c r="F67" i="88"/>
  <c r="I67" i="88"/>
  <c r="G67" i="88"/>
  <c r="E67" i="88"/>
  <c r="J28" i="81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4" i="72" l="1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<sst xmlns="http://schemas.openxmlformats.org/spreadsheetml/2006/main" count="989" uniqueCount="324">
  <si>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</si>
  <si>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</si>
  <si>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</si>
  <si>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</si>
  <si>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</si>
  <si>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</si>
  <si>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</si>
  <si>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</si>
  <si>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</si>
  <si>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</si>
  <si>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</si>
  <si>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</si>
  <si>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</si>
  <si>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</si>
  <si>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</si>
  <si>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</si>
  <si>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</si>
  <si>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</si>
  <si>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</si>
  <si>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</si>
  <si>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</si>
  <si>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</si>
  <si>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</si>
  <si>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</si>
  <si>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</si>
  <si>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</si>
  <si>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</si>
  <si>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</si>
  <si>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</si>
  <si>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</si>
  <si>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</si>
  <si>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</si>
  <si>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</si>
  <si>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</si>
  <si>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</si>
  <si>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</si>
  <si>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</si>
  <si>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</si>
  <si>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</si>
  <si>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</si>
  <si>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</si>
  <si>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</si>
  <si>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</si>
  <si>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</si>
  <si>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</si>
  <si>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</si>
  <si>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</si>
  <si>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</si>
  <si>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</si>
  <si>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</si>
  <si>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</si>
  <si>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</si>
  <si>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</si>
  <si>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</si>
  <si>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</si>
  <si>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</si>
  <si>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</si>
  <si>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</si>
  <si>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</si>
  <si>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</si>
  <si>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</si>
  <si>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</si>
  <si>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</si>
  <si>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</si>
  <si>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</si>
  <si>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</si>
  <si>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</si>
  <si>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</si>
  <si>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</si>
  <si>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</si>
  <si>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</si>
  <si>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</si>
  <si>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</si>
  <si>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</si>
  <si>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</si>
  <si>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</si>
  <si>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</si>
  <si>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</si>
  <si>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</si>
  <si>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</si>
  <si>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</si>
  <si>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</si>
  <si>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</si>
  <si>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</si>
  <si>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</si>
  <si>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</si>
  <si>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</si>
  <si>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</si>
  <si>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</si>
  <si>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</si>
  <si>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</si>
  <si>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</si>
  <si>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</si>
  <si>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</si>
  <si>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</si>
  <si>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</si>
  <si>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</si>
  <si>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</si>
  <si>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</si>
  <si>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</si>
  <si>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</si>
  <si>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</si>
  <si>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</si>
  <si>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</si>
  <si>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</si>
  <si>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</si>
  <si>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</si>
  <si>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</si>
  <si>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</si>
  <si>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</si>
  <si>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</si>
  <si>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</si>
  <si>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</si>
  <si>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</si>
  <si>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</si>
  <si>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</si>
  <si>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</si>
  <si>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</si>
  <si>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</si>
  <si>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</si>
  <si>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</si>
  <si>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</si>
  <si>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</si>
  <si>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</si>
  <si>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</si>
  <si>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</si>
  <si>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</si>
  <si>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</si>
  <si>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</si>
  <si>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</si>
  <si>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</si>
  <si>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</si>
  <si>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</si>
  <si>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</si>
  <si>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</si>
  <si>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</si>
  <si>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</si>
  <si>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</si>
  <si>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</si>
  <si>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</si>
  <si>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</si>
  <si>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</si>
  <si>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</si>
  <si>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</si>
  <si>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</si>
  <si>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</si>
  <si>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</si>
  <si>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</si>
  <si>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</si>
  <si>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</si>
  <si>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</si>
  <si>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</si>
  <si>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</si>
  <si>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</si>
  <si>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</si>
  <si>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</si>
  <si>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</si>
  <si>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</si>
  <si>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</si>
  <si>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</si>
  <si>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</si>
  <si>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</si>
  <si>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</si>
  <si>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</si>
  <si>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</si>
  <si>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</si>
  <si>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</si>
  <si>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</si>
  <si>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</si>
  <si>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</si>
  <si>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</si>
  <si>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</si>
  <si>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</si>
  <si>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</si>
  <si>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</si>
  <si>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</si>
  <si>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</si>
  <si>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</si>
  <si>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</si>
  <si>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</si>
  <si>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</si>
  <si>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</si>
  <si>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</si>
  <si>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</si>
  <si>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</si>
  <si>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</si>
  <si>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</si>
  <si>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</si>
  <si>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</si>
  <si>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</si>
  <si>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</si>
  <si>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</si>
  <si>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</si>
  <si>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</si>
  <si>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</si>
  <si>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</si>
  <si>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</si>
  <si>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</si>
  <si>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</si>
  <si>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</si>
  <si>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</si>
  <si>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</si>
  <si>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</si>
  <si>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</si>
  <si>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</si>
  <si>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</si>
  <si>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</si>
  <si>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</si>
  <si>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</si>
  <si>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</si>
  <si>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</si>
  <si>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</si>
  <si>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</si>
  <si>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</si>
  <si>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</si>
  <si>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</si>
  <si>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</si>
  <si>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</si>
  <si>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</si>
  <si>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</si>
  <si>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</si>
  <si>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</si>
  <si>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</si>
  <si>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</si>
  <si>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</si>
  <si>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</si>
  <si>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</si>
  <si>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</si>
  <si>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</si>
  <si>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</si>
  <si>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</si>
  <si>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</si>
  <si>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</si>
  <si>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</si>
  <si>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</si>
  <si>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</si>
  <si>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</si>
  <si>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</si>
  <si>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</si>
  <si>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</si>
  <si>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</si>
  <si>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</si>
  <si>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</si>
  <si>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</si>
  <si>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</si>
  <si>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</si>
  <si>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</si>
  <si>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</si>
  <si>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</si>
  <si>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SWBD online monitoring annual cost ($)</t>
  </si>
  <si>
    <t>Relay annual maintenance cost ($)</t>
  </si>
  <si>
    <t>Total opex cost ($)</t>
  </si>
  <si>
    <t>SWBD capex profile ($)</t>
  </si>
  <si>
    <t>Relay capex profile ($)</t>
  </si>
  <si>
    <t>Total capex ($)</t>
  </si>
  <si>
    <t>WORKINGS - RISKS</t>
  </si>
  <si>
    <t>SWBD risks</t>
  </si>
  <si>
    <t>Energy at Risk ($)</t>
  </si>
  <si>
    <t>Safety Risk</t>
  </si>
  <si>
    <t>Unplanned Replacement Risk</t>
  </si>
  <si>
    <t>Unplanned Fault Risk</t>
  </si>
  <si>
    <t>Total SWBD risks</t>
  </si>
  <si>
    <t>Relay risks</t>
  </si>
  <si>
    <t>Total relay risks</t>
  </si>
  <si>
    <t>Total SWBD and relay risk</t>
  </si>
  <si>
    <t>Total SWBD and relay risks</t>
  </si>
  <si>
    <t>Energy at Risk ($, Weighted)</t>
  </si>
  <si>
    <t>Input Data - Station Configuration</t>
  </si>
  <si>
    <t>Constants</t>
  </si>
  <si>
    <t>POF METHOD</t>
  </si>
  <si>
    <t>FIXED</t>
  </si>
  <si>
    <t>Modifier (x)</t>
  </si>
  <si>
    <t>Comment</t>
  </si>
  <si>
    <t>Substation:</t>
  </si>
  <si>
    <t>Major Failure CoC</t>
  </si>
  <si>
    <t>PoF (#1)</t>
  </si>
  <si>
    <t>Asset Type</t>
  </si>
  <si>
    <t>Indoor CB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</si>
  <si>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</si>
  <si>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</si>
  <si>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</si>
  <si>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</si>
  <si>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</si>
  <si>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</si>
  <si>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</si>
  <si>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</si>
  <si>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</si>
  <si>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</si>
  <si>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</si>
  <si>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</si>
  <si>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</si>
  <si>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</si>
  <si>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</si>
  <si>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</si>
  <si>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</si>
  <si>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</si>
  <si>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</si>
  <si>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</si>
  <si>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</si>
  <si>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</si>
  <si>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</si>
  <si>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Unplanned Enviromental Risk</t>
  </si>
  <si>
    <t>Load Transfers</t>
  </si>
  <si>
    <t>Unplanned Fire Risk</t>
  </si>
  <si>
    <t>Non-Network MW</t>
  </si>
  <si>
    <t>Option Capital Cost</t>
  </si>
  <si>
    <t>Total Life Cycle Cost</t>
  </si>
  <si>
    <t>Safety risk</t>
  </si>
  <si>
    <t>Environmental risk</t>
  </si>
  <si>
    <t>Opex saving</t>
  </si>
  <si>
    <t>HV switchboard and relay retirement R 22kV</t>
  </si>
  <si>
    <t>R switchboard and relay retirement</t>
  </si>
  <si>
    <t>Decomission switchboard and connect transformers and VR Cremorne feeders to RMU</t>
  </si>
  <si>
    <t>Decomission switchboard, direct connect transformers and connect VR Cremorne feeders to RTS</t>
  </si>
  <si>
    <t>R</t>
  </si>
  <si>
    <t>Richmond</t>
  </si>
  <si>
    <t>Scenario #1: R - Indoor CB</t>
  </si>
  <si>
    <t>Scenario #2: R - Indoor CB</t>
  </si>
  <si>
    <t>Scenario #3: R - Indoor CB</t>
  </si>
  <si>
    <t>Unplanned replacement risk</t>
  </si>
  <si>
    <t>Unplanned fault risk</t>
  </si>
  <si>
    <t>Other risk</t>
  </si>
  <si>
    <t>Retire switchboard and install RMU</t>
  </si>
  <si>
    <t>Retire switchboard and direct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</si>
</sst>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#,##0.000_);\(#,##0.000\);\-\-_)"/>
    <numFmt numFmtId="198" formatCode="_-&quot;$&quot;* #,##0_-;\-&quot;$&quot;* #,##0_-;_-&quot;$&quot;* &quot;-&quot;??_-;_-@_-"/>
    <numFmt numFmtId="199" formatCode="_-* #,##0.0_-;\-* #,##0.0_-;_-* &quot;-&quot;??_-;_-@_-"/>
    <numFmt numFmtId="200" formatCode="?0"/>
    <numFmt numFmtId="201" formatCode="0.0"/>
  </numFmts>
  <fonts count="11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</font>
    <font>
      <sz val="10"/>
      <name val="Verdana"/>
      <family val="2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92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9" fillId="0" borderId="0" applyFill="0" applyBorder="0"/>
    <xf numFmtId="9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3" fillId="18" borderId="0" applyNumberFormat="0" applyBorder="0" applyAlignment="0" applyProtection="0"/>
    <xf numFmtId="0" fontId="104" fillId="19" borderId="0" applyNumberFormat="0" applyBorder="0" applyAlignment="0" applyProtection="0"/>
    <xf numFmtId="0" fontId="105" fillId="20" borderId="0" applyNumberFormat="0" applyBorder="0" applyAlignment="0" applyProtection="0"/>
    <xf numFmtId="0" fontId="106" fillId="21" borderId="20" applyNumberFormat="0" applyAlignment="0" applyProtection="0"/>
    <xf numFmtId="0" fontId="107" fillId="22" borderId="21" applyNumberFormat="0" applyAlignment="0" applyProtection="0"/>
    <xf numFmtId="0" fontId="108" fillId="22" borderId="20" applyNumberFormat="0" applyAlignment="0" applyProtection="0"/>
    <xf numFmtId="0" fontId="109" fillId="0" borderId="22" applyNumberFormat="0" applyFill="0" applyAlignment="0" applyProtection="0"/>
    <xf numFmtId="0" fontId="98" fillId="23" borderId="23" applyNumberFormat="0" applyAlignment="0" applyProtection="0"/>
    <xf numFmtId="0" fontId="110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1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1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11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11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11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11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24" borderId="24" applyNumberFormat="0" applyFont="0" applyAlignment="0" applyProtection="0"/>
    <xf numFmtId="0" fontId="112" fillId="0" borderId="0" applyNumberFormat="0" applyFill="0" applyBorder="0" applyAlignment="0" applyProtection="0"/>
    <xf numFmtId="44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</cellStyleXfs>
  <cellXfs count="408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197" fontId="15" fillId="0" borderId="0" xfId="18" applyNumberFormat="1"/>
    <xf numFmtId="0" fontId="24" fillId="49" borderId="0" xfId="18" applyFont="1" applyFill="1" applyAlignment="1">
      <alignment vertical="center"/>
    </xf>
    <xf numFmtId="197" fontId="24" fillId="49" borderId="0" xfId="18" applyNumberFormat="1" applyFont="1" applyFill="1" applyAlignment="1">
      <alignment vertical="center"/>
    </xf>
    <xf numFmtId="0" fontId="24" fillId="49" borderId="0" xfId="18" applyFont="1" applyFill="1" applyAlignment="1">
      <alignment horizontal="left" vertical="center"/>
    </xf>
    <xf numFmtId="0" fontId="34" fillId="8" borderId="0" xfId="18" applyFont="1" applyFill="1"/>
    <xf numFmtId="0" fontId="56" fillId="8" borderId="0" xfId="18" applyFont="1" applyFill="1"/>
    <xf numFmtId="0" fontId="96" fillId="8" borderId="0" xfId="0" applyFont="1" applyFill="1"/>
    <xf numFmtId="0" fontId="97" fillId="0" borderId="0" xfId="18" applyFont="1"/>
    <xf numFmtId="0" fontId="15" fillId="50" borderId="0" xfId="18" applyFill="1" applyAlignment="1">
      <alignment horizontal="right"/>
    </xf>
    <xf numFmtId="0" fontId="17" fillId="0" borderId="0" xfId="18" applyFont="1" applyAlignment="1">
      <alignment horizontal="right"/>
    </xf>
    <xf numFmtId="198" fontId="15" fillId="2" borderId="0" xfId="34" applyNumberFormat="1" applyFont="1" applyFill="1"/>
    <xf numFmtId="0" fontId="17" fillId="0" borderId="12" xfId="18" applyFont="1" applyBorder="1" applyAlignment="1">
      <alignment horizontal="right"/>
    </xf>
    <xf numFmtId="198" fontId="15" fillId="0" borderId="12" xfId="34" applyNumberFormat="1" applyFont="1" applyBorder="1"/>
    <xf numFmtId="0" fontId="15" fillId="8" borderId="0" xfId="18" applyFill="1"/>
    <xf numFmtId="198" fontId="15" fillId="0" borderId="0" xfId="34" applyNumberFormat="1" applyFont="1" applyFill="1"/>
    <xf numFmtId="198" fontId="15" fillId="0" borderId="0" xfId="34" applyNumberFormat="1" applyFont="1"/>
    <xf numFmtId="0" fontId="15" fillId="0" borderId="12" xfId="18" applyBorder="1" applyAlignment="1">
      <alignment horizontal="right"/>
    </xf>
    <xf numFmtId="198" fontId="15" fillId="0" borderId="12" xfId="18" applyNumberFormat="1" applyBorder="1"/>
    <xf numFmtId="0" fontId="15" fillId="0" borderId="12" xfId="18" applyBorder="1"/>
    <xf numFmtId="0" fontId="15" fillId="51" borderId="0" xfId="18" applyFill="1"/>
    <xf numFmtId="198" fontId="17" fillId="0" borderId="0" xfId="18" applyNumberFormat="1" applyFont="1"/>
    <xf numFmtId="6" fontId="15" fillId="0" borderId="0" xfId="18" applyNumberFormat="1"/>
    <xf numFmtId="6" fontId="15" fillId="51" borderId="0" xfId="18" applyNumberFormat="1" applyFill="1"/>
    <xf numFmtId="198" fontId="15" fillId="51" borderId="0" xfId="34" applyNumberFormat="1" applyFont="1" applyFill="1"/>
    <xf numFmtId="0" fontId="15" fillId="0" borderId="0" xfId="28" applyFont="1"/>
    <xf numFmtId="198" fontId="15" fillId="53" borderId="26" xfId="29" applyNumberFormat="1" applyFont="1" applyFill="1" applyBorder="1"/>
    <xf numFmtId="44" fontId="15" fillId="54" borderId="26" xfId="27" applyNumberFormat="1" applyFont="1" applyFill="1" applyBorder="1" applyAlignment="1" applyProtection="1">
      <alignment horizontal="left" vertical="center"/>
      <protection locked="0"/>
    </xf>
    <xf numFmtId="199" fontId="15" fillId="0" borderId="0" xfId="30" applyNumberFormat="1" applyFont="1"/>
    <xf numFmtId="199" fontId="15" fillId="2" borderId="26" xfId="30" applyNumberFormat="1" applyFont="1" applyFill="1" applyBorder="1"/>
    <xf numFmtId="10" fontId="15" fillId="2" borderId="26" xfId="30" applyNumberFormat="1" applyFont="1" applyFill="1" applyBorder="1"/>
    <xf numFmtId="198" fontId="15" fillId="0" borderId="0" xfId="34" applyNumberFormat="1" applyFont="1" applyFill="1" applyBorder="1"/>
    <xf numFmtId="44" fontId="34" fillId="0" borderId="0" xfId="26" applyNumberFormat="1" applyFont="1" applyAlignment="1">
      <alignment horizontal="left"/>
    </xf>
    <xf numFmtId="198" fontId="27" fillId="2" borderId="0" xfId="23" applyNumberFormat="1"/>
    <xf numFmtId="0" fontId="15" fillId="0" borderId="0" xfId="18"/>
    <xf numFmtId="0" fontId="15" fillId="0" borderId="0" xfId="0" applyFont="1"/>
    <xf numFmtId="167" fontId="27" fillId="2" borderId="8" xfId="18" applyNumberFormat="1" applyFont="1" applyFill="1" applyBorder="1" applyAlignment="1">
      <alignment horizontal="right" vertical="center"/>
    </xf>
    <xf numFmtId="198" fontId="15" fillId="2" borderId="0" xfId="18" applyNumberFormat="1" applyFill="1"/>
    <xf numFmtId="0" fontId="56" fillId="8" borderId="0" xfId="26" applyFont="1" applyFill="1" applyAlignment="1">
      <alignment horizontal="left" vertical="center"/>
    </xf>
    <xf numFmtId="0" fontId="56" fillId="8" borderId="0" xfId="26" applyFont="1" applyFill="1" applyAlignment="1">
      <alignment vertical="center"/>
    </xf>
    <xf numFmtId="0" fontId="15" fillId="0" borderId="0" xfId="28" applyFont="1"/>
    <xf numFmtId="0" fontId="56" fillId="52" borderId="0" xfId="26" applyFont="1" applyFill="1" applyAlignment="1">
      <alignment vertical="center"/>
    </xf>
    <xf numFmtId="9" fontId="34" fillId="53" borderId="26" xfId="27" applyFont="1" applyFill="1" applyBorder="1" applyAlignment="1" applyProtection="1">
      <alignment horizontal="center" vertical="center"/>
      <protection locked="0"/>
    </xf>
    <xf numFmtId="0" fontId="34" fillId="0" borderId="0" xfId="26" applyFont="1" applyAlignment="1">
      <alignment horizontal="left"/>
    </xf>
    <xf numFmtId="200" fontId="34" fillId="53" borderId="26" xfId="26" applyNumberFormat="1" applyFont="1" applyFill="1" applyBorder="1" applyAlignment="1" applyProtection="1">
      <alignment horizontal="left" vertical="center"/>
      <protection locked="0"/>
    </xf>
    <xf numFmtId="0" fontId="34" fillId="0" borderId="0" xfId="26" applyFont="1"/>
    <xf numFmtId="189" fontId="15" fillId="2" borderId="26" xfId="27" applyNumberFormat="1" applyFont="1" applyFill="1" applyBorder="1" applyAlignment="1" applyProtection="1">
      <alignment horizontal="center" vertical="center"/>
      <protection locked="0"/>
    </xf>
    <xf numFmtId="9" fontId="15" fillId="2" borderId="26" xfId="27" applyFont="1" applyFill="1" applyBorder="1" applyAlignment="1" applyProtection="1">
      <alignment horizontal="center" vertical="center"/>
      <protection locked="0"/>
    </xf>
    <xf numFmtId="9" fontId="15" fillId="54" borderId="26" xfId="27" applyFont="1" applyFill="1" applyBorder="1" applyAlignment="1" applyProtection="1">
      <alignment horizontal="left" vertical="center"/>
      <protection locked="0"/>
    </xf>
    <xf numFmtId="198" fontId="15" fillId="54" borderId="26" xfId="27" applyNumberFormat="1" applyFont="1" applyFill="1" applyBorder="1" applyAlignment="1" applyProtection="1">
      <alignment horizontal="left" vertical="center"/>
      <protection locked="0"/>
    </xf>
    <xf numFmtId="10" fontId="15" fillId="2" borderId="26" xfId="27" applyNumberFormat="1" applyFont="1" applyFill="1" applyBorder="1" applyAlignment="1" applyProtection="1">
      <alignment horizontal="center" vertical="center"/>
      <protection locked="0"/>
    </xf>
    <xf numFmtId="0" fontId="56" fillId="8" borderId="0" xfId="26" applyFont="1" applyFill="1" applyAlignment="1">
      <alignment horizontal="left" vertical="center" wrapText="1"/>
    </xf>
    <xf numFmtId="0" fontId="56" fillId="8" borderId="0" xfId="26" applyFont="1" applyFill="1" applyAlignment="1">
      <alignment horizontal="center" vertical="center"/>
    </xf>
    <xf numFmtId="0" fontId="56" fillId="55" borderId="0" xfId="26" applyFont="1" applyFill="1" applyAlignment="1">
      <alignment vertical="center"/>
    </xf>
    <xf numFmtId="9" fontId="15" fillId="0" borderId="0" xfId="26" applyNumberFormat="1" applyFont="1" applyAlignment="1">
      <alignment horizontal="center"/>
    </xf>
    <xf numFmtId="198" fontId="15" fillId="0" borderId="0" xfId="26" applyNumberFormat="1" applyFont="1" applyAlignment="1">
      <alignment horizontal="left"/>
    </xf>
    <xf numFmtId="201" fontId="15" fillId="0" borderId="0" xfId="26" applyNumberFormat="1" applyFont="1" applyAlignment="1">
      <alignment horizontal="center"/>
    </xf>
    <xf numFmtId="0" fontId="34" fillId="0" borderId="27" xfId="26" applyFont="1" applyBorder="1" applyAlignment="1">
      <alignment horizontal="left"/>
    </xf>
    <xf numFmtId="0" fontId="36" fillId="56" borderId="27" xfId="26" applyFont="1" applyFill="1" applyBorder="1" applyAlignment="1">
      <alignment horizontal="left"/>
    </xf>
    <xf numFmtId="198" fontId="36" fillId="56" borderId="27" xfId="26" applyNumberFormat="1" applyFont="1" applyFill="1" applyBorder="1" applyAlignment="1">
      <alignment horizontal="left"/>
    </xf>
    <xf numFmtId="0" fontId="15" fillId="0" borderId="0" xfId="26" applyFont="1" applyAlignment="1">
      <alignment horizontal="left"/>
    </xf>
    <xf numFmtId="0" fontId="36" fillId="57" borderId="0" xfId="26" applyFont="1" applyFill="1" applyAlignment="1">
      <alignment horizontal="left"/>
    </xf>
    <xf numFmtId="198" fontId="34" fillId="57" borderId="0" xfId="26" applyNumberFormat="1" applyFont="1" applyFill="1" applyAlignment="1">
      <alignment horizontal="left"/>
    </xf>
    <xf numFmtId="9" fontId="15" fillId="54" borderId="26" xfId="35" applyFont="1" applyFill="1" applyBorder="1" applyAlignment="1" applyProtection="1">
      <alignment horizontal="right" vertical="center"/>
      <protection locked="0"/>
    </xf>
    <xf numFmtId="198" fontId="15" fillId="0" borderId="0" xfId="18" applyNumberFormat="1"/>
    <xf numFmtId="0" fontId="15" fillId="0" borderId="0" xfId="0" applyFont="1" applyAlignment="1">
      <alignment horizontal="left" indent="4"/>
    </xf>
    <xf numFmtId="0" fontId="15" fillId="10" borderId="0" xfId="18" applyFill="1"/>
    <xf numFmtId="197" fontId="25" fillId="10" borderId="0" xfId="16" applyNumberFormat="1" applyFont="1" applyFill="1"/>
    <xf numFmtId="0" fontId="15" fillId="10" borderId="0" xfId="0" applyFont="1" applyFill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92">
    <cellStyle name="20% - Accent1 2" xfId="58" xr:uid="{27FDEE84-C25F-4B04-97BD-2A53BE157790}"/>
    <cellStyle name="20% - Accent2 2" xfId="62" xr:uid="{FCC73D84-3264-4CEC-A38D-192A3EDCF35E}"/>
    <cellStyle name="20% - Accent3 2" xfId="66" xr:uid="{04EC1C5E-F9D4-40E9-8CF1-6CB82FF6F344}"/>
    <cellStyle name="20% - Accent4 2" xfId="70" xr:uid="{CA6E2978-439B-4F25-B399-3913F0B68782}"/>
    <cellStyle name="20% - Accent5 2" xfId="74" xr:uid="{FA9B04AB-1C47-45E5-AB68-577AFBC4E23F}"/>
    <cellStyle name="20% - Accent6 2" xfId="78" xr:uid="{D64A97D6-9B04-4E55-B886-84B67A96C81F}"/>
    <cellStyle name="40% - Accent1 2" xfId="59" xr:uid="{5C485B75-DFE1-43D2-AC5E-0AC19275BBE5}"/>
    <cellStyle name="40% - Accent2 2" xfId="63" xr:uid="{36D63CA9-9CBB-40EB-A2CF-6B4D4892CFC8}"/>
    <cellStyle name="40% - Accent3 2" xfId="67" xr:uid="{7FE67735-E6EE-42AF-BE78-1A0F2EEBCB4C}"/>
    <cellStyle name="40% - Accent4 2" xfId="71" xr:uid="{CA38DFF1-06C2-44F0-9A5A-C548774629D7}"/>
    <cellStyle name="40% - Accent5 2" xfId="75" xr:uid="{811756FF-91F3-41A9-BF6D-4E40E302B78B}"/>
    <cellStyle name="40% - Accent6 2" xfId="79" xr:uid="{B90DD441-7821-4E2D-BBA5-09D58663061A}"/>
    <cellStyle name="60% - Accent1 2" xfId="60" xr:uid="{D782E704-FB1B-4C64-88F1-09D283902820}"/>
    <cellStyle name="60% - Accent2 2" xfId="64" xr:uid="{A2BC960E-29E4-40E0-B4E8-3BA1920A3A96}"/>
    <cellStyle name="60% - Accent3 2" xfId="68" xr:uid="{9E75B431-F30A-49AB-9DE8-2DAF1F9C857A}"/>
    <cellStyle name="60% - Accent4 2" xfId="72" xr:uid="{EC3268B2-95BC-4EB0-A610-0F2D98DE1DEA}"/>
    <cellStyle name="60% - Accent5 2" xfId="76" xr:uid="{A4C07B88-C246-4452-8A25-04353962710C}"/>
    <cellStyle name="60% - Accent6 2" xfId="80" xr:uid="{2909B405-F11F-49FA-9458-E18867D9E9D7}"/>
    <cellStyle name="Accent1 2" xfId="57" xr:uid="{71FE5FF5-EC24-45BF-B0E8-20FCB2E76718}"/>
    <cellStyle name="Accent2 2" xfId="61" xr:uid="{C2AC8B86-BDDD-4D2C-AEA0-C6297DD33C95}"/>
    <cellStyle name="Accent3 2" xfId="65" xr:uid="{C794517A-4C88-4AD8-A0BE-291AE979AA2D}"/>
    <cellStyle name="Accent4 2" xfId="69" xr:uid="{3D057098-38C2-440D-B8E2-B99EC2032669}"/>
    <cellStyle name="Accent5 2" xfId="73" xr:uid="{3CC1E2CB-2C8B-4719-BA66-5F87B908C392}"/>
    <cellStyle name="Accent6 2" xfId="77" xr:uid="{FD9B878D-148A-492E-B014-22C6FC4F0601}"/>
    <cellStyle name="Assumption" xfId="23" xr:uid="{E21B85CB-AE39-493C-90CF-A6033D394DF7}"/>
    <cellStyle name="Bad 2" xfId="48" xr:uid="{5DD8BED3-48FA-4190-B59C-CC8203AA0BF7}"/>
    <cellStyle name="Base_Input" xfId="12" xr:uid="{00000000-0005-0000-0000-000000000000}"/>
    <cellStyle name="Calculation 2" xfId="52" xr:uid="{F68A7A04-3744-4EC6-9CD4-31950D6E4C75}"/>
    <cellStyle name="Check Cell 2" xfId="54" xr:uid="{9C6C22A9-F494-4F94-AFA9-C9F51FD4327A}"/>
    <cellStyle name="Comma [0] 2" xfId="3" xr:uid="{00000000-0005-0000-0000-000002000000}"/>
    <cellStyle name="Comma 2" xfId="30" xr:uid="{50BDA386-AB13-404C-8C84-0EDF43721243}"/>
    <cellStyle name="Comma 2 2" xfId="89" xr:uid="{80061F79-EB90-4000-AFF4-E49214912727}"/>
    <cellStyle name="Comma 3" xfId="86" xr:uid="{FC8C937F-4E95-4033-B01F-B15D1117CED0}"/>
    <cellStyle name="Comma 4" xfId="91" xr:uid="{178931B2-E701-47F8-885B-5DFFC473C8D0}"/>
    <cellStyle name="Currency" xfId="34" builtinId="4"/>
    <cellStyle name="Currency 2" xfId="39" xr:uid="{E2D8D30C-EC43-435D-9413-6746B6241791}"/>
    <cellStyle name="Currency 2 2" xfId="29" xr:uid="{F29057D5-5718-441F-8CAD-00B1D320E1EF}"/>
    <cellStyle name="Currency 2 2 2" xfId="87" xr:uid="{D351A479-2017-457C-A825-0026F5A0C2C3}"/>
    <cellStyle name="Currency 3" xfId="85" xr:uid="{D3787227-E124-4C9B-BF59-FD082EB06900}"/>
    <cellStyle name="Currency 4" xfId="90" xr:uid="{B174AB27-9ACC-4932-8BD9-D81344BFA840}"/>
    <cellStyle name="Currency 5" xfId="84" xr:uid="{AC2AD5B2-F60C-49A4-8B4D-EC8C6C3BDC3D}"/>
    <cellStyle name="Empty_Cell" xfId="9" xr:uid="{00000000-0005-0000-0000-000004000000}"/>
    <cellStyle name="Explanatory Text" xfId="1" builtinId="53" customBuiltin="1"/>
    <cellStyle name="Explanatory Text 2" xfId="83" xr:uid="{37B8CED7-463D-4A2A-A7CC-D96BB21D71F8}"/>
    <cellStyle name="Fixed_input" xfId="24" xr:uid="{0B0B930C-107A-4F05-8A3E-C5F6EECE17A8}"/>
    <cellStyle name="Flag" xfId="4" xr:uid="{00000000-0005-0000-0000-000006000000}"/>
    <cellStyle name="Good 2" xfId="47" xr:uid="{4C1C9DA0-F7AB-40EB-8136-9329E63D7F89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Heading 1 2" xfId="43" xr:uid="{9D3B47A4-B1E6-4222-80BE-3CABCD2D32DC}"/>
    <cellStyle name="Heading 2 2" xfId="44" xr:uid="{0AEFF609-0FC4-4100-BC60-E612F8EE5BB2}"/>
    <cellStyle name="Heading 3 2" xfId="45" xr:uid="{C0EB4F11-FD63-4693-90DC-6766A087BBF1}"/>
    <cellStyle name="Heading 4 2" xfId="46" xr:uid="{0274EEB1-2FD9-40E4-86E9-3AFF6F92ABD7}"/>
    <cellStyle name="Input 2" xfId="50" xr:uid="{573D253A-EFB3-4E6A-9900-445B9508BF23}"/>
    <cellStyle name="Insheet" xfId="6" xr:uid="{00000000-0005-0000-0000-00000D000000}"/>
    <cellStyle name="Line_SubTotal" xfId="7" xr:uid="{00000000-0005-0000-0000-00000E000000}"/>
    <cellStyle name="Linked Cell 2" xfId="53" xr:uid="{40ED6877-D97A-403B-AC9B-18827F15CC23}"/>
    <cellStyle name="Neutral 2" xfId="49" xr:uid="{B9986E6E-CF11-461D-8B73-CC39A8D0115E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4" xfId="37" xr:uid="{6CA71292-F4F3-4AAE-952A-AFA9D18B9784}"/>
    <cellStyle name="Normal 5" xfId="40" xr:uid="{8F2E6D1E-E748-4C54-AD32-213520ECA8CC}"/>
    <cellStyle name="Normal 6" xfId="41" xr:uid="{AB90C847-155F-455F-9271-F340A723B55B}"/>
    <cellStyle name="Normal 7" xfId="81" xr:uid="{95F9945B-5D01-4793-9185-E9BD65C298CC}"/>
    <cellStyle name="Normal 8" xfId="28" xr:uid="{A72DEBFF-D704-40A2-B10B-0D568324BDB3}"/>
    <cellStyle name="Note 2" xfId="82" xr:uid="{D59A5D40-F850-4FC6-9608-8005B28F5D03}"/>
    <cellStyle name="Offsheet" xfId="10" xr:uid="{00000000-0005-0000-0000-000012000000}"/>
    <cellStyle name="Output 2" xfId="51" xr:uid="{0E9A3415-7530-44E7-BACB-1E79CE4348FE}"/>
    <cellStyle name="Percent" xfId="35" builtinId="5"/>
    <cellStyle name="Percent 2" xfId="19" xr:uid="{39961233-90E2-46DE-A48A-52E8009F685E}"/>
    <cellStyle name="Percent 2 2" xfId="27" xr:uid="{E4F6E093-BFA5-41AA-B689-F440D86C5D1D}"/>
    <cellStyle name="Percent 3" xfId="38" xr:uid="{FE74188D-AF9E-4C19-9282-64BF64354A5D}"/>
    <cellStyle name="Percent 4" xfId="42" xr:uid="{43B9ECE0-D17B-40F1-9C83-C98F76E92FDB}"/>
    <cellStyle name="Percent 5" xfId="88" xr:uid="{447D60ED-B0A9-4FDE-9025-AC5C7AF42363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Title" xfId="36" builtinId="15" customBuiltin="1"/>
    <cellStyle name="Total 2" xfId="56" xr:uid="{1025AFE6-D61B-4754-99DA-91DF60799FA8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  <cellStyle name="Warning Text 2" xfId="55" xr:uid="{F90834D8-E354-4386-A729-15ADFF9D81AA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003366"/>
      <color rgb="FF66FFFF"/>
      <color rgb="FF00215B"/>
      <color rgb="FF3333FF"/>
      <color rgb="FFFFFFCC"/>
      <color rgb="FFF2F2F2"/>
      <color rgb="FFFABFA8"/>
      <color rgb="FF882B3C"/>
      <color rgb="FFEE2A2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0.12810850525871142</c:v>
                </c:pt>
                <c:pt idx="1">
                  <c:v>0.12810850525871142</c:v>
                </c:pt>
                <c:pt idx="2">
                  <c:v>0.12810850525871142</c:v>
                </c:pt>
                <c:pt idx="3">
                  <c:v>0.12810850525871142</c:v>
                </c:pt>
                <c:pt idx="4">
                  <c:v>0.12810850525871142</c:v>
                </c:pt>
                <c:pt idx="5">
                  <c:v>0.12810850525871142</c:v>
                </c:pt>
                <c:pt idx="6">
                  <c:v>0.12810850525871142</c:v>
                </c:pt>
                <c:pt idx="7">
                  <c:v>0.12810850525871142</c:v>
                </c:pt>
                <c:pt idx="8">
                  <c:v>0.12810850525871142</c:v>
                </c:pt>
                <c:pt idx="9">
                  <c:v>0.12810850525871142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0.11922579496155272</c:v>
                </c:pt>
                <c:pt idx="1">
                  <c:v>0.12932668174995557</c:v>
                </c:pt>
                <c:pt idx="2">
                  <c:v>0.13245380649991503</c:v>
                </c:pt>
                <c:pt idx="3">
                  <c:v>0.13512863902451916</c:v>
                </c:pt>
                <c:pt idx="4">
                  <c:v>0.1380472548011823</c:v>
                </c:pt>
                <c:pt idx="5">
                  <c:v>0.14198525622105948</c:v>
                </c:pt>
                <c:pt idx="6">
                  <c:v>0.14766941824683974</c:v>
                </c:pt>
                <c:pt idx="7">
                  <c:v>0.1552373210560129</c:v>
                </c:pt>
                <c:pt idx="8">
                  <c:v>0.16363699506588486</c:v>
                </c:pt>
                <c:pt idx="9">
                  <c:v>0.17482449016971116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69444444444442E-2"/>
          <c:y val="7.7035475234270415E-2"/>
          <c:w val="0.91102968750000002"/>
          <c:h val="0.80403514056224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6.265183518518419E-2</c:v>
                </c:pt>
                <c:pt idx="1">
                  <c:v>7.0757565448872739E-2</c:v>
                </c:pt>
                <c:pt idx="2">
                  <c:v>7.2315804867931044E-2</c:v>
                </c:pt>
                <c:pt idx="3">
                  <c:v>7.3067106443036212E-2</c:v>
                </c:pt>
                <c:pt idx="4">
                  <c:v>7.3501168606780631E-2</c:v>
                </c:pt>
                <c:pt idx="5">
                  <c:v>7.416893389898839E-2</c:v>
                </c:pt>
                <c:pt idx="6">
                  <c:v>7.5600152723208261E-2</c:v>
                </c:pt>
                <c:pt idx="7">
                  <c:v>7.767841430851509E-2</c:v>
                </c:pt>
                <c:pt idx="8">
                  <c:v>7.9142574892390086E-2</c:v>
                </c:pt>
                <c:pt idx="9">
                  <c:v>8.1331118477011896E-2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</xdr:row>
      <xdr:rowOff>9525</xdr:rowOff>
    </xdr:from>
    <xdr:to>
      <xdr:col>10</xdr:col>
      <xdr:colOff>291725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537706</xdr:colOff>
      <xdr:row>38</xdr:row>
      <xdr:rowOff>100852</xdr:rowOff>
    </xdr:from>
    <xdr:to>
      <xdr:col>13</xdr:col>
      <xdr:colOff>0</xdr:colOff>
      <xdr:row>57</xdr:row>
      <xdr:rowOff>108087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06A84-B032-460E-8F5D-C9BAFF353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topLeftCell="A2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28" customWidth="1"/>
    <col min="2" max="2" width="1.875" style="128" customWidth="1"/>
    <col min="3" max="3" width="14" style="128" customWidth="1"/>
    <col min="4" max="4" width="8" style="128" customWidth="1"/>
    <col min="5" max="5" width="9.375" style="128" customWidth="1"/>
    <col min="6" max="11" width="8" style="128" customWidth="1"/>
    <col min="12" max="19" width="8" style="128" hidden="1" customWidth="1"/>
    <col min="20" max="16384" width="0" style="128" hidden="1"/>
  </cols>
  <sheetData>
    <row r="1" spans="1:19" x14ac:dyDescent="0.25">
      <c r="A1" s="309"/>
    </row>
    <row r="2" spans="1:19" ht="23.25" x14ac:dyDescent="0.35">
      <c r="A2" s="309"/>
      <c r="C2" s="310" t="s">
        <v>42</v>
      </c>
      <c r="D2" s="311"/>
      <c r="E2" s="311"/>
    </row>
    <row r="3" spans="1:19" ht="15.75" x14ac:dyDescent="0.25">
      <c r="A3" s="309"/>
      <c r="C3" s="312" t="s">
        <v>242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310</v>
      </c>
    </row>
    <row r="6" spans="1:19" x14ac:dyDescent="0.25">
      <c r="A6" s="309"/>
      <c r="C6" s="314" t="s">
        <v>243</v>
      </c>
      <c r="D6" s="327">
        <v>4.09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15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AJ232"/>
  <sheetViews>
    <sheetView showGridLines="0" zoomScale="85" zoomScaleNormal="85" workbookViewId="0">
      <pane ySplit="2" topLeftCell="A3" activePane="bottomLeft" state="frozen"/>
      <selection pane="bottomLeft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36" s="8" customFormat="1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</row>
    <row r="2" spans="1:36" s="8" customFormat="1" ht="18.75" x14ac:dyDescent="0.3">
      <c r="A2" s="55" t="str">
        <f>proj</f>
        <v>R switchboard and relay retirement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</row>
    <row r="3" spans="1:36" s="7" customFormat="1" ht="18.75" x14ac:dyDescent="0.3">
      <c r="A3" s="202" t="s">
        <v>16</v>
      </c>
      <c r="B3" s="33"/>
      <c r="C3" s="33"/>
      <c r="D3" s="32"/>
      <c r="E3" s="32"/>
      <c r="F3" s="32"/>
      <c r="G3" s="32"/>
      <c r="H3" s="32"/>
      <c r="I3" s="32"/>
      <c r="J3" s="32"/>
      <c r="K3" s="32"/>
      <c r="L3" s="32"/>
      <c r="M3" s="8"/>
    </row>
    <row r="4" spans="1:36" s="7" customFormat="1" ht="18.75" x14ac:dyDescent="0.3">
      <c r="A4" s="33"/>
      <c r="B4" s="33"/>
      <c r="C4" s="33"/>
      <c r="D4" s="32"/>
      <c r="E4" s="32"/>
      <c r="F4" s="32"/>
      <c r="G4" s="32"/>
      <c r="H4" s="32"/>
      <c r="I4" s="32"/>
      <c r="J4" s="32"/>
      <c r="K4" s="32"/>
      <c r="L4" s="32"/>
      <c r="M4" s="8"/>
    </row>
    <row r="5" spans="1:36" s="7" customFormat="1" ht="15" x14ac:dyDescent="0.25">
      <c r="A5" s="18" t="s">
        <v>159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8"/>
    </row>
    <row r="6" spans="1:36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36" s="7" customFormat="1" ht="12.75" x14ac:dyDescent="0.2">
      <c r="G7" s="151" t="s">
        <v>189</v>
      </c>
      <c r="H7" s="151" t="s">
        <v>190</v>
      </c>
      <c r="I7" s="151" t="s">
        <v>119</v>
      </c>
    </row>
    <row r="8" spans="1:36" s="7" customFormat="1" ht="12.75" x14ac:dyDescent="0.2">
      <c r="C8" s="28" t="s">
        <v>1</v>
      </c>
      <c r="D8" s="28"/>
      <c r="E8" s="28"/>
      <c r="F8" s="28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36" s="7" customFormat="1" ht="12.75" x14ac:dyDescent="0.2">
      <c r="C9" s="90" t="str" cm="1">
        <f t="array" ref="C9:C13">options</f>
        <v>Option 1 (base case)</v>
      </c>
      <c r="D9" s="398" t="str">
        <f>INDEX(Assumptions!$E$14:$E$18, MATCH(C9, Assumptions!$C$14:$C$18,0))</f>
        <v>No change to existing practices</v>
      </c>
      <c r="E9" s="399"/>
      <c r="F9" s="399"/>
      <c r="G9" s="102">
        <f>IF(Data!$C9, "", INDEX(Consol!$F$15:$F$82, MATCH($C9&amp;G$7, Consol!$D$15:$D$82,0))/mill_conv)</f>
        <v>0</v>
      </c>
      <c r="H9" s="102">
        <f>IF(Data!$C9, "", INDEX(Consol!$F$15:$F$82, MATCH($C9&amp;H$7, Consol!$D$15:$D$82,0))/mill_conv)</f>
        <v>0</v>
      </c>
      <c r="I9" s="102">
        <f>IF(Data!$C9, "", INDEX(Consol!$F$15:$F$82, MATCH($C9&amp;I$7, Consol!$D$15:$D$82,0))/mill_conv)</f>
        <v>0</v>
      </c>
    </row>
    <row r="10" spans="1:36" s="7" customFormat="1" ht="12.75" customHeight="1" x14ac:dyDescent="0.2">
      <c r="C10" s="90" t="str">
        <v>Option 2</v>
      </c>
      <c r="D10" s="400" t="str">
        <f>INDEX(Assumptions!$E$14:$E$18, MATCH(C10, Assumptions!$C$14:$C$18,0))</f>
        <v>Decomission switchboard and connect transformers and VR Cremorne feeders to RMU</v>
      </c>
      <c r="E10" s="401"/>
      <c r="F10" s="401"/>
      <c r="G10" s="102">
        <f>IF(Data!$C10, "", INDEX(Consol!$F$15:$F$82, MATCH($C10&amp;G$7, Consol!$D$15:$D$82,0))/mill_conv)</f>
        <v>-1.7263946984476699</v>
      </c>
      <c r="H10" s="102">
        <f>IF(Data!$C10, "", INDEX(Consol!$F$15:$F$82, MATCH($C10&amp;H$7, Consol!$D$15:$D$82,0))/mill_conv)</f>
        <v>2.633589125473847</v>
      </c>
      <c r="I10" s="102">
        <f>IF(Data!$C10, "", INDEX(Consol!$F$15:$F$82, MATCH($C10&amp;I$7, Consol!$D$15:$D$82,0))/mill_conv)</f>
        <v>0.90719442702617725</v>
      </c>
    </row>
    <row r="11" spans="1:36" s="7" customFormat="1" ht="12.75" x14ac:dyDescent="0.2">
      <c r="C11" s="90" t="str">
        <v>Option 3</v>
      </c>
      <c r="D11" s="400" t="str">
        <f>INDEX(Assumptions!$E$14:$E$18, MATCH(C11, Assumptions!$C$14:$C$18,0))</f>
        <v>Decomission switchboard, direct connect transformers and connect VR Cremorne feeders to RTS</v>
      </c>
      <c r="E11" s="401"/>
      <c r="F11" s="401"/>
      <c r="G11" s="102">
        <f>IF(Data!$C11, "", INDEX(Consol!$F$15:$F$82, MATCH($C11&amp;G$7, Consol!$D$15:$D$82,0))/mill_conv)</f>
        <v>-2.8133839530258329</v>
      </c>
      <c r="H11" s="102">
        <f>IF(Data!$C11, "", INDEX(Consol!$F$15:$F$82, MATCH($C11&amp;H$7, Consol!$D$15:$D$82,0))/mill_conv)</f>
        <v>2.6816771788380165</v>
      </c>
      <c r="I11" s="102">
        <f>IF(Data!$C11, "", INDEX(Consol!$F$15:$F$82, MATCH($C11&amp;I$7, Consol!$D$15:$D$82,0))/mill_conv)</f>
        <v>-0.13170677418781584</v>
      </c>
    </row>
    <row r="12" spans="1:36" s="7" customFormat="1" ht="12.75" x14ac:dyDescent="0.2">
      <c r="C12" s="90" t="str">
        <v>Option 4</v>
      </c>
      <c r="D12" s="400">
        <f>INDEX(Assumptions!$E$14:$E$18, MATCH(C12, Assumptions!$C$14:$C$18,0))</f>
        <v>0</v>
      </c>
      <c r="E12" s="401"/>
      <c r="F12" s="401"/>
      <c r="G12" s="102" t="str">
        <f>IF(Data!$C12, "", INDEX(Consol!$F$15:$F$82, MATCH($C12&amp;G$7, Consol!$D$15:$D$82,0))/mill_conv)</f>
        <v/>
      </c>
      <c r="H12" s="102" t="str">
        <f>IF(Data!$C12, "", INDEX(Consol!$F$15:$F$82, MATCH($C12&amp;H$7, Consol!$D$15:$D$82,0))/mill_conv)</f>
        <v/>
      </c>
      <c r="I12" s="102" t="str">
        <f>IF(Data!$C12, "", INDEX(Consol!$F$15:$F$82, MATCH($C12&amp;I$7, Consol!$D$15:$D$82,0))/mill_conv)</f>
        <v/>
      </c>
    </row>
    <row r="13" spans="1:36" s="7" customFormat="1" ht="12.75" x14ac:dyDescent="0.2">
      <c r="C13" s="90" t="str">
        <v>Option 5</v>
      </c>
      <c r="D13" s="400">
        <f>INDEX(Assumptions!$E$14:$E$18, MATCH(C13, Assumptions!$C$14:$C$18,0))</f>
        <v>0</v>
      </c>
      <c r="E13" s="401"/>
      <c r="F13" s="401"/>
      <c r="G13" s="102" t="str">
        <f>IF(Data!$C13, "", INDEX(Consol!$F$15:$F$82, MATCH($C13&amp;G$7, Consol!$D$15:$D$82,0))/mill_conv)</f>
        <v/>
      </c>
      <c r="H13" s="102" t="str">
        <f>IF(Data!$C13, "", INDEX(Consol!$F$15:$F$82, MATCH($C13&amp;H$7, Consol!$D$15:$D$82,0))/mill_conv)</f>
        <v/>
      </c>
      <c r="I13" s="102" t="str">
        <f>IF(Data!$C13, "", INDEX(Consol!$F$15:$F$82, MATCH($C13&amp;I$7, Consol!$D$15:$D$82,0))/mill_conv)</f>
        <v/>
      </c>
    </row>
    <row r="14" spans="1:36" s="7" customFormat="1" ht="12.75" x14ac:dyDescent="0.2">
      <c r="C14" s="90"/>
      <c r="D14" s="246"/>
      <c r="E14" s="246"/>
      <c r="F14" s="240"/>
      <c r="H14" s="9"/>
    </row>
    <row r="15" spans="1:36" s="7" customFormat="1" ht="12.75" x14ac:dyDescent="0.2">
      <c r="C15" s="90"/>
      <c r="D15" s="90"/>
      <c r="E15" s="90"/>
      <c r="F15" s="91"/>
      <c r="G15"/>
      <c r="I15" s="9"/>
    </row>
    <row r="16" spans="1:36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5" t="s">
        <v>24</v>
      </c>
      <c r="D17" s="28"/>
      <c r="E17" s="28"/>
      <c r="F17" s="28"/>
      <c r="G17" s="183">
        <f>output_dollars</f>
        <v>46203</v>
      </c>
      <c r="H17"/>
      <c r="J17" s="9"/>
    </row>
    <row r="18" spans="1:13" s="7" customFormat="1" ht="12.75" x14ac:dyDescent="0.2">
      <c r="C18" s="35" t="str">
        <f>INDEX($C$9:$C$13,MATCH(G18, $I$9:$I$13,0))</f>
        <v>Option 2</v>
      </c>
      <c r="D18" s="397" t="str">
        <f>INDEX($D$9:$D$13,MATCH(G18, $I$9:$I$13,0))</f>
        <v>Decomission switchboard and connect transformers and VR Cremorne feeders to RMU</v>
      </c>
      <c r="E18" s="397"/>
      <c r="F18" s="397"/>
      <c r="G18" s="103">
        <f>_xlfn.MAXIFS(I9:I13, IF(compliance, Data!$F$9:$F$13, Data!$C$9:$C$13),FALSE)</f>
        <v>0.90719442702617725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8" t="s">
        <v>88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8"/>
    </row>
    <row r="24" spans="1:13" x14ac:dyDescent="0.2"/>
    <row r="25" spans="1:13" s="8" customFormat="1" ht="12.75" x14ac:dyDescent="0.2">
      <c r="C25" s="13" t="s">
        <v>28</v>
      </c>
    </row>
    <row r="26" spans="1:13" s="8" customFormat="1" ht="12.75" x14ac:dyDescent="0.2">
      <c r="C26" s="92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2" t="s">
        <v>29</v>
      </c>
      <c r="D29" s="288">
        <f>output_dollars</f>
        <v>46203</v>
      </c>
      <c r="E29" s="184"/>
      <c r="F29" s="54" t="str">
        <f>Assumptions!K89</f>
        <v>2026-27</v>
      </c>
      <c r="G29" s="54" t="str">
        <f>Assumptions!L89</f>
        <v>2027-28</v>
      </c>
      <c r="H29" s="54" t="str">
        <f>Assumptions!M89</f>
        <v>2028-29</v>
      </c>
      <c r="I29" s="54" t="str">
        <f>Assumptions!N89</f>
        <v>2029-30</v>
      </c>
      <c r="J29" s="54" t="str">
        <f>Assumptions!O89</f>
        <v>2030-31</v>
      </c>
      <c r="L29" s="54" t="s">
        <v>141</v>
      </c>
    </row>
    <row r="30" spans="1:13" s="8" customFormat="1" ht="12.75" x14ac:dyDescent="0.2">
      <c r="C30" s="4" t="s">
        <v>30</v>
      </c>
      <c r="F30" s="104">
        <f>-INDEX(Consol!$I$15:$Q$82,MATCH($C$26&amp;$C30,Consol!$D$15:$D$82,0), MATCH(F$29, Consol!$I$9:$Q$9,0))/mill_conv</f>
        <v>3.0048641453248113</v>
      </c>
      <c r="G30" s="104">
        <f>-INDEX(Consol!$I$15:$Q$82,MATCH($C$26&amp;$C30,Consol!$D$15:$D$82,0), MATCH(G$29, Consol!$I$9:$Q$9,0))/mill_conv</f>
        <v>0</v>
      </c>
      <c r="H30" s="104">
        <f>-INDEX(Consol!$I$15:$Q$82,MATCH($C$26&amp;$C30,Consol!$D$15:$D$82,0), MATCH(H$29, Consol!$I$9:$Q$9,0))/mill_conv</f>
        <v>0</v>
      </c>
      <c r="I30" s="104">
        <f>-INDEX(Consol!$I$15:$Q$82,MATCH($C$26&amp;$C30,Consol!$D$15:$D$82,0), MATCH(I$29, Consol!$I$9:$Q$9,0))/mill_conv</f>
        <v>0</v>
      </c>
      <c r="J30" s="104">
        <f>-INDEX(Consol!$I$15:$Q$82,MATCH($C$26&amp;$C30,Consol!$D$15:$D$82,0), MATCH(J$29, Consol!$I$9:$Q$9,0))/mill_conv</f>
        <v>0</v>
      </c>
      <c r="K30" s="185"/>
      <c r="L30" s="185">
        <f>SUM(F30:J30)</f>
        <v>3.0048641453248113</v>
      </c>
    </row>
    <row r="31" spans="1:13" s="8" customFormat="1" ht="12.75" x14ac:dyDescent="0.2">
      <c r="C31" s="4" t="s">
        <v>31</v>
      </c>
      <c r="D31" s="27"/>
      <c r="E31" s="27"/>
      <c r="F31" s="104">
        <f>-INDEX(Consol!$I$15:$Q$82,MATCH($C$26&amp;$C31,Consol!$D$15:$D$82,0), MATCH(F$29, Consol!$I$9:$Q$9,0))/mill_conv</f>
        <v>0</v>
      </c>
      <c r="G31" s="104">
        <f>-INDEX(Consol!$I$15:$Q$82,MATCH($C$26&amp;$C31,Consol!$D$15:$D$82,0), MATCH(G$29, Consol!$I$9:$Q$9,0))/mill_conv</f>
        <v>0</v>
      </c>
      <c r="H31" s="104">
        <f>-INDEX(Consol!$I$15:$Q$82,MATCH($C$26&amp;$C31,Consol!$D$15:$D$82,0), MATCH(H$29, Consol!$I$9:$Q$9,0))/mill_conv</f>
        <v>0</v>
      </c>
      <c r="I31" s="104">
        <f>-INDEX(Consol!$I$15:$Q$82,MATCH($C$26&amp;$C31,Consol!$D$15:$D$82,0), MATCH(I$29, Consol!$I$9:$Q$9,0))/mill_conv</f>
        <v>0</v>
      </c>
      <c r="J31" s="104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8" t="s">
        <v>158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s="8" customFormat="1" ht="12.75" x14ac:dyDescent="0.2"/>
    <row r="37" spans="1:12" s="8" customFormat="1" ht="12.75" x14ac:dyDescent="0.2">
      <c r="C37" s="8" t="s">
        <v>233</v>
      </c>
      <c r="D37" s="27"/>
      <c r="E37" s="27"/>
      <c r="F37" s="393" t="s">
        <v>239</v>
      </c>
      <c r="G37" s="363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8" t="s">
        <v>216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s="8" customFormat="1" ht="12.75" x14ac:dyDescent="0.2"/>
    <row r="65" spans="3:13" s="8" customFormat="1" ht="12.75" x14ac:dyDescent="0.2"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</row>
    <row r="66" spans="3:13" s="8" customFormat="1" ht="12.75" x14ac:dyDescent="0.2">
      <c r="C66" s="256" t="s">
        <v>220</v>
      </c>
      <c r="D66" s="184">
        <f>output_dollars</f>
        <v>46203</v>
      </c>
      <c r="E66" s="184"/>
      <c r="F66" s="257" t="str">
        <f>Sensitivity_calcs!C89</f>
        <v>Option 1 (base case)</v>
      </c>
      <c r="G66" s="257" t="str">
        <f>Sensitivity_calcs!D89</f>
        <v>Option 2</v>
      </c>
      <c r="H66" s="257" t="str">
        <f>Sensitivity_calcs!E89</f>
        <v>Option 3</v>
      </c>
      <c r="I66" s="257" t="str">
        <f>Sensitivity_calcs!F89</f>
        <v>Option 4</v>
      </c>
      <c r="J66" s="257" t="str">
        <f>Sensitivity_calcs!G89</f>
        <v>Option 5</v>
      </c>
      <c r="K66" s="261"/>
      <c r="L66" s="286" t="s">
        <v>218</v>
      </c>
      <c r="M66" s="261"/>
    </row>
    <row r="67" spans="3:13" s="8" customFormat="1" ht="12.75" x14ac:dyDescent="0.2">
      <c r="C67" s="284" t="str">
        <f>Sensitivity_calcs!B90</f>
        <v>None</v>
      </c>
      <c r="D67" s="264"/>
      <c r="E67" s="264"/>
      <c r="F67" s="285">
        <f>Sensitivity_calcs!C90</f>
        <v>0</v>
      </c>
      <c r="G67" s="285">
        <f>Sensitivity_calcs!D90</f>
        <v>0.90719442702617725</v>
      </c>
      <c r="H67" s="285">
        <f>Sensitivity_calcs!E90</f>
        <v>-0.13170677418781584</v>
      </c>
      <c r="I67" s="285" t="str">
        <f>Sensitivity_calcs!F90</f>
        <v/>
      </c>
      <c r="J67" s="285" t="str">
        <f>Sensitivity_calcs!G90</f>
        <v/>
      </c>
      <c r="K67" s="255"/>
      <c r="L67" s="287" t="str">
        <f>Sensitivity_calcs!K90</f>
        <v>Option 2</v>
      </c>
      <c r="M67" s="255"/>
    </row>
    <row r="68" spans="3:13" s="8" customFormat="1" ht="12.75" x14ac:dyDescent="0.2">
      <c r="C68" s="263" t="str">
        <f>Sensitivity_calcs!B91</f>
        <v>Capex 10% higher</v>
      </c>
      <c r="D68" s="263"/>
      <c r="E68" s="263"/>
      <c r="F68" s="277">
        <f>Sensitivity_calcs!C91</f>
        <v>0</v>
      </c>
      <c r="G68" s="272">
        <f>Sensitivity_calcs!D91</f>
        <v>0.7345549571814104</v>
      </c>
      <c r="H68" s="272">
        <f>Sensitivity_calcs!E91</f>
        <v>-0.41304516949039904</v>
      </c>
      <c r="I68" s="272" t="str">
        <f>Sensitivity_calcs!F91</f>
        <v/>
      </c>
      <c r="J68" s="272" t="str">
        <f>Sensitivity_calcs!G91</f>
        <v/>
      </c>
      <c r="K68" s="255"/>
      <c r="L68" s="280" t="str">
        <f>Sensitivity_calcs!K91</f>
        <v>Option 2</v>
      </c>
      <c r="M68" s="255"/>
    </row>
    <row r="69" spans="3:13" s="8" customFormat="1" ht="12.75" x14ac:dyDescent="0.2">
      <c r="C69" s="263" t="str">
        <f>Sensitivity_calcs!B92</f>
        <v>Capex 10% lower</v>
      </c>
      <c r="D69" s="263"/>
      <c r="E69" s="263"/>
      <c r="F69" s="278">
        <f>Sensitivity_calcs!C92</f>
        <v>0</v>
      </c>
      <c r="G69" s="273">
        <f>Sensitivity_calcs!D92</f>
        <v>1.0798338968709444</v>
      </c>
      <c r="H69" s="273">
        <f>Sensitivity_calcs!E92</f>
        <v>0.14963162111476727</v>
      </c>
      <c r="I69" s="273" t="str">
        <f>Sensitivity_calcs!F92</f>
        <v/>
      </c>
      <c r="J69" s="273" t="str">
        <f>Sensitivity_calcs!G92</f>
        <v/>
      </c>
      <c r="K69" s="255"/>
      <c r="L69" s="280" t="str">
        <f>Sensitivity_calcs!K92</f>
        <v>Option 2</v>
      </c>
      <c r="M69" s="255"/>
    </row>
    <row r="70" spans="3:13" s="8" customFormat="1" ht="12.75" x14ac:dyDescent="0.2">
      <c r="C70" s="263" t="str">
        <f>Sensitivity_calcs!B93</f>
        <v>Total benefits 10% higher</v>
      </c>
      <c r="D70" s="263"/>
      <c r="E70" s="263"/>
      <c r="F70" s="278">
        <f>Sensitivity_calcs!C93</f>
        <v>0</v>
      </c>
      <c r="G70" s="273">
        <f>Sensitivity_calcs!D93</f>
        <v>1.1705533395735621</v>
      </c>
      <c r="H70" s="273">
        <f>Sensitivity_calcs!E93</f>
        <v>0.13646094369598571</v>
      </c>
      <c r="I70" s="273" t="str">
        <f>Sensitivity_calcs!F93</f>
        <v/>
      </c>
      <c r="J70" s="273" t="str">
        <f>Sensitivity_calcs!G93</f>
        <v/>
      </c>
      <c r="K70" s="255"/>
      <c r="L70" s="280" t="str">
        <f>Sensitivity_calcs!K93</f>
        <v>Option 2</v>
      </c>
      <c r="M70" s="255"/>
    </row>
    <row r="71" spans="3:13" s="8" customFormat="1" ht="12.75" x14ac:dyDescent="0.2">
      <c r="C71" s="263" t="str">
        <f>Sensitivity_calcs!B94</f>
        <v>Total benefits 10% lower</v>
      </c>
      <c r="D71" s="263"/>
      <c r="E71" s="263"/>
      <c r="F71" s="278">
        <f>Sensitivity_calcs!C94</f>
        <v>0</v>
      </c>
      <c r="G71" s="273">
        <f>Sensitivity_calcs!D94</f>
        <v>0.64383551447879261</v>
      </c>
      <c r="H71" s="273">
        <f>Sensitivity_calcs!E94</f>
        <v>-0.39987449207161752</v>
      </c>
      <c r="I71" s="273" t="str">
        <f>Sensitivity_calcs!F94</f>
        <v/>
      </c>
      <c r="J71" s="273" t="str">
        <f>Sensitivity_calcs!G94</f>
        <v/>
      </c>
      <c r="K71" s="255"/>
      <c r="L71" s="280" t="str">
        <f>Sensitivity_calcs!K94</f>
        <v>Option 2</v>
      </c>
      <c r="M71" s="255"/>
    </row>
    <row r="72" spans="3:13" s="8" customFormat="1" ht="12.75" x14ac:dyDescent="0.2">
      <c r="C72" s="263" t="str">
        <f>Sensitivity_calcs!B95</f>
        <v>Capex 10% higher &amp; Total benefits 10% lower</v>
      </c>
      <c r="D72" s="263"/>
      <c r="E72" s="263"/>
      <c r="F72" s="278">
        <f>Sensitivity_calcs!C95</f>
        <v>0</v>
      </c>
      <c r="G72" s="273">
        <f>Sensitivity_calcs!D95</f>
        <v>0.47119604463402576</v>
      </c>
      <c r="H72" s="273">
        <f>Sensitivity_calcs!E95</f>
        <v>-0.68121288737420049</v>
      </c>
      <c r="I72" s="273" t="str">
        <f>Sensitivity_calcs!F95</f>
        <v/>
      </c>
      <c r="J72" s="273" t="str">
        <f>Sensitivity_calcs!G95</f>
        <v/>
      </c>
      <c r="K72" s="255"/>
      <c r="L72" s="280" t="str">
        <f>Sensitivity_calcs!K95</f>
        <v>Option 2</v>
      </c>
      <c r="M72" s="255"/>
    </row>
    <row r="73" spans="3:13" s="8" customFormat="1" ht="12.75" x14ac:dyDescent="0.2">
      <c r="C73" s="263">
        <f>Sensitivity_calcs!B96</f>
        <v>0</v>
      </c>
      <c r="D73" s="263"/>
      <c r="E73" s="263"/>
      <c r="F73" s="278" t="str">
        <f>Sensitivity_calcs!C96</f>
        <v/>
      </c>
      <c r="G73" s="273" t="str">
        <f>Sensitivity_calcs!D96</f>
        <v/>
      </c>
      <c r="H73" s="273" t="str">
        <f>Sensitivity_calcs!E96</f>
        <v/>
      </c>
      <c r="I73" s="273" t="str">
        <f>Sensitivity_calcs!F96</f>
        <v/>
      </c>
      <c r="J73" s="273" t="str">
        <f>Sensitivity_calcs!G96</f>
        <v/>
      </c>
      <c r="K73" s="255"/>
      <c r="L73" s="280" t="str">
        <f>Sensitivity_calcs!K96</f>
        <v/>
      </c>
      <c r="M73" s="255"/>
    </row>
    <row r="74" spans="3:13" s="8" customFormat="1" ht="12.75" x14ac:dyDescent="0.2">
      <c r="C74" s="263">
        <f>Sensitivity_calcs!B97</f>
        <v>0</v>
      </c>
      <c r="D74" s="258"/>
      <c r="E74" s="258"/>
      <c r="F74" s="278" t="str">
        <f>Sensitivity_calcs!C97</f>
        <v/>
      </c>
      <c r="G74" s="273" t="str">
        <f>Sensitivity_calcs!D97</f>
        <v/>
      </c>
      <c r="H74" s="273" t="str">
        <f>Sensitivity_calcs!E97</f>
        <v/>
      </c>
      <c r="I74" s="273" t="str">
        <f>Sensitivity_calcs!F97</f>
        <v/>
      </c>
      <c r="J74" s="273" t="str">
        <f>Sensitivity_calcs!G97</f>
        <v/>
      </c>
      <c r="K74" s="265">
        <f>IF(C74=0,0, INDEX($F$66:$J$66, MATCH(MAX($F74:$I74),$F74:$I74,0)))</f>
        <v>0</v>
      </c>
      <c r="L74" s="280" t="str">
        <f>Sensitivity_calcs!K97</f>
        <v/>
      </c>
    </row>
    <row r="75" spans="3:13" s="8" customFormat="1" ht="12.75" x14ac:dyDescent="0.2">
      <c r="D75" s="263">
        <f>Sensitivity_calcs!B98</f>
        <v>0</v>
      </c>
      <c r="E75" s="263"/>
      <c r="F75" s="278" t="str">
        <f>Sensitivity_calcs!C98</f>
        <v/>
      </c>
      <c r="G75" s="273" t="str">
        <f>Sensitivity_calcs!D98</f>
        <v/>
      </c>
      <c r="H75" s="273" t="str">
        <f>Sensitivity_calcs!E98</f>
        <v/>
      </c>
      <c r="I75" s="273" t="str">
        <f>Sensitivity_calcs!F98</f>
        <v/>
      </c>
      <c r="J75" s="273" t="str">
        <f>Sensitivity_calcs!G98</f>
        <v/>
      </c>
      <c r="K75" s="255"/>
      <c r="L75" s="280" t="str">
        <f>Sensitivity_calcs!K98</f>
        <v/>
      </c>
      <c r="M75" s="255"/>
    </row>
    <row r="76" spans="3:13" s="8" customFormat="1" ht="12.75" x14ac:dyDescent="0.2">
      <c r="D76" s="263">
        <f>Sensitivity_calcs!B99</f>
        <v>0</v>
      </c>
      <c r="E76" s="263"/>
      <c r="F76" s="279"/>
      <c r="G76" s="104"/>
      <c r="H76" s="104"/>
      <c r="I76" s="104"/>
      <c r="J76" s="104"/>
      <c r="K76" s="255"/>
      <c r="L76" s="255"/>
    </row>
    <row r="77" spans="3:13" s="8" customFormat="1" ht="12.75" x14ac:dyDescent="0.2">
      <c r="F77" s="262"/>
      <c r="G77" s="104"/>
      <c r="H77" s="104"/>
      <c r="I77" s="104"/>
      <c r="J77" s="104"/>
    </row>
    <row r="78" spans="3:13" s="8" customFormat="1" ht="12.75" x14ac:dyDescent="0.2">
      <c r="F78" s="262"/>
      <c r="G78" s="262"/>
      <c r="H78" s="262"/>
      <c r="I78" s="262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3"/>
      <c r="E81" s="243"/>
      <c r="F81" s="243"/>
    </row>
    <row r="82" spans="4:6" s="8" customFormat="1" ht="12.75" x14ac:dyDescent="0.2">
      <c r="D82" s="243"/>
      <c r="E82" s="243"/>
      <c r="F82" s="243"/>
    </row>
    <row r="83" spans="4:6" s="8" customFormat="1" ht="12.75" hidden="1" x14ac:dyDescent="0.2">
      <c r="D83" s="243"/>
      <c r="E83" s="243"/>
      <c r="F83" s="243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AJ122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36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</row>
    <row r="2" spans="1:36" ht="15.75" x14ac:dyDescent="0.25">
      <c r="A2" s="55" t="str">
        <f>proj</f>
        <v>R switchboard and relay retirement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</row>
    <row r="4" spans="1:36" s="1" customFormat="1" ht="15" x14ac:dyDescent="0.2">
      <c r="A4" s="17" t="s">
        <v>44</v>
      </c>
      <c r="B4" s="17"/>
      <c r="C4" s="15"/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16"/>
    </row>
    <row r="5" spans="1:36" s="1" customFormat="1" x14ac:dyDescent="0.2">
      <c r="M5" s="11"/>
      <c r="N5" s="11"/>
      <c r="O5" s="11"/>
      <c r="P5" s="11"/>
    </row>
    <row r="6" spans="1:36" ht="12.75" customHeight="1" x14ac:dyDescent="0.2">
      <c r="C6" s="13" t="s">
        <v>11</v>
      </c>
      <c r="D6" s="64"/>
      <c r="E6" s="12" t="s">
        <v>42</v>
      </c>
    </row>
    <row r="7" spans="1:36" s="1" customFormat="1" ht="12.75" customHeight="1" x14ac:dyDescent="0.2">
      <c r="M7" s="11"/>
      <c r="N7" s="11"/>
      <c r="O7" s="11"/>
      <c r="P7" s="11"/>
    </row>
    <row r="8" spans="1:36" x14ac:dyDescent="0.2">
      <c r="C8" s="13" t="s">
        <v>12</v>
      </c>
      <c r="D8" s="13"/>
      <c r="E8" s="405" t="s">
        <v>311</v>
      </c>
      <c r="F8" s="405"/>
      <c r="G8" s="405"/>
      <c r="H8" s="405"/>
      <c r="I8" s="1"/>
      <c r="J8" s="1"/>
    </row>
    <row r="9" spans="1:36" x14ac:dyDescent="0.2">
      <c r="C9" s="13"/>
      <c r="D9" s="13"/>
    </row>
    <row r="10" spans="1:36" s="6" customFormat="1" x14ac:dyDescent="0.2">
      <c r="C10" s="3" t="s">
        <v>13</v>
      </c>
      <c r="D10" s="64"/>
      <c r="E10" s="59" t="s">
        <v>36</v>
      </c>
      <c r="F10" s="8"/>
      <c r="G10" s="36">
        <v>2023</v>
      </c>
      <c r="I10" s="65"/>
      <c r="J10" s="65"/>
    </row>
    <row r="11" spans="1:36" x14ac:dyDescent="0.2">
      <c r="I11" s="65"/>
      <c r="J11" s="65"/>
    </row>
    <row r="12" spans="1:36" x14ac:dyDescent="0.2">
      <c r="H12" s="42"/>
      <c r="I12" s="42"/>
      <c r="J12" s="42"/>
    </row>
    <row r="13" spans="1:36" s="71" customFormat="1" x14ac:dyDescent="0.2">
      <c r="C13" s="72" t="s">
        <v>1</v>
      </c>
      <c r="D13" s="72"/>
      <c r="E13" s="72" t="s">
        <v>0</v>
      </c>
      <c r="F13" s="72"/>
      <c r="G13" s="72"/>
      <c r="H13" s="73"/>
      <c r="I13" s="73"/>
      <c r="J13" s="73"/>
      <c r="K13" s="73"/>
      <c r="L13"/>
    </row>
    <row r="14" spans="1:36" s="1" customFormat="1" ht="12.75" customHeight="1" x14ac:dyDescent="0.2">
      <c r="C14" s="60" t="str" cm="1">
        <f t="array" ref="C14:C18">options</f>
        <v>Option 1 (base case)</v>
      </c>
      <c r="D14" s="60"/>
      <c r="E14" s="406" t="s">
        <v>58</v>
      </c>
      <c r="F14" s="406"/>
      <c r="G14" s="406"/>
      <c r="H14" s="406"/>
      <c r="I14" s="406"/>
      <c r="J14" s="406"/>
      <c r="K14" s="406"/>
      <c r="L14"/>
    </row>
    <row r="15" spans="1:36" s="1" customFormat="1" ht="12.75" customHeight="1" x14ac:dyDescent="0.2">
      <c r="C15" s="60" t="str">
        <v>Option 2</v>
      </c>
      <c r="D15" s="60"/>
      <c r="E15" s="407" t="s">
        <v>312</v>
      </c>
      <c r="F15" s="407"/>
      <c r="G15" s="407"/>
      <c r="H15" s="407"/>
      <c r="I15" s="407"/>
      <c r="J15" s="407"/>
      <c r="K15" s="407"/>
      <c r="L15"/>
    </row>
    <row r="16" spans="1:36" s="1" customFormat="1" ht="12.75" customHeight="1" x14ac:dyDescent="0.2">
      <c r="C16" s="60" t="str">
        <v>Option 3</v>
      </c>
      <c r="D16" s="60"/>
      <c r="E16" s="407" t="s">
        <v>313</v>
      </c>
      <c r="F16" s="407"/>
      <c r="G16" s="407"/>
      <c r="H16" s="407"/>
      <c r="I16" s="407"/>
      <c r="J16" s="407"/>
      <c r="K16" s="407"/>
      <c r="L16"/>
    </row>
    <row r="17" spans="1:16" s="1" customFormat="1" ht="12.75" customHeight="1" x14ac:dyDescent="0.2">
      <c r="C17" s="60" t="str">
        <v>Option 4</v>
      </c>
      <c r="D17" s="60"/>
      <c r="E17" s="407"/>
      <c r="F17" s="407"/>
      <c r="G17" s="407"/>
      <c r="H17" s="407"/>
      <c r="I17" s="407"/>
      <c r="J17" s="407"/>
      <c r="K17" s="407"/>
      <c r="L17"/>
    </row>
    <row r="18" spans="1:16" s="1" customFormat="1" ht="12.75" customHeight="1" x14ac:dyDescent="0.2">
      <c r="C18" s="60" t="str">
        <v>Option 5</v>
      </c>
      <c r="D18" s="60"/>
      <c r="E18" s="407"/>
      <c r="F18" s="407"/>
      <c r="G18" s="407"/>
      <c r="H18" s="407"/>
      <c r="I18" s="407"/>
      <c r="J18" s="407"/>
      <c r="K18" s="407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223</v>
      </c>
      <c r="D20"/>
      <c r="E20" s="290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5" t="s">
        <v>19</v>
      </c>
      <c r="F22" s="67" t="s">
        <v>65</v>
      </c>
      <c r="J22" s="67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7" t="s">
        <v>182</v>
      </c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6"/>
      <c r="O25" s="16"/>
      <c r="P25" s="16"/>
    </row>
    <row r="26" spans="1:16" s="1" customFormat="1" x14ac:dyDescent="0.2"/>
    <row r="27" spans="1:16" s="1" customFormat="1" x14ac:dyDescent="0.2">
      <c r="C27" s="1" t="s">
        <v>46</v>
      </c>
      <c r="G27" s="66">
        <f>EOMONTH(DATE(Assumptions!$G$10,INDEX(Data!$K$107:$K$108, MATCH(Assumptions!$E$10, Data!$J$107:$J$108,0)), 1),0)</f>
        <v>45291</v>
      </c>
      <c r="H27" s="67" t="s">
        <v>70</v>
      </c>
    </row>
    <row r="28" spans="1:16" s="1" customFormat="1" x14ac:dyDescent="0.2">
      <c r="C28" s="1" t="s">
        <v>183</v>
      </c>
      <c r="G28" s="301">
        <v>3.5000000000000003E-2</v>
      </c>
      <c r="H28" s="67" t="s">
        <v>66</v>
      </c>
      <c r="J28" s="67"/>
    </row>
    <row r="29" spans="1:16" s="1" customFormat="1" x14ac:dyDescent="0.2">
      <c r="C29" s="1" t="s">
        <v>61</v>
      </c>
      <c r="G29" s="302">
        <v>45291</v>
      </c>
      <c r="H29" s="67" t="s">
        <v>67</v>
      </c>
      <c r="J29" s="67"/>
    </row>
    <row r="30" spans="1:16" s="1" customFormat="1" x14ac:dyDescent="0.2">
      <c r="J30" s="67"/>
    </row>
    <row r="31" spans="1:16" x14ac:dyDescent="0.2">
      <c r="C31" s="8" t="s">
        <v>196</v>
      </c>
      <c r="G31" s="303">
        <v>20</v>
      </c>
      <c r="H31" s="67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7" t="s">
        <v>64</v>
      </c>
      <c r="J33" s="67"/>
    </row>
    <row r="34" spans="1:20" s="1" customFormat="1" x14ac:dyDescent="0.2">
      <c r="C34" s="1" t="s">
        <v>71</v>
      </c>
      <c r="G34" s="320">
        <v>45291</v>
      </c>
      <c r="H34" s="67" t="s">
        <v>72</v>
      </c>
      <c r="J34" s="67"/>
    </row>
    <row r="35" spans="1:20" s="1" customFormat="1" ht="13.5" x14ac:dyDescent="0.25">
      <c r="C35" s="1" t="s">
        <v>240</v>
      </c>
      <c r="G35" s="302">
        <v>45107</v>
      </c>
      <c r="H35" s="67"/>
      <c r="J35" s="67"/>
    </row>
    <row r="39" spans="1:20" s="1" customFormat="1" ht="15" x14ac:dyDescent="0.2">
      <c r="A39" s="17" t="s">
        <v>8</v>
      </c>
      <c r="B39" s="17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6"/>
      <c r="O39" s="16"/>
      <c r="P39" s="16"/>
    </row>
    <row r="40" spans="1:20" s="1" customFormat="1" x14ac:dyDescent="0.2">
      <c r="M40" s="11"/>
      <c r="N40" s="11"/>
      <c r="O40" s="11"/>
      <c r="P40" s="11"/>
    </row>
    <row r="41" spans="1:20" s="127" customFormat="1" x14ac:dyDescent="0.2">
      <c r="A41" s="126"/>
      <c r="B41" s="126"/>
      <c r="C41" s="1" t="s">
        <v>245</v>
      </c>
      <c r="D41" s="239" t="s">
        <v>246</v>
      </c>
      <c r="E41" s="323" t="s">
        <v>314</v>
      </c>
      <c r="F41" s="324"/>
      <c r="G41" s="325" t="s">
        <v>315</v>
      </c>
      <c r="H41" s="130">
        <v>50104.893056593428</v>
      </c>
      <c r="I41" s="326" t="s">
        <v>215</v>
      </c>
      <c r="J41" s="126"/>
      <c r="M41" s="126"/>
      <c r="N41" s="126"/>
      <c r="O41" s="126"/>
      <c r="P41" s="126"/>
      <c r="Q41" s="126"/>
      <c r="R41" s="126"/>
      <c r="S41" s="126"/>
      <c r="T41" s="126"/>
    </row>
    <row r="42" spans="1:20" s="127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6"/>
      <c r="N42" s="126"/>
      <c r="O42" s="126"/>
      <c r="P42" s="126"/>
      <c r="Q42" s="126"/>
      <c r="R42" s="126"/>
      <c r="S42" s="126"/>
      <c r="T42" s="126"/>
    </row>
    <row r="43" spans="1:20" s="127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6"/>
      <c r="N43" s="126"/>
      <c r="O43" s="126"/>
      <c r="P43" s="126"/>
      <c r="Q43" s="126"/>
      <c r="R43" s="126"/>
      <c r="S43" s="126"/>
      <c r="T43" s="126"/>
    </row>
    <row r="45" spans="1:20" ht="15" x14ac:dyDescent="0.2">
      <c r="A45" s="17" t="s">
        <v>149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6"/>
      <c r="O45" s="16"/>
      <c r="P45" s="16"/>
    </row>
    <row r="48" spans="1:20" x14ac:dyDescent="0.2">
      <c r="B48" s="29" t="s">
        <v>174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50" spans="3:8" x14ac:dyDescent="0.2">
      <c r="C50" s="8" t="s">
        <v>148</v>
      </c>
      <c r="G50" s="305">
        <v>5400000</v>
      </c>
      <c r="H50" s="68">
        <v>45107</v>
      </c>
    </row>
    <row r="52" spans="3:8" x14ac:dyDescent="0.2">
      <c r="C52" s="8" t="s">
        <v>165</v>
      </c>
      <c r="G52" s="163">
        <v>0</v>
      </c>
      <c r="H52" s="68">
        <f>input_dollars</f>
        <v>45291</v>
      </c>
    </row>
    <row r="54" spans="3:8" x14ac:dyDescent="0.2">
      <c r="C54" s="13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1" t="s">
        <v>113</v>
      </c>
    </row>
    <row r="69" spans="2:16" x14ac:dyDescent="0.2">
      <c r="C69" s="52" t="s">
        <v>181</v>
      </c>
      <c r="D69" s="58"/>
      <c r="E69" s="58"/>
      <c r="F69" s="58"/>
      <c r="G69" s="156" t="s">
        <v>68</v>
      </c>
      <c r="H69" s="156" t="s">
        <v>166</v>
      </c>
      <c r="I69" s="156" t="s">
        <v>180</v>
      </c>
      <c r="J69" s="155" t="s">
        <v>184</v>
      </c>
      <c r="K69" s="156"/>
      <c r="L69" s="156"/>
      <c r="M69" s="156"/>
    </row>
    <row r="70" spans="2:16" x14ac:dyDescent="0.2">
      <c r="C70" s="8" t="s">
        <v>167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402">
        <v>0</v>
      </c>
      <c r="K70" s="403"/>
      <c r="L70" s="403"/>
      <c r="M70" s="404"/>
    </row>
    <row r="71" spans="2:16" x14ac:dyDescent="0.2">
      <c r="C71" s="8" t="s">
        <v>168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402">
        <v>0</v>
      </c>
      <c r="K71" s="403"/>
      <c r="L71" s="403"/>
      <c r="M71" s="404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1"/>
    </row>
    <row r="77" spans="2:16" x14ac:dyDescent="0.2">
      <c r="B77" s="29" t="s">
        <v>175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2:16" x14ac:dyDescent="0.2">
      <c r="C78" s="8" t="s">
        <v>169</v>
      </c>
      <c r="G78" s="153">
        <v>0</v>
      </c>
      <c r="H78" s="68">
        <f>input_dollars</f>
        <v>45291</v>
      </c>
    </row>
    <row r="79" spans="2:16" x14ac:dyDescent="0.2">
      <c r="C79" s="8" t="s">
        <v>170</v>
      </c>
      <c r="G79" s="153">
        <v>0</v>
      </c>
      <c r="H79" s="68">
        <f>input_dollars</f>
        <v>45291</v>
      </c>
    </row>
    <row r="81" spans="1:16" x14ac:dyDescent="0.2">
      <c r="C81" s="8" t="s">
        <v>171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7" t="s">
        <v>55</v>
      </c>
      <c r="B87" s="17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6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29" t="s">
        <v>176</v>
      </c>
      <c r="C89" s="29"/>
      <c r="D89" s="29"/>
      <c r="E89" s="29"/>
      <c r="F89" s="29"/>
      <c r="G89" s="29"/>
      <c r="H89" s="52"/>
      <c r="I89" s="52"/>
      <c r="J89" s="52"/>
      <c r="K89" s="69" t="s">
        <v>19</v>
      </c>
      <c r="L89" s="69" t="s">
        <v>21</v>
      </c>
      <c r="M89" s="69" t="s">
        <v>20</v>
      </c>
      <c r="N89" s="69" t="s">
        <v>22</v>
      </c>
      <c r="O89" s="69" t="s">
        <v>93</v>
      </c>
      <c r="P89" s="69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7"/>
      <c r="H90" s="68">
        <f>G35</f>
        <v>45107</v>
      </c>
      <c r="I90" s="70" t="s">
        <v>62</v>
      </c>
      <c r="J90" s="70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29" t="s">
        <v>177</v>
      </c>
      <c r="C93" s="29"/>
      <c r="D93" s="29"/>
      <c r="E93" s="29"/>
      <c r="F93" s="29"/>
      <c r="G93" s="69" t="s">
        <v>68</v>
      </c>
      <c r="H93" s="29"/>
      <c r="I93" s="29"/>
      <c r="J93" s="38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>
        <v>0</v>
      </c>
      <c r="H94" s="68">
        <f t="shared" ref="H94:H101" si="0">custval_date</f>
        <v>45291</v>
      </c>
      <c r="I94" s="70" t="s">
        <v>53</v>
      </c>
      <c r="J94" s="70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0</v>
      </c>
      <c r="H95" s="68">
        <f t="shared" si="0"/>
        <v>45291</v>
      </c>
      <c r="I95" s="70" t="s">
        <v>53</v>
      </c>
      <c r="J95" s="70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4220.9953699573898</v>
      </c>
      <c r="H96" s="68">
        <f t="shared" si="0"/>
        <v>45291</v>
      </c>
      <c r="I96" s="70" t="s">
        <v>53</v>
      </c>
      <c r="J96" s="70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8">
        <f t="shared" si="0"/>
        <v>45291</v>
      </c>
      <c r="I97" s="70" t="s">
        <v>78</v>
      </c>
      <c r="J97" s="70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0.54769380678923496</v>
      </c>
      <c r="H98" s="68">
        <f t="shared" si="0"/>
        <v>45291</v>
      </c>
      <c r="I98" s="70" t="s">
        <v>79</v>
      </c>
      <c r="J98" s="70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0.54769380678923496</v>
      </c>
      <c r="H99" s="68">
        <f t="shared" si="0"/>
        <v>45291</v>
      </c>
      <c r="I99" s="70" t="s">
        <v>79</v>
      </c>
      <c r="J99" s="70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8">
        <f t="shared" si="0"/>
        <v>45291</v>
      </c>
      <c r="I100" s="70" t="s">
        <v>78</v>
      </c>
      <c r="J100" s="70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8">
        <f t="shared" si="0"/>
        <v>45291</v>
      </c>
      <c r="I101" s="70" t="s">
        <v>78</v>
      </c>
      <c r="J101" s="70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7" t="s">
        <v>217</v>
      </c>
      <c r="B106" s="17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6"/>
      <c r="O106" s="16"/>
      <c r="P106" s="16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8"/>
      <c r="E110" s="298"/>
      <c r="F110" s="297"/>
      <c r="G110" s="297" t="s">
        <v>17</v>
      </c>
      <c r="H110" s="297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pane="topRight"/>
      <selection pane="bottomLeft"/>
      <selection pane="bottomRight" activeCell="I36" sqref="I36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94"/>
      <c r="AI1" s="394"/>
      <c r="AJ1" s="394"/>
    </row>
    <row r="2" spans="1:43" ht="18.75" x14ac:dyDescent="0.3">
      <c r="A2" s="55" t="str">
        <f>proj</f>
        <v>R switchboard and relay retirement</v>
      </c>
      <c r="B2" s="5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94"/>
      <c r="AI2" s="394"/>
      <c r="AJ2" s="394"/>
    </row>
    <row r="3" spans="1:43" ht="15.75" x14ac:dyDescent="0.25">
      <c r="A3" s="202" t="s">
        <v>142</v>
      </c>
      <c r="B3" s="5"/>
      <c r="C3" s="133"/>
      <c r="D3" s="93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">
        <v>92</v>
      </c>
      <c r="B6" s="97"/>
      <c r="C6" s="98"/>
      <c r="D6" s="97"/>
      <c r="E6" s="99"/>
      <c r="F6" s="99"/>
      <c r="G6" s="99"/>
      <c r="H6" s="150">
        <v>0</v>
      </c>
      <c r="I6" s="100">
        <f t="shared" ref="I6:AG6" si="0">H6+1</f>
        <v>1</v>
      </c>
      <c r="J6" s="100">
        <f t="shared" si="0"/>
        <v>2</v>
      </c>
      <c r="K6" s="100">
        <f t="shared" si="0"/>
        <v>3</v>
      </c>
      <c r="L6" s="100">
        <f t="shared" si="0"/>
        <v>4</v>
      </c>
      <c r="M6" s="100">
        <f t="shared" si="0"/>
        <v>5</v>
      </c>
      <c r="N6" s="100">
        <f t="shared" si="0"/>
        <v>6</v>
      </c>
      <c r="O6" s="100">
        <f t="shared" si="0"/>
        <v>7</v>
      </c>
      <c r="P6" s="100">
        <f t="shared" si="0"/>
        <v>8</v>
      </c>
      <c r="Q6" s="100">
        <f t="shared" si="0"/>
        <v>9</v>
      </c>
      <c r="R6" s="100">
        <f t="shared" si="0"/>
        <v>10</v>
      </c>
      <c r="S6" s="100">
        <f t="shared" si="0"/>
        <v>11</v>
      </c>
      <c r="T6" s="100">
        <f t="shared" si="0"/>
        <v>12</v>
      </c>
      <c r="U6" s="100">
        <f t="shared" si="0"/>
        <v>13</v>
      </c>
      <c r="V6" s="100">
        <f t="shared" si="0"/>
        <v>14</v>
      </c>
      <c r="W6" s="100">
        <f t="shared" si="0"/>
        <v>15</v>
      </c>
      <c r="X6" s="100">
        <f t="shared" si="0"/>
        <v>16</v>
      </c>
      <c r="Y6" s="100">
        <f t="shared" si="0"/>
        <v>17</v>
      </c>
      <c r="Z6" s="100">
        <f t="shared" si="0"/>
        <v>18</v>
      </c>
      <c r="AA6" s="100">
        <f t="shared" si="0"/>
        <v>19</v>
      </c>
      <c r="AB6" s="100">
        <f t="shared" si="0"/>
        <v>20</v>
      </c>
      <c r="AC6" s="100">
        <f t="shared" si="0"/>
        <v>21</v>
      </c>
      <c r="AD6" s="100">
        <f t="shared" si="0"/>
        <v>22</v>
      </c>
      <c r="AE6" s="100">
        <f t="shared" si="0"/>
        <v>23</v>
      </c>
      <c r="AF6" s="100">
        <f t="shared" si="0"/>
        <v>24</v>
      </c>
      <c r="AG6" s="100">
        <f t="shared" si="0"/>
        <v>25</v>
      </c>
    </row>
    <row r="7" spans="1:43" hidden="1" outlineLevel="1" x14ac:dyDescent="0.2">
      <c r="A7" s="97" t="s">
        <v>127</v>
      </c>
      <c r="B7" s="97"/>
      <c r="G7" s="159" t="s">
        <v>63</v>
      </c>
      <c r="I7" s="98">
        <f>IF(ISBLANK(Assumptions!K90), H7,Assumptions!K90*thous_conv)</f>
        <v>24.730486797759085</v>
      </c>
      <c r="J7" s="98">
        <f>IF(ISBLANK(Assumptions!L90), I7,Assumptions!L90*thous_conv)</f>
        <v>22.340740091772258</v>
      </c>
      <c r="K7" s="98">
        <f>IF(ISBLANK(Assumptions!M90), J7,Assumptions!M90*thous_conv)</f>
        <v>20.196329122153124</v>
      </c>
      <c r="L7" s="98">
        <f>IF(ISBLANK(Assumptions!N90), K7,Assumptions!N90*thous_conv)</f>
        <v>18.06294207659629</v>
      </c>
      <c r="M7" s="98">
        <f>IF(ISBLANK(Assumptions!O90), L7,Assumptions!O90*thous_conv)</f>
        <v>15.913397615084225</v>
      </c>
      <c r="N7" s="98">
        <f>IF(ISBLANK(Assumptions!P90), M7,Assumptions!P90*thous_conv)</f>
        <v>13.715069432539002</v>
      </c>
      <c r="O7" s="98">
        <f>IF(ISBLANK(Assumptions!Q90), N7,Assumptions!Q90*thous_conv)</f>
        <v>13.715069432539002</v>
      </c>
      <c r="P7" s="98">
        <f>IF(ISBLANK(Assumptions!R90), O7,Assumptions!R90*thous_conv)</f>
        <v>13.715069432539002</v>
      </c>
      <c r="Q7" s="98">
        <f>IF(ISBLANK(Assumptions!S90), P7,Assumptions!S90*thous_conv)</f>
        <v>13.715069432539002</v>
      </c>
      <c r="R7" s="98">
        <f>IF(ISBLANK(Assumptions!T90), Q7,Assumptions!T90*thous_conv)</f>
        <v>13.715069432539002</v>
      </c>
      <c r="S7" s="98">
        <f>IF(ISBLANK(Assumptions!U90), R7,Assumptions!U90*thous_conv)</f>
        <v>13.715069432539002</v>
      </c>
      <c r="T7" s="98">
        <f>IF(ISBLANK(Assumptions!V90), S7,Assumptions!V90*thous_conv)</f>
        <v>13.715069432539002</v>
      </c>
      <c r="U7" s="98">
        <f>IF(ISBLANK(Assumptions!W90), T7,Assumptions!W90*thous_conv)</f>
        <v>13.715069432539002</v>
      </c>
      <c r="V7" s="98">
        <f>IF(ISBLANK(Assumptions!X90), U7,Assumptions!X90*thous_conv)</f>
        <v>13.715069432539002</v>
      </c>
      <c r="W7" s="98">
        <f>IF(ISBLANK(Assumptions!Y90), V7,Assumptions!Y90*thous_conv)</f>
        <v>13.715069432539002</v>
      </c>
      <c r="X7" s="98">
        <f>IF(ISBLANK(Assumptions!Z90), W7,Assumptions!Z90*thous_conv)</f>
        <v>13.715069432539002</v>
      </c>
      <c r="Y7" s="98">
        <f>IF(ISBLANK(Assumptions!AA90), X7,Assumptions!AA90*thous_conv)</f>
        <v>13.715069432539002</v>
      </c>
      <c r="Z7" s="98">
        <f>IF(ISBLANK(Assumptions!AB90), Y7,Assumptions!AB90*thous_conv)</f>
        <v>13.715069432539002</v>
      </c>
      <c r="AA7" s="98">
        <f>IF(ISBLANK(Assumptions!AC90), Z7,Assumptions!AC90*thous_conv)</f>
        <v>13.715069432539002</v>
      </c>
      <c r="AB7" s="98">
        <f>IF(ISBLANK(Assumptions!AD90), AA7,Assumptions!AD90*thous_conv)</f>
        <v>13.715069432539002</v>
      </c>
      <c r="AC7" s="98">
        <f>IF(ISBLANK(Assumptions!AE90), AB7,Assumptions!AE90*thous_conv)</f>
        <v>13.715069432539002</v>
      </c>
      <c r="AD7" s="98">
        <f>IF(ISBLANK(Assumptions!AF90), AC7,Assumptions!AF90*thous_conv)</f>
        <v>13.715069432539002</v>
      </c>
      <c r="AE7" s="98">
        <f>IF(ISBLANK(Assumptions!AG90), AD7,Assumptions!AG90*thous_conv)</f>
        <v>13.715069432539002</v>
      </c>
      <c r="AF7" s="98">
        <f>IF(ISBLANK(Assumptions!AH90), AE7,Assumptions!AH90*thous_conv)</f>
        <v>13.715069432539002</v>
      </c>
      <c r="AG7" s="98">
        <f>IF(ISBLANK(Assumptions!AI90), AF7,Assumptions!AI90*thous_conv)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8" t="s">
        <v>120</v>
      </c>
      <c r="B11" s="88"/>
      <c r="C11" s="89"/>
      <c r="D11" s="89"/>
      <c r="E11" s="89"/>
      <c r="F11" s="89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6" t="s">
        <v>57</v>
      </c>
      <c r="D14"/>
      <c r="E14" s="147">
        <v>0</v>
      </c>
      <c r="G14" s="206">
        <f>input_dollars</f>
        <v>45291</v>
      </c>
      <c r="H14" s="2"/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6" t="s">
        <v>57</v>
      </c>
      <c r="D15"/>
      <c r="E15" s="147">
        <v>0</v>
      </c>
      <c r="G15" s="206">
        <f>input_dollars</f>
        <v>45291</v>
      </c>
      <c r="H15" s="2"/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6" t="s">
        <v>57</v>
      </c>
      <c r="D16"/>
      <c r="E16" s="147">
        <v>0</v>
      </c>
      <c r="G16" s="206">
        <f>input_dollars</f>
        <v>45291</v>
      </c>
      <c r="H16" s="2"/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AB17" si="2">SUM(I14:I16)</f>
        <v>0</v>
      </c>
      <c r="J17" s="105">
        <f t="shared" si="2"/>
        <v>0</v>
      </c>
      <c r="K17" s="105">
        <f t="shared" si="2"/>
        <v>0</v>
      </c>
      <c r="L17" s="105">
        <f t="shared" si="2"/>
        <v>0</v>
      </c>
      <c r="M17" s="105">
        <f t="shared" si="2"/>
        <v>0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105">
        <f t="shared" si="2"/>
        <v>0</v>
      </c>
      <c r="U17" s="105">
        <f t="shared" si="2"/>
        <v>0</v>
      </c>
      <c r="V17" s="105">
        <f t="shared" si="2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8" t="s">
        <v>150</v>
      </c>
      <c r="B22" s="88"/>
      <c r="C22" s="88"/>
      <c r="D22" s="88"/>
      <c r="E22" s="88"/>
      <c r="F22" s="88"/>
      <c r="G22" s="203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50104.893056593428</v>
      </c>
      <c r="F28" s="237" t="str">
        <f>IF(AND(SUM(I27:AG27)&lt;&gt;0, E28=0), "!", "")</f>
        <v/>
      </c>
      <c r="G28" s="206">
        <f>input_dollars</f>
        <v>45291</v>
      </c>
      <c r="H28"/>
      <c r="I28" s="167">
        <f>Workings_risks!E30</f>
        <v>62651.835185184194</v>
      </c>
      <c r="J28" s="167">
        <f>Workings_risks!F30</f>
        <v>70757.565448872745</v>
      </c>
      <c r="K28" s="167">
        <f>Workings_risks!G30</f>
        <v>72315.804867931045</v>
      </c>
      <c r="L28" s="167">
        <f>Workings_risks!H30</f>
        <v>73067.106443036217</v>
      </c>
      <c r="M28" s="167">
        <f>Workings_risks!I30</f>
        <v>73501.168606780629</v>
      </c>
      <c r="N28" s="167">
        <f>Workings_risks!J30</f>
        <v>74168.933898988384</v>
      </c>
      <c r="O28" s="167">
        <f>Workings_risks!K30</f>
        <v>75600.152723208259</v>
      </c>
      <c r="P28" s="167">
        <f>Workings_risks!L30</f>
        <v>77678.414308515086</v>
      </c>
      <c r="Q28" s="167">
        <f>Workings_risks!M30</f>
        <v>79142.574892390083</v>
      </c>
      <c r="R28" s="167">
        <f>Workings_risks!N30</f>
        <v>81331.1184770119</v>
      </c>
      <c r="S28" s="167">
        <f>Workings_risks!O30</f>
        <v>84472.402974647775</v>
      </c>
      <c r="T28" s="167">
        <f>Workings_risks!P30</f>
        <v>88950.956528861483</v>
      </c>
      <c r="U28" s="167">
        <f>Workings_risks!Q30</f>
        <v>95353.058052475273</v>
      </c>
      <c r="V28" s="167">
        <f>Workings_risks!R30</f>
        <v>104526.3292595681</v>
      </c>
      <c r="W28" s="167">
        <f>Workings_risks!S30</f>
        <v>117697.39090330616</v>
      </c>
      <c r="X28" s="167">
        <f>Workings_risks!T30</f>
        <v>136642.80938649271</v>
      </c>
      <c r="Y28" s="167">
        <f>Workings_risks!U30</f>
        <v>163930.57482090726</v>
      </c>
      <c r="Z28" s="167">
        <f>Workings_risks!V30</f>
        <v>203286.23359059074</v>
      </c>
      <c r="AA28" s="167">
        <f>Workings_risks!W30</f>
        <v>210574.86199388589</v>
      </c>
      <c r="AB28" s="167">
        <f>Workings_risks!X30</f>
        <v>211126.05384366435</v>
      </c>
      <c r="AC28" s="167">
        <f>Workings_risks!Y30</f>
        <v>211797.84358252294</v>
      </c>
      <c r="AD28" s="167">
        <f>Workings_risks!Z30</f>
        <v>211967.43629674742</v>
      </c>
      <c r="AE28" s="167">
        <f>Workings_risks!AA30</f>
        <v>212167.28000483068</v>
      </c>
      <c r="AF28" s="167">
        <f>Workings_risks!AB30</f>
        <v>212402.94010179094</v>
      </c>
      <c r="AG28" s="167">
        <f>Workings_risks!AC30</f>
        <v>212681.02512915578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Workings_risks!D31</f>
        <v>Safety risk</v>
      </c>
      <c r="D30" s="204" t="s">
        <v>208</v>
      </c>
      <c r="G30" s="206">
        <f>input_dollars</f>
        <v>45291</v>
      </c>
      <c r="H30" s="148"/>
      <c r="I30" s="31">
        <f>Workings_risks!E31</f>
        <v>2031.4305734685131</v>
      </c>
      <c r="J30" s="364">
        <f>Workings_risks!F31</f>
        <v>2314.1942495887993</v>
      </c>
      <c r="K30" s="364">
        <f>Workings_risks!G31</f>
        <v>2672.3237436992667</v>
      </c>
      <c r="L30" s="364">
        <f>Workings_risks!H31</f>
        <v>3130.1342095173195</v>
      </c>
      <c r="M30" s="364">
        <f>Workings_risks!I31</f>
        <v>3751.8671934333934</v>
      </c>
      <c r="N30" s="364">
        <f>Workings_risks!J31</f>
        <v>4579.9888859352841</v>
      </c>
      <c r="O30" s="364">
        <f>Workings_risks!K31</f>
        <v>5637.9260724955029</v>
      </c>
      <c r="P30" s="364">
        <f>Workings_risks!L31</f>
        <v>6992.9865977401059</v>
      </c>
      <c r="Q30" s="364">
        <f>Workings_risks!M31</f>
        <v>8733.2361515391185</v>
      </c>
      <c r="R30" s="364">
        <f>Workings_risks!N31</f>
        <v>10974.460582955828</v>
      </c>
      <c r="S30" s="364">
        <f>Workings_risks!O31</f>
        <v>13869.949829300891</v>
      </c>
      <c r="T30" s="364">
        <f>Workings_risks!P31</f>
        <v>17619.59288844444</v>
      </c>
      <c r="U30" s="364">
        <f>Workings_risks!Q31</f>
        <v>22489.774881393208</v>
      </c>
      <c r="V30" s="364">
        <f>Workings_risks!R31</f>
        <v>28834.731624143969</v>
      </c>
      <c r="W30" s="364">
        <f>Workings_risks!S31</f>
        <v>37127.178497491026</v>
      </c>
      <c r="X30" s="364">
        <f>Workings_risks!T31</f>
        <v>48000.191512278674</v>
      </c>
      <c r="Y30" s="364">
        <f>Workings_risks!U31</f>
        <v>58750.751753424956</v>
      </c>
      <c r="Z30" s="364">
        <f>Workings_risks!V31</f>
        <v>65901.912634241555</v>
      </c>
      <c r="AA30" s="364">
        <f>Workings_risks!W31</f>
        <v>73824.685138797213</v>
      </c>
      <c r="AB30" s="364">
        <f>Workings_risks!X31</f>
        <v>84515.319300192015</v>
      </c>
      <c r="AC30" s="364">
        <f>Workings_risks!Y31</f>
        <v>97566.709458185651</v>
      </c>
      <c r="AD30" s="364">
        <f>Workings_risks!Z31</f>
        <v>97588.869267296148</v>
      </c>
      <c r="AE30" s="364">
        <f>Workings_risks!AA31</f>
        <v>97613.994051000584</v>
      </c>
      <c r="AF30" s="364">
        <f>Workings_risks!AB31</f>
        <v>97642.521216841298</v>
      </c>
      <c r="AG30" s="364">
        <f>Workings_risks!AC31</f>
        <v>97674.958392418688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362" t="str">
        <f>Workings_risks!D32</f>
        <v>Unplanned replacement risk</v>
      </c>
      <c r="D31" s="205"/>
      <c r="E31"/>
      <c r="G31" s="206">
        <f>input_dollars</f>
        <v>45291</v>
      </c>
      <c r="H31" s="148"/>
      <c r="I31" s="364">
        <f>Workings_risks!E32</f>
        <v>11476.569259017157</v>
      </c>
      <c r="J31" s="364">
        <f>Workings_risks!F32</f>
        <v>12124.312812541435</v>
      </c>
      <c r="K31" s="364">
        <f>Workings_risks!G32</f>
        <v>12967.627089466105</v>
      </c>
      <c r="L31" s="364">
        <f>Workings_risks!H32</f>
        <v>14098.497918658573</v>
      </c>
      <c r="M31" s="364">
        <f>Workings_risks!I32</f>
        <v>15579.048388757208</v>
      </c>
      <c r="N31" s="364">
        <f>Workings_risks!J32</f>
        <v>17506.968857070089</v>
      </c>
      <c r="O31" s="364">
        <f>Workings_risks!K32</f>
        <v>19979.061776846997</v>
      </c>
      <c r="P31" s="364">
        <f>Workings_risks!L32</f>
        <v>23158.917890962941</v>
      </c>
      <c r="Q31" s="364">
        <f>Workings_risks!M32</f>
        <v>27262.469579607128</v>
      </c>
      <c r="R31" s="364">
        <f>Workings_risks!N32</f>
        <v>32577.466789769333</v>
      </c>
      <c r="S31" s="364">
        <f>Workings_risks!O32</f>
        <v>39493.315285144425</v>
      </c>
      <c r="T31" s="364">
        <f>Workings_risks!P32</f>
        <v>48510.190676242411</v>
      </c>
      <c r="U31" s="364">
        <f>Workings_risks!Q32</f>
        <v>60310.684936401616</v>
      </c>
      <c r="V31" s="364">
        <f>Workings_risks!R32</f>
        <v>75814.404873440784</v>
      </c>
      <c r="W31" s="364">
        <f>Workings_risks!S32</f>
        <v>96265.639543023921</v>
      </c>
      <c r="X31" s="364">
        <f>Workings_risks!T32</f>
        <v>123355.30419423086</v>
      </c>
      <c r="Y31" s="364">
        <f>Workings_risks!U32</f>
        <v>151149.01127517075</v>
      </c>
      <c r="Z31" s="364">
        <f>Workings_risks!V32</f>
        <v>172084.22655507814</v>
      </c>
      <c r="AA31" s="364">
        <f>Workings_risks!W32</f>
        <v>182437.33867681955</v>
      </c>
      <c r="AB31" s="364">
        <f>Workings_risks!X32</f>
        <v>193105.31801621316</v>
      </c>
      <c r="AC31" s="364">
        <f>Workings_risks!Y32</f>
        <v>206030.07787731738</v>
      </c>
      <c r="AD31" s="364">
        <f>Workings_risks!Z32</f>
        <v>206147.77727562233</v>
      </c>
      <c r="AE31" s="364">
        <f>Workings_risks!AA32</f>
        <v>206282.81749256758</v>
      </c>
      <c r="AF31" s="364">
        <f>Workings_risks!AB32</f>
        <v>206437.9890356948</v>
      </c>
      <c r="AG31" s="364">
        <f>Workings_risks!AC32</f>
        <v>206616.5619304929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362" t="str">
        <f>Workings_risks!D33</f>
        <v>Unplanned fault risk</v>
      </c>
      <c r="D32" s="204" t="s">
        <v>208</v>
      </c>
      <c r="E32"/>
      <c r="G32" s="206">
        <f>input_dollars</f>
        <v>45291</v>
      </c>
      <c r="H32"/>
      <c r="I32" s="364">
        <f>Workings_risks!E33</f>
        <v>762</v>
      </c>
      <c r="J32" s="364">
        <f>Workings_risks!F33</f>
        <v>762</v>
      </c>
      <c r="K32" s="364">
        <f>Workings_risks!G33</f>
        <v>762</v>
      </c>
      <c r="L32" s="364">
        <f>Workings_risks!H33</f>
        <v>762</v>
      </c>
      <c r="M32" s="364">
        <f>Workings_risks!I33</f>
        <v>762</v>
      </c>
      <c r="N32" s="364">
        <f>Workings_risks!J33</f>
        <v>762</v>
      </c>
      <c r="O32" s="364">
        <f>Workings_risks!K33</f>
        <v>762</v>
      </c>
      <c r="P32" s="364">
        <f>Workings_risks!L33</f>
        <v>762</v>
      </c>
      <c r="Q32" s="364">
        <f>Workings_risks!M33</f>
        <v>762</v>
      </c>
      <c r="R32" s="364">
        <f>Workings_risks!N33</f>
        <v>762</v>
      </c>
      <c r="S32" s="364">
        <f>Workings_risks!O33</f>
        <v>762</v>
      </c>
      <c r="T32" s="364">
        <f>Workings_risks!P33</f>
        <v>762</v>
      </c>
      <c r="U32" s="364">
        <f>Workings_risks!Q33</f>
        <v>762</v>
      </c>
      <c r="V32" s="364">
        <f>Workings_risks!R33</f>
        <v>762</v>
      </c>
      <c r="W32" s="364">
        <f>Workings_risks!S33</f>
        <v>762</v>
      </c>
      <c r="X32" s="364">
        <f>Workings_risks!T33</f>
        <v>762</v>
      </c>
      <c r="Y32" s="364">
        <f>Workings_risks!U33</f>
        <v>762</v>
      </c>
      <c r="Z32" s="364">
        <f>Workings_risks!V33</f>
        <v>762</v>
      </c>
      <c r="AA32" s="364">
        <f>Workings_risks!W33</f>
        <v>762</v>
      </c>
      <c r="AB32" s="364">
        <f>Workings_risks!X33</f>
        <v>762</v>
      </c>
      <c r="AC32" s="364">
        <f>Workings_risks!Y33</f>
        <v>762</v>
      </c>
      <c r="AD32" s="364">
        <f>Workings_risks!Z33</f>
        <v>762</v>
      </c>
      <c r="AE32" s="364">
        <f>Workings_risks!AA33</f>
        <v>762</v>
      </c>
      <c r="AF32" s="364">
        <f>Workings_risks!AB33</f>
        <v>762</v>
      </c>
      <c r="AG32" s="364">
        <f>Workings_risks!AC33</f>
        <v>762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62" t="str">
        <f>Workings_risks!D34</f>
        <v>Environmental risk</v>
      </c>
      <c r="D33" s="218"/>
      <c r="E33"/>
      <c r="G33" s="206">
        <f>input_dollars</f>
        <v>45291</v>
      </c>
      <c r="H33"/>
      <c r="I33" s="364">
        <f>Workings_risks!E34</f>
        <v>207.68260030401137</v>
      </c>
      <c r="J33" s="364">
        <f>Workings_risks!F34</f>
        <v>247.52742207989272</v>
      </c>
      <c r="K33" s="364">
        <f>Workings_risks!G34</f>
        <v>297.70065695235382</v>
      </c>
      <c r="L33" s="364">
        <f>Workings_risks!H34</f>
        <v>361.17014512970161</v>
      </c>
      <c r="M33" s="364">
        <f>Workings_risks!I34</f>
        <v>447.3266492223222</v>
      </c>
      <c r="N33" s="364">
        <f>Workings_risks!J34</f>
        <v>561.98327292398869</v>
      </c>
      <c r="O33" s="364">
        <f>Workings_risks!K34</f>
        <v>708.19901543217316</v>
      </c>
      <c r="P33" s="364">
        <f>Workings_risks!L34</f>
        <v>895.10778190520273</v>
      </c>
      <c r="Q33" s="364">
        <f>Workings_risks!M34</f>
        <v>1134.6152353346779</v>
      </c>
      <c r="R33" s="364">
        <f>Workings_risks!N34</f>
        <v>1442.2967486406606</v>
      </c>
      <c r="S33" s="364">
        <f>Workings_risks!O34</f>
        <v>1838.6265482993808</v>
      </c>
      <c r="T33" s="364">
        <f>Workings_risks!P34</f>
        <v>2350.3397145808153</v>
      </c>
      <c r="U33" s="364">
        <f>Workings_risks!Q34</f>
        <v>3012.7894870520199</v>
      </c>
      <c r="V33" s="364">
        <f>Workings_risks!R34</f>
        <v>3872.734451843065</v>
      </c>
      <c r="W33" s="364">
        <f>Workings_risks!S34</f>
        <v>4992.2159222867249</v>
      </c>
      <c r="X33" s="364">
        <f>Workings_risks!T34</f>
        <v>6453.8221806434667</v>
      </c>
      <c r="Y33" s="364">
        <f>Workings_risks!U34</f>
        <v>7867.0607514362591</v>
      </c>
      <c r="Z33" s="364">
        <f>Workings_risks!V34</f>
        <v>8728.0576879588498</v>
      </c>
      <c r="AA33" s="364">
        <f>Workings_risks!W34</f>
        <v>9817.7702597914413</v>
      </c>
      <c r="AB33" s="364">
        <f>Workings_risks!X34</f>
        <v>11322.90302587583</v>
      </c>
      <c r="AC33" s="364">
        <f>Workings_risks!Y34</f>
        <v>13160.423883855345</v>
      </c>
      <c r="AD33" s="364">
        <f>Workings_risks!Z34</f>
        <v>13162.913257688404</v>
      </c>
      <c r="AE33" s="364">
        <f>Workings_risks!AA34</f>
        <v>13165.707447214078</v>
      </c>
      <c r="AF33" s="364">
        <f>Workings_risks!AB34</f>
        <v>13168.847298146778</v>
      </c>
      <c r="AG33" s="364">
        <f>Workings_risks!AC34</f>
        <v>13172.379653805279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362" t="str">
        <f>Workings_risks!D35</f>
        <v>Other risk</v>
      </c>
      <c r="D34" s="205"/>
      <c r="E34"/>
      <c r="G34" s="206">
        <f>input_dollars</f>
        <v>45291</v>
      </c>
      <c r="H34"/>
      <c r="I34" s="364">
        <f>Workings_risks!E35</f>
        <v>30000</v>
      </c>
      <c r="J34" s="364">
        <f>Workings_risks!F35</f>
        <v>30000</v>
      </c>
      <c r="K34" s="364">
        <f>Workings_risks!G35</f>
        <v>30000</v>
      </c>
      <c r="L34" s="364">
        <f>Workings_risks!H35</f>
        <v>30000</v>
      </c>
      <c r="M34" s="364">
        <f>Workings_risks!I35</f>
        <v>30000</v>
      </c>
      <c r="N34" s="364">
        <f>Workings_risks!J35</f>
        <v>30000</v>
      </c>
      <c r="O34" s="364">
        <f>Workings_risks!K35</f>
        <v>30000</v>
      </c>
      <c r="P34" s="364">
        <f>Workings_risks!L35</f>
        <v>30000</v>
      </c>
      <c r="Q34" s="364">
        <f>Workings_risks!M35</f>
        <v>30000</v>
      </c>
      <c r="R34" s="364">
        <f>Workings_risks!N35</f>
        <v>30000</v>
      </c>
      <c r="S34" s="364">
        <f>Workings_risks!O35</f>
        <v>30000</v>
      </c>
      <c r="T34" s="364">
        <f>Workings_risks!P35</f>
        <v>30000</v>
      </c>
      <c r="U34" s="364">
        <f>Workings_risks!Q35</f>
        <v>30000</v>
      </c>
      <c r="V34" s="364">
        <f>Workings_risks!R35</f>
        <v>30000</v>
      </c>
      <c r="W34" s="364">
        <f>Workings_risks!S35</f>
        <v>30000</v>
      </c>
      <c r="X34" s="364">
        <f>Workings_risks!T35</f>
        <v>30000</v>
      </c>
      <c r="Y34" s="364">
        <f>Workings_risks!U35</f>
        <v>30000</v>
      </c>
      <c r="Z34" s="364">
        <f>Workings_risks!V35</f>
        <v>30000</v>
      </c>
      <c r="AA34" s="364">
        <f>Workings_risks!W35</f>
        <v>30000</v>
      </c>
      <c r="AB34" s="364">
        <f>Workings_risks!X35</f>
        <v>30000</v>
      </c>
      <c r="AC34" s="364">
        <f>Workings_risks!Y35</f>
        <v>30000</v>
      </c>
      <c r="AD34" s="364">
        <f>Workings_risks!Z35</f>
        <v>30000</v>
      </c>
      <c r="AE34" s="364">
        <f>Workings_risks!AA35</f>
        <v>30000</v>
      </c>
      <c r="AF34" s="364">
        <f>Workings_risks!AB35</f>
        <v>30000</v>
      </c>
      <c r="AG34" s="364">
        <f>Workings_risks!AC35</f>
        <v>30000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05">
        <f>SUM(I28:I34)</f>
        <v>107129.51761797386</v>
      </c>
      <c r="J36" s="105">
        <f t="shared" ref="J36:AB36" si="3">SUM(J28:J34)</f>
        <v>116205.59993308286</v>
      </c>
      <c r="K36" s="105">
        <f t="shared" si="3"/>
        <v>119015.45635804876</v>
      </c>
      <c r="L36" s="105">
        <f t="shared" si="3"/>
        <v>121418.9087163418</v>
      </c>
      <c r="M36" s="105">
        <f t="shared" si="3"/>
        <v>124041.41083819355</v>
      </c>
      <c r="N36" s="105">
        <f t="shared" si="3"/>
        <v>127579.87491491773</v>
      </c>
      <c r="O36" s="105">
        <f t="shared" si="3"/>
        <v>132687.33958798292</v>
      </c>
      <c r="P36" s="105">
        <f t="shared" si="3"/>
        <v>139487.42657912333</v>
      </c>
      <c r="Q36" s="105">
        <f t="shared" si="3"/>
        <v>147034.89585887102</v>
      </c>
      <c r="R36" s="105">
        <f t="shared" si="3"/>
        <v>157087.34259837773</v>
      </c>
      <c r="S36" s="105">
        <f t="shared" si="3"/>
        <v>170436.29463739248</v>
      </c>
      <c r="T36" s="105">
        <f t="shared" si="3"/>
        <v>188193.07980812917</v>
      </c>
      <c r="U36" s="105">
        <f t="shared" si="3"/>
        <v>211928.3073573221</v>
      </c>
      <c r="V36" s="105">
        <f t="shared" si="3"/>
        <v>243810.20020899596</v>
      </c>
      <c r="W36" s="105">
        <f t="shared" si="3"/>
        <v>286844.42486610787</v>
      </c>
      <c r="X36" s="105">
        <f t="shared" si="3"/>
        <v>345214.12727364572</v>
      </c>
      <c r="Y36" s="105">
        <f t="shared" si="3"/>
        <v>412459.39860093925</v>
      </c>
      <c r="Z36" s="105">
        <f t="shared" si="3"/>
        <v>480762.43046786933</v>
      </c>
      <c r="AA36" s="105">
        <f t="shared" si="3"/>
        <v>507416.65606929414</v>
      </c>
      <c r="AB36" s="105">
        <f t="shared" si="3"/>
        <v>530831.59418594535</v>
      </c>
      <c r="AC36" s="105">
        <f>SUM(AC28:AC34)</f>
        <v>559317.05480188131</v>
      </c>
      <c r="AD36" s="105">
        <f>SUM(AD28:AD34)</f>
        <v>559628.99609735433</v>
      </c>
      <c r="AE36" s="105">
        <f>SUM(AE28:AE34)</f>
        <v>559991.79899561289</v>
      </c>
      <c r="AF36" s="105">
        <f>SUM(AF28:AF34)</f>
        <v>560414.29765247379</v>
      </c>
      <c r="AG36" s="105">
        <f>SUM(AG28:AG34)</f>
        <v>560906.92510587268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8" t="s">
        <v>56</v>
      </c>
      <c r="B38" s="88"/>
      <c r="C38" s="88"/>
      <c r="D38" s="88"/>
      <c r="E38" s="88"/>
      <c r="F38" s="88"/>
      <c r="G38" s="203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</row>
    <row r="42" spans="1:16372" ht="13.5" x14ac:dyDescent="0.25">
      <c r="C42" s="1" t="s">
        <v>129</v>
      </c>
      <c r="G42" s="204" t="s">
        <v>104</v>
      </c>
      <c r="I42" s="30">
        <f t="shared" ref="I42:AG42" si="4">I41*I7</f>
        <v>0</v>
      </c>
      <c r="J42" s="30">
        <f t="shared" si="4"/>
        <v>0</v>
      </c>
      <c r="K42" s="30">
        <f t="shared" si="4"/>
        <v>0</v>
      </c>
      <c r="L42" s="30">
        <f t="shared" si="4"/>
        <v>0</v>
      </c>
      <c r="M42" s="30">
        <f t="shared" si="4"/>
        <v>0</v>
      </c>
      <c r="N42" s="30">
        <f t="shared" si="4"/>
        <v>0</v>
      </c>
      <c r="O42" s="30">
        <f t="shared" si="4"/>
        <v>0</v>
      </c>
      <c r="P42" s="30">
        <f t="shared" si="4"/>
        <v>0</v>
      </c>
      <c r="Q42" s="30">
        <f t="shared" si="4"/>
        <v>0</v>
      </c>
      <c r="R42" s="30">
        <f t="shared" si="4"/>
        <v>0</v>
      </c>
      <c r="S42" s="30">
        <f t="shared" si="4"/>
        <v>0</v>
      </c>
      <c r="T42" s="30">
        <f t="shared" si="4"/>
        <v>0</v>
      </c>
      <c r="U42" s="30">
        <f t="shared" si="4"/>
        <v>0</v>
      </c>
      <c r="V42" s="30">
        <f t="shared" si="4"/>
        <v>0</v>
      </c>
      <c r="W42" s="30">
        <f t="shared" si="4"/>
        <v>0</v>
      </c>
      <c r="X42" s="30">
        <f t="shared" si="4"/>
        <v>0</v>
      </c>
      <c r="Y42" s="30">
        <f t="shared" si="4"/>
        <v>0</v>
      </c>
      <c r="Z42" s="30">
        <f t="shared" si="4"/>
        <v>0</v>
      </c>
      <c r="AA42" s="30">
        <f t="shared" si="4"/>
        <v>0</v>
      </c>
      <c r="AB42" s="30">
        <f t="shared" si="4"/>
        <v>0</v>
      </c>
      <c r="AC42" s="30">
        <f t="shared" si="4"/>
        <v>0</v>
      </c>
      <c r="AD42" s="30">
        <f t="shared" si="4"/>
        <v>0</v>
      </c>
      <c r="AE42" s="30">
        <f t="shared" si="4"/>
        <v>0</v>
      </c>
      <c r="AF42" s="30">
        <f t="shared" si="4"/>
        <v>0</v>
      </c>
      <c r="AG42" s="30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43" x14ac:dyDescent="0.2">
      <c r="D53" s="204"/>
      <c r="G53" s="206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</row>
    <row r="54" spans="1:43" x14ac:dyDescent="0.2">
      <c r="C54" s="1" t="s">
        <v>117</v>
      </c>
      <c r="D54" s="204"/>
      <c r="G54" s="206">
        <f>input_dollars</f>
        <v>45291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05" cm="1">
        <f t="array" ref="I57">SUMPRODUCT((I$45:I$52)*($E$45:$E$52))+SUM(I54:I55)+I42</f>
        <v>0</v>
      </c>
      <c r="J57" s="105" cm="1">
        <f t="array" ref="J57">SUMPRODUCT((J$45:J$52)*($E$45:$E$52))+SUM(J54:J55)+J42</f>
        <v>0</v>
      </c>
      <c r="K57" s="105" cm="1">
        <f t="array" ref="K57">SUMPRODUCT((K$45:K$52)*($E$45:$E$52))+SUM(K54:K55)+K42</f>
        <v>0</v>
      </c>
      <c r="L57" s="105" cm="1">
        <f t="array" ref="L57">SUMPRODUCT((L$45:L$52)*($E$45:$E$52))+SUM(L54:L55)+L42</f>
        <v>0</v>
      </c>
      <c r="M57" s="105" cm="1">
        <f t="array" ref="M57">SUMPRODUCT((M$45:M$52)*($E$45:$E$52))+SUM(M54:M55)+M42</f>
        <v>0</v>
      </c>
      <c r="N57" s="105" cm="1">
        <f t="array" ref="N57">SUMPRODUCT((N$45:N$52)*($E$45:$E$52))+SUM(N54:N55)+N42</f>
        <v>0</v>
      </c>
      <c r="O57" s="105" cm="1">
        <f t="array" ref="O57">SUMPRODUCT((O$45:O$52)*($E$45:$E$52))+SUM(O54:O55)+O42</f>
        <v>0</v>
      </c>
      <c r="P57" s="105" cm="1">
        <f t="array" ref="P57">SUMPRODUCT((P$45:P$52)*($E$45:$E$52))+SUM(P54:P55)+P42</f>
        <v>0</v>
      </c>
      <c r="Q57" s="105" cm="1">
        <f t="array" ref="Q57">SUMPRODUCT((Q$45:Q$52)*($E$45:$E$52))+SUM(Q54:Q55)+Q42</f>
        <v>0</v>
      </c>
      <c r="R57" s="105" cm="1">
        <f t="array" ref="R57">SUMPRODUCT((R$45:R$52)*($E$45:$E$52))+SUM(R54:R55)+R42</f>
        <v>0</v>
      </c>
      <c r="S57" s="105" cm="1">
        <f t="array" ref="S57">SUMPRODUCT((S$45:S$52)*($E$45:$E$52))+SUM(S54:S55)+S42</f>
        <v>0</v>
      </c>
      <c r="T57" s="105" cm="1">
        <f t="array" ref="T57">SUMPRODUCT((T$45:T$52)*($E$45:$E$52))+SUM(T54:T55)+T42</f>
        <v>0</v>
      </c>
      <c r="U57" s="105" cm="1">
        <f t="array" ref="U57">SUMPRODUCT((U$45:U$52)*($E$45:$E$52))+SUM(U54:U55)+U42</f>
        <v>0</v>
      </c>
      <c r="V57" s="105" cm="1">
        <f t="array" ref="V57">SUMPRODUCT((V$45:V$52)*($E$45:$E$52))+SUM(V54:V55)+V42</f>
        <v>0</v>
      </c>
      <c r="W57" s="105" cm="1">
        <f t="array" ref="W57">SUMPRODUCT((W$45:W$52)*($E$45:$E$52))+SUM(W54:W55)+W42</f>
        <v>0</v>
      </c>
      <c r="X57" s="105" cm="1">
        <f t="array" ref="X57">SUMPRODUCT((X$45:X$52)*($E$45:$E$52))+SUM(X54:X55)+X42</f>
        <v>0</v>
      </c>
      <c r="Y57" s="105" cm="1">
        <f t="array" ref="Y57">SUMPRODUCT((Y$45:Y$52)*($E$45:$E$52))+SUM(Y54:Y55)+Y42</f>
        <v>0</v>
      </c>
      <c r="Z57" s="105" cm="1">
        <f t="array" ref="Z57">SUMPRODUCT((Z$45:Z$52)*($E$45:$E$52))+SUM(Z54:Z55)+Z42</f>
        <v>0</v>
      </c>
      <c r="AA57" s="105" cm="1">
        <f t="array" ref="AA57">SUMPRODUCT((AA$45:AA$52)*($E$45:$E$52))+SUM(AA54:AA55)+AA42</f>
        <v>0</v>
      </c>
      <c r="AB57" s="105" cm="1">
        <f t="array" ref="AB57">SUMPRODUCT((AB$45:AB$52)*($E$45:$E$52))+SUM(AB54:AB55)+AB42</f>
        <v>0</v>
      </c>
      <c r="AC57" s="105" cm="1">
        <f t="array" ref="AC57">SUMPRODUCT((AC$45:AC$52)*($E$45:$E$52))+SUM(AC54:AC55)+AC42</f>
        <v>0</v>
      </c>
      <c r="AD57" s="105" cm="1">
        <f t="array" ref="AD57">SUMPRODUCT((AD$45:AD$52)*($E$45:$E$52))+SUM(AD54:AD55)+AD42</f>
        <v>0</v>
      </c>
      <c r="AE57" s="105" cm="1">
        <f t="array" ref="AE57">SUMPRODUCT((AE$45:AE$52)*($E$45:$E$52))+SUM(AE54:AE55)+AE42</f>
        <v>0</v>
      </c>
      <c r="AF57" s="105" cm="1">
        <f t="array" ref="AF57">SUMPRODUCT((AF$45:AF$52)*($E$45:$E$52))+SUM(AF54:AF55)+AF42</f>
        <v>0</v>
      </c>
      <c r="AG57" s="105" cm="1">
        <f t="array" ref="AG57">SUMPRODUCT((AG$45:AG$52)*($E$45:$E$52))+SUM(AG54:AG55)+AG42</f>
        <v>0</v>
      </c>
    </row>
    <row r="58" spans="1:43" x14ac:dyDescent="0.2">
      <c r="D58" s="204"/>
      <c r="G58" s="20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43" x14ac:dyDescent="0.2">
      <c r="G59" s="204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43" ht="15" x14ac:dyDescent="0.2">
      <c r="A60" s="88" t="s">
        <v>16</v>
      </c>
      <c r="B60" s="88"/>
      <c r="C60" s="88"/>
      <c r="D60" s="88"/>
      <c r="E60" s="88"/>
      <c r="F60" s="88"/>
      <c r="G60" s="203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7"/>
      <c r="F66" s="96"/>
      <c r="G66" s="212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x14ac:dyDescent="0.2">
      <c r="A67" s="8"/>
      <c r="B67" s="8"/>
      <c r="C67" s="4" t="str">
        <f>C14</f>
        <v>&lt; Enter description &gt;</v>
      </c>
      <c r="D67" s="37"/>
      <c r="F67" s="96"/>
      <c r="G67" s="209">
        <f>input_dollars</f>
        <v>45291</v>
      </c>
      <c r="H67" s="30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7"/>
      <c r="F68" s="96"/>
      <c r="G68" s="209">
        <f>input_dollars</f>
        <v>45291</v>
      </c>
      <c r="H68" s="30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7"/>
      <c r="F69" s="96"/>
      <c r="G69" s="209">
        <f>input_dollars</f>
        <v>45291</v>
      </c>
      <c r="H69" s="30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7"/>
      <c r="F70" s="96"/>
      <c r="G70" s="213"/>
      <c r="H70" s="30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7"/>
      <c r="F71" s="96"/>
      <c r="G71" s="212"/>
      <c r="H71" s="30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7"/>
      <c r="F72" s="96"/>
      <c r="G72" s="209">
        <f>input_dollars</f>
        <v>45291</v>
      </c>
      <c r="H72" s="30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7"/>
      <c r="F73" s="96"/>
      <c r="G73" s="209">
        <f>input_dollars</f>
        <v>45291</v>
      </c>
      <c r="H73" s="30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7"/>
      <c r="F74" s="96"/>
      <c r="G74" s="209">
        <f>input_dollars</f>
        <v>45291</v>
      </c>
      <c r="H74" s="30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7"/>
      <c r="F75" s="96"/>
      <c r="G75" s="213"/>
      <c r="H75" s="30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7"/>
      <c r="F76" s="96"/>
      <c r="G76" s="212"/>
      <c r="H76" s="30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7"/>
      <c r="F77" s="96"/>
      <c r="G77" s="209">
        <f>input_dollars</f>
        <v>45291</v>
      </c>
      <c r="H77" s="30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7"/>
      <c r="F78" s="96"/>
      <c r="G78" s="209">
        <f>input_dollars</f>
        <v>45291</v>
      </c>
      <c r="H78" s="30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7"/>
      <c r="F79" s="96"/>
      <c r="G79" s="209">
        <f>input_dollars</f>
        <v>45291</v>
      </c>
      <c r="H79" s="30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4"/>
      <c r="D81" s="37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7"/>
      <c r="F82" s="96"/>
      <c r="G82" s="209">
        <f t="shared" ref="G82:G87" si="12">input_dollars</f>
        <v>45291</v>
      </c>
      <c r="H82" s="30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7"/>
      <c r="F83" s="96"/>
      <c r="G83" s="209">
        <f t="shared" si="12"/>
        <v>45291</v>
      </c>
      <c r="H83" s="30"/>
      <c r="I83" s="30">
        <f t="shared" ref="I83:AG83" si="14">-I19</f>
        <v>0</v>
      </c>
      <c r="J83" s="30">
        <f t="shared" si="14"/>
        <v>0</v>
      </c>
      <c r="K83" s="30">
        <f t="shared" si="14"/>
        <v>0</v>
      </c>
      <c r="L83" s="30">
        <f t="shared" si="14"/>
        <v>0</v>
      </c>
      <c r="M83" s="30">
        <f t="shared" si="14"/>
        <v>0</v>
      </c>
      <c r="N83" s="30">
        <f t="shared" si="14"/>
        <v>0</v>
      </c>
      <c r="O83" s="30">
        <f t="shared" si="14"/>
        <v>0</v>
      </c>
      <c r="P83" s="30">
        <f t="shared" si="14"/>
        <v>0</v>
      </c>
      <c r="Q83" s="30">
        <f t="shared" si="14"/>
        <v>0</v>
      </c>
      <c r="R83" s="30">
        <f t="shared" si="14"/>
        <v>0</v>
      </c>
      <c r="S83" s="30">
        <f t="shared" si="14"/>
        <v>0</v>
      </c>
      <c r="T83" s="30">
        <f t="shared" si="14"/>
        <v>0</v>
      </c>
      <c r="U83" s="30">
        <f t="shared" si="14"/>
        <v>0</v>
      </c>
      <c r="V83" s="30">
        <f t="shared" si="14"/>
        <v>0</v>
      </c>
      <c r="W83" s="30">
        <f t="shared" si="14"/>
        <v>0</v>
      </c>
      <c r="X83" s="30">
        <f t="shared" si="14"/>
        <v>0</v>
      </c>
      <c r="Y83" s="30">
        <f t="shared" si="14"/>
        <v>0</v>
      </c>
      <c r="Z83" s="30">
        <f t="shared" si="14"/>
        <v>0</v>
      </c>
      <c r="AA83" s="30">
        <f t="shared" si="14"/>
        <v>0</v>
      </c>
      <c r="AB83" s="30">
        <f t="shared" si="14"/>
        <v>0</v>
      </c>
      <c r="AC83" s="30">
        <f t="shared" si="14"/>
        <v>0</v>
      </c>
      <c r="AD83" s="30">
        <f t="shared" si="14"/>
        <v>0</v>
      </c>
      <c r="AE83" s="30">
        <f t="shared" si="14"/>
        <v>0</v>
      </c>
      <c r="AF83" s="30">
        <f t="shared" si="14"/>
        <v>0</v>
      </c>
      <c r="AG83" s="30">
        <f t="shared" si="14"/>
        <v>0</v>
      </c>
    </row>
    <row r="84" spans="1:33" x14ac:dyDescent="0.2">
      <c r="A84" s="8"/>
      <c r="B84" s="8"/>
      <c r="C84" s="4" t="s">
        <v>140</v>
      </c>
      <c r="D84" s="37"/>
      <c r="F84" s="96"/>
      <c r="G84" s="209">
        <f t="shared" si="12"/>
        <v>45291</v>
      </c>
      <c r="H84" s="30"/>
      <c r="I84" s="30">
        <f>I64</f>
        <v>0</v>
      </c>
      <c r="J84" s="30">
        <f t="shared" ref="J84:AB84" si="15">J64</f>
        <v>0</v>
      </c>
      <c r="K84" s="30">
        <f t="shared" si="15"/>
        <v>0</v>
      </c>
      <c r="L84" s="30">
        <f t="shared" si="15"/>
        <v>0</v>
      </c>
      <c r="M84" s="30">
        <f t="shared" si="15"/>
        <v>0</v>
      </c>
      <c r="N84" s="30">
        <f t="shared" si="15"/>
        <v>0</v>
      </c>
      <c r="O84" s="30">
        <f t="shared" si="15"/>
        <v>0</v>
      </c>
      <c r="P84" s="30">
        <f t="shared" si="15"/>
        <v>0</v>
      </c>
      <c r="Q84" s="30">
        <f t="shared" si="15"/>
        <v>0</v>
      </c>
      <c r="R84" s="30">
        <f t="shared" si="15"/>
        <v>0</v>
      </c>
      <c r="S84" s="30">
        <f t="shared" si="15"/>
        <v>0</v>
      </c>
      <c r="T84" s="30">
        <f t="shared" si="15"/>
        <v>0</v>
      </c>
      <c r="U84" s="30">
        <f t="shared" si="15"/>
        <v>0</v>
      </c>
      <c r="V84" s="30">
        <f t="shared" si="15"/>
        <v>0</v>
      </c>
      <c r="W84" s="30">
        <f t="shared" si="15"/>
        <v>0</v>
      </c>
      <c r="X84" s="30">
        <f t="shared" si="15"/>
        <v>0</v>
      </c>
      <c r="Y84" s="30">
        <f t="shared" si="15"/>
        <v>0</v>
      </c>
      <c r="Z84" s="30">
        <f t="shared" si="15"/>
        <v>0</v>
      </c>
      <c r="AA84" s="30">
        <f t="shared" si="15"/>
        <v>0</v>
      </c>
      <c r="AB84" s="30">
        <f t="shared" si="15"/>
        <v>0</v>
      </c>
      <c r="AC84" s="30">
        <f>AC64</f>
        <v>0</v>
      </c>
      <c r="AD84" s="30">
        <f>AD64</f>
        <v>0</v>
      </c>
      <c r="AE84" s="30">
        <f>AE64</f>
        <v>0</v>
      </c>
      <c r="AF84" s="30">
        <f>AF64</f>
        <v>0</v>
      </c>
      <c r="AG84" s="30">
        <f>AG64</f>
        <v>0</v>
      </c>
    </row>
    <row r="85" spans="1:33" x14ac:dyDescent="0.2">
      <c r="A85" s="8"/>
      <c r="B85" s="8"/>
      <c r="C85" s="4" t="s">
        <v>122</v>
      </c>
      <c r="D85" s="37"/>
      <c r="F85" s="96"/>
      <c r="G85" s="209">
        <f t="shared" si="12"/>
        <v>45291</v>
      </c>
      <c r="H85" s="30"/>
      <c r="I85" s="30">
        <f t="shared" ref="I85:AG85" si="16">I57</f>
        <v>0</v>
      </c>
      <c r="J85" s="30">
        <f t="shared" si="16"/>
        <v>0</v>
      </c>
      <c r="K85" s="30">
        <f t="shared" si="16"/>
        <v>0</v>
      </c>
      <c r="L85" s="30">
        <f t="shared" si="16"/>
        <v>0</v>
      </c>
      <c r="M85" s="30">
        <f t="shared" si="16"/>
        <v>0</v>
      </c>
      <c r="N85" s="30">
        <f t="shared" si="16"/>
        <v>0</v>
      </c>
      <c r="O85" s="30">
        <f t="shared" si="16"/>
        <v>0</v>
      </c>
      <c r="P85" s="30">
        <f t="shared" si="16"/>
        <v>0</v>
      </c>
      <c r="Q85" s="30">
        <f t="shared" si="16"/>
        <v>0</v>
      </c>
      <c r="R85" s="30">
        <f t="shared" si="16"/>
        <v>0</v>
      </c>
      <c r="S85" s="30">
        <f t="shared" si="16"/>
        <v>0</v>
      </c>
      <c r="T85" s="30">
        <f t="shared" si="16"/>
        <v>0</v>
      </c>
      <c r="U85" s="30">
        <f t="shared" si="16"/>
        <v>0</v>
      </c>
      <c r="V85" s="30">
        <f t="shared" si="16"/>
        <v>0</v>
      </c>
      <c r="W85" s="30">
        <f t="shared" si="16"/>
        <v>0</v>
      </c>
      <c r="X85" s="30">
        <f t="shared" si="16"/>
        <v>0</v>
      </c>
      <c r="Y85" s="30">
        <f t="shared" si="16"/>
        <v>0</v>
      </c>
      <c r="Z85" s="30">
        <f t="shared" si="16"/>
        <v>0</v>
      </c>
      <c r="AA85" s="30">
        <f t="shared" si="16"/>
        <v>0</v>
      </c>
      <c r="AB85" s="30">
        <f t="shared" si="16"/>
        <v>0</v>
      </c>
      <c r="AC85" s="30">
        <f t="shared" si="16"/>
        <v>0</v>
      </c>
      <c r="AD85" s="30">
        <f t="shared" si="16"/>
        <v>0</v>
      </c>
      <c r="AE85" s="30">
        <f t="shared" si="16"/>
        <v>0</v>
      </c>
      <c r="AF85" s="30">
        <f t="shared" si="16"/>
        <v>0</v>
      </c>
      <c r="AG85" s="30">
        <f t="shared" si="16"/>
        <v>0</v>
      </c>
    </row>
    <row r="86" spans="1:33" x14ac:dyDescent="0.2">
      <c r="A86" s="8"/>
      <c r="B86" s="8"/>
      <c r="C86" s="4"/>
      <c r="D86" s="37"/>
      <c r="F86" s="30"/>
      <c r="G86" s="209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x14ac:dyDescent="0.2">
      <c r="A87" s="8"/>
      <c r="B87" s="8"/>
      <c r="C87" s="179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4"/>
      <c r="D88" s="137"/>
      <c r="E88" s="63"/>
      <c r="F88" s="139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4"/>
      <c r="D89" s="137"/>
      <c r="E89" s="63"/>
      <c r="F89" s="139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/>
      <c r="D90" s="81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1"/>
    </row>
    <row r="102" spans="1:43" ht="15" x14ac:dyDescent="0.2">
      <c r="A102" s="88" t="s">
        <v>216</v>
      </c>
      <c r="B102" s="88"/>
      <c r="C102" s="88"/>
      <c r="D102" s="88"/>
      <c r="E102" s="88"/>
      <c r="F102" s="88"/>
      <c r="G102" s="203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7" t="str">
        <f>PROPER($A$3)&amp;A106</f>
        <v>Option 1 (Base Case)NPV</v>
      </c>
      <c r="I106" s="30">
        <f>I87</f>
        <v>0</v>
      </c>
      <c r="J106" s="30">
        <f t="shared" ref="J106:AG106" si="18">J87</f>
        <v>0</v>
      </c>
      <c r="K106" s="30">
        <f t="shared" si="18"/>
        <v>0</v>
      </c>
      <c r="L106" s="30">
        <f t="shared" si="18"/>
        <v>0</v>
      </c>
      <c r="M106" s="30">
        <f t="shared" si="18"/>
        <v>0</v>
      </c>
      <c r="N106" s="30">
        <f t="shared" si="18"/>
        <v>0</v>
      </c>
      <c r="O106" s="30">
        <f t="shared" si="18"/>
        <v>0</v>
      </c>
      <c r="P106" s="30">
        <f t="shared" si="18"/>
        <v>0</v>
      </c>
      <c r="Q106" s="30">
        <f t="shared" si="18"/>
        <v>0</v>
      </c>
      <c r="R106" s="30">
        <f t="shared" si="18"/>
        <v>0</v>
      </c>
      <c r="S106" s="30">
        <f t="shared" si="18"/>
        <v>0</v>
      </c>
      <c r="T106" s="30">
        <f t="shared" si="18"/>
        <v>0</v>
      </c>
      <c r="U106" s="30">
        <f t="shared" si="18"/>
        <v>0</v>
      </c>
      <c r="V106" s="30">
        <f t="shared" si="18"/>
        <v>0</v>
      </c>
      <c r="W106" s="30">
        <f t="shared" si="18"/>
        <v>0</v>
      </c>
      <c r="X106" s="30">
        <f t="shared" si="18"/>
        <v>0</v>
      </c>
      <c r="Y106" s="30">
        <f t="shared" si="18"/>
        <v>0</v>
      </c>
      <c r="Z106" s="30">
        <f t="shared" si="18"/>
        <v>0</v>
      </c>
      <c r="AA106" s="30">
        <f t="shared" si="18"/>
        <v>0</v>
      </c>
      <c r="AB106" s="30">
        <f t="shared" si="18"/>
        <v>0</v>
      </c>
      <c r="AC106" s="30">
        <f t="shared" si="18"/>
        <v>0</v>
      </c>
      <c r="AD106" s="30">
        <f t="shared" si="18"/>
        <v>0</v>
      </c>
      <c r="AE106" s="30">
        <f t="shared" si="18"/>
        <v>0</v>
      </c>
      <c r="AF106" s="30">
        <f t="shared" si="18"/>
        <v>0</v>
      </c>
      <c r="AG106" s="30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0">
        <f>I82</f>
        <v>0</v>
      </c>
      <c r="J107" s="30">
        <f t="shared" ref="J107:AG107" si="19">J82</f>
        <v>0</v>
      </c>
      <c r="K107" s="30">
        <f t="shared" si="19"/>
        <v>0</v>
      </c>
      <c r="L107" s="30">
        <f t="shared" si="19"/>
        <v>0</v>
      </c>
      <c r="M107" s="30">
        <f t="shared" si="19"/>
        <v>0</v>
      </c>
      <c r="N107" s="30">
        <f t="shared" si="19"/>
        <v>0</v>
      </c>
      <c r="O107" s="30">
        <f t="shared" si="19"/>
        <v>0</v>
      </c>
      <c r="P107" s="30">
        <f t="shared" si="19"/>
        <v>0</v>
      </c>
      <c r="Q107" s="30">
        <f t="shared" si="19"/>
        <v>0</v>
      </c>
      <c r="R107" s="30">
        <f t="shared" si="19"/>
        <v>0</v>
      </c>
      <c r="S107" s="30">
        <f t="shared" si="19"/>
        <v>0</v>
      </c>
      <c r="T107" s="30">
        <f t="shared" si="19"/>
        <v>0</v>
      </c>
      <c r="U107" s="30">
        <f t="shared" si="19"/>
        <v>0</v>
      </c>
      <c r="V107" s="30">
        <f t="shared" si="19"/>
        <v>0</v>
      </c>
      <c r="W107" s="30">
        <f t="shared" si="19"/>
        <v>0</v>
      </c>
      <c r="X107" s="30">
        <f t="shared" si="19"/>
        <v>0</v>
      </c>
      <c r="Y107" s="30">
        <f t="shared" si="19"/>
        <v>0</v>
      </c>
      <c r="Z107" s="30">
        <f t="shared" si="19"/>
        <v>0</v>
      </c>
      <c r="AA107" s="30">
        <f t="shared" si="19"/>
        <v>0</v>
      </c>
      <c r="AB107" s="30">
        <f t="shared" si="19"/>
        <v>0</v>
      </c>
      <c r="AC107" s="30">
        <f t="shared" si="19"/>
        <v>0</v>
      </c>
      <c r="AD107" s="30">
        <f t="shared" si="19"/>
        <v>0</v>
      </c>
      <c r="AE107" s="30">
        <f t="shared" si="19"/>
        <v>0</v>
      </c>
      <c r="AF107" s="30">
        <f t="shared" si="19"/>
        <v>0</v>
      </c>
      <c r="AG107" s="30">
        <f t="shared" si="19"/>
        <v>0</v>
      </c>
    </row>
    <row r="108" spans="1:43" x14ac:dyDescent="0.2">
      <c r="C108" s="1" t="s">
        <v>241</v>
      </c>
      <c r="D108" s="251"/>
      <c r="E108" s="37"/>
      <c r="I108" s="30">
        <f>SUM(I84:I85)</f>
        <v>0</v>
      </c>
      <c r="J108" s="30">
        <f t="shared" ref="J108:AG108" si="20">SUM(J84:J85)</f>
        <v>0</v>
      </c>
      <c r="K108" s="30">
        <f t="shared" si="20"/>
        <v>0</v>
      </c>
      <c r="L108" s="30">
        <f t="shared" si="20"/>
        <v>0</v>
      </c>
      <c r="M108" s="30">
        <f t="shared" si="20"/>
        <v>0</v>
      </c>
      <c r="N108" s="30">
        <f t="shared" si="20"/>
        <v>0</v>
      </c>
      <c r="O108" s="30">
        <f t="shared" si="20"/>
        <v>0</v>
      </c>
      <c r="P108" s="30">
        <f t="shared" si="20"/>
        <v>0</v>
      </c>
      <c r="Q108" s="30">
        <f t="shared" si="20"/>
        <v>0</v>
      </c>
      <c r="R108" s="30">
        <f t="shared" si="20"/>
        <v>0</v>
      </c>
      <c r="S108" s="30">
        <f t="shared" si="20"/>
        <v>0</v>
      </c>
      <c r="T108" s="30">
        <f t="shared" si="20"/>
        <v>0</v>
      </c>
      <c r="U108" s="30">
        <f t="shared" si="20"/>
        <v>0</v>
      </c>
      <c r="V108" s="30">
        <f t="shared" si="20"/>
        <v>0</v>
      </c>
      <c r="W108" s="30">
        <f t="shared" si="20"/>
        <v>0</v>
      </c>
      <c r="X108" s="30">
        <f t="shared" si="20"/>
        <v>0</v>
      </c>
      <c r="Y108" s="30">
        <f t="shared" si="20"/>
        <v>0</v>
      </c>
      <c r="Z108" s="30">
        <f t="shared" si="20"/>
        <v>0</v>
      </c>
      <c r="AA108" s="30">
        <f t="shared" si="20"/>
        <v>0</v>
      </c>
      <c r="AB108" s="30">
        <f t="shared" si="20"/>
        <v>0</v>
      </c>
      <c r="AC108" s="30">
        <f t="shared" si="20"/>
        <v>0</v>
      </c>
      <c r="AD108" s="30">
        <f t="shared" si="20"/>
        <v>0</v>
      </c>
      <c r="AE108" s="30">
        <f t="shared" si="20"/>
        <v>0</v>
      </c>
      <c r="AF108" s="30">
        <f t="shared" si="20"/>
        <v>0</v>
      </c>
      <c r="AG108" s="30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7" t="str">
        <f>PROPER($A$3)&amp;A110</f>
        <v>Option 1 (Base Case)sens1</v>
      </c>
      <c r="I110" s="30" cm="1">
        <f t="array" ref="I110">I$106+IF($C110&lt;&gt;0,SUMPRODUCT((I$107:I$108)*TRANSPOSE(($D110:$E110))),0)</f>
        <v>0</v>
      </c>
      <c r="J110" s="30" cm="1">
        <f t="array" ref="J110">J$106+IF($C110&lt;&gt;0,SUMPRODUCT((J$107:J$108)*TRANSPOSE(($D110:$E110))),0)</f>
        <v>0</v>
      </c>
      <c r="K110" s="30" cm="1">
        <f t="array" ref="K110">K$106+IF($C110&lt;&gt;0,SUMPRODUCT((K$107:K$108)*TRANSPOSE(($D110:$E110))),0)</f>
        <v>0</v>
      </c>
      <c r="L110" s="30" cm="1">
        <f t="array" ref="L110">L$106+IF($C110&lt;&gt;0,SUMPRODUCT((L$107:L$108)*TRANSPOSE(($D110:$E110))),0)</f>
        <v>0</v>
      </c>
      <c r="M110" s="30" cm="1">
        <f t="array" ref="M110">M$106+IF($C110&lt;&gt;0,SUMPRODUCT((M$107:M$108)*TRANSPOSE(($D110:$E110))),0)</f>
        <v>0</v>
      </c>
      <c r="N110" s="30" cm="1">
        <f t="array" ref="N110">N$106+IF($C110&lt;&gt;0,SUMPRODUCT((N$107:N$108)*TRANSPOSE(($D110:$E110))),0)</f>
        <v>0</v>
      </c>
      <c r="O110" s="30" cm="1">
        <f t="array" ref="O110">O$106+IF($C110&lt;&gt;0,SUMPRODUCT((O$107:O$108)*TRANSPOSE(($D110:$E110))),0)</f>
        <v>0</v>
      </c>
      <c r="P110" s="30" cm="1">
        <f t="array" ref="P110">P$106+IF($C110&lt;&gt;0,SUMPRODUCT((P$107:P$108)*TRANSPOSE(($D110:$E110))),0)</f>
        <v>0</v>
      </c>
      <c r="Q110" s="30" cm="1">
        <f t="array" ref="Q110">Q$106+IF($C110&lt;&gt;0,SUMPRODUCT((Q$107:Q$108)*TRANSPOSE(($D110:$E110))),0)</f>
        <v>0</v>
      </c>
      <c r="R110" s="30" cm="1">
        <f t="array" ref="R110">R$106+IF($C110&lt;&gt;0,SUMPRODUCT((R$107:R$108)*TRANSPOSE(($D110:$E110))),0)</f>
        <v>0</v>
      </c>
      <c r="S110" s="30" cm="1">
        <f t="array" ref="S110">S$106+IF($C110&lt;&gt;0,SUMPRODUCT((S$107:S$108)*TRANSPOSE(($D110:$E110))),0)</f>
        <v>0</v>
      </c>
      <c r="T110" s="30" cm="1">
        <f t="array" ref="T110">T$106+IF($C110&lt;&gt;0,SUMPRODUCT((T$107:T$108)*TRANSPOSE(($D110:$E110))),0)</f>
        <v>0</v>
      </c>
      <c r="U110" s="30" cm="1">
        <f t="array" ref="U110">U$106+IF($C110&lt;&gt;0,SUMPRODUCT((U$107:U$108)*TRANSPOSE(($D110:$E110))),0)</f>
        <v>0</v>
      </c>
      <c r="V110" s="30" cm="1">
        <f t="array" ref="V110">V$106+IF($C110&lt;&gt;0,SUMPRODUCT((V$107:V$108)*TRANSPOSE(($D110:$E110))),0)</f>
        <v>0</v>
      </c>
      <c r="W110" s="30" cm="1">
        <f t="array" ref="W110">W$106+IF($C110&lt;&gt;0,SUMPRODUCT((W$107:W$108)*TRANSPOSE(($D110:$E110))),0)</f>
        <v>0</v>
      </c>
      <c r="X110" s="30" cm="1">
        <f t="array" ref="X110">X$106+IF($C110&lt;&gt;0,SUMPRODUCT((X$107:X$108)*TRANSPOSE(($D110:$E110))),0)</f>
        <v>0</v>
      </c>
      <c r="Y110" s="30" cm="1">
        <f t="array" ref="Y110">Y$106+IF($C110&lt;&gt;0,SUMPRODUCT((Y$107:Y$108)*TRANSPOSE(($D110:$E110))),0)</f>
        <v>0</v>
      </c>
      <c r="Z110" s="30" cm="1">
        <f t="array" ref="Z110">Z$106+IF($C110&lt;&gt;0,SUMPRODUCT((Z$107:Z$108)*TRANSPOSE(($D110:$E110))),0)</f>
        <v>0</v>
      </c>
      <c r="AA110" s="30" cm="1">
        <f t="array" ref="AA110">AA$106+IF($C110&lt;&gt;0,SUMPRODUCT((AA$107:AA$108)*TRANSPOSE(($D110:$E110))),0)</f>
        <v>0</v>
      </c>
      <c r="AB110" s="30" cm="1">
        <f t="array" ref="AB110">AB$106+IF($C110&lt;&gt;0,SUMPRODUCT((AB$107:AB$108)*TRANSPOSE(($D110:$E110))),0)</f>
        <v>0</v>
      </c>
      <c r="AC110" s="30" cm="1">
        <f t="array" ref="AC110">AC$106+IF($C110&lt;&gt;0,SUMPRODUCT((AC$107:AC$108)*TRANSPOSE(($D110:$E110))),0)</f>
        <v>0</v>
      </c>
      <c r="AD110" s="30" cm="1">
        <f t="array" ref="AD110">AD$106+IF($C110&lt;&gt;0,SUMPRODUCT((AD$107:AD$108)*TRANSPOSE(($D110:$E110))),0)</f>
        <v>0</v>
      </c>
      <c r="AE110" s="30" cm="1">
        <f t="array" ref="AE110">AE$106+IF($C110&lt;&gt;0,SUMPRODUCT((AE$107:AE$108)*TRANSPOSE(($D110:$E110))),0)</f>
        <v>0</v>
      </c>
      <c r="AF110" s="30" cm="1">
        <f t="array" ref="AF110">AF$106+IF($C110&lt;&gt;0,SUMPRODUCT((AF$107:AF$108)*TRANSPOSE(($D110:$E110))),0)</f>
        <v>0</v>
      </c>
      <c r="AG110" s="30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7" t="str">
        <f t="shared" ref="G111:G117" si="21">PROPER($A$3)&amp;A111</f>
        <v>Option 1 (Base Case)sens2</v>
      </c>
      <c r="I111" s="30" cm="1">
        <f t="array" ref="I111">I$106+IF($C111&lt;&gt;0,SUMPRODUCT((I$107:I$108)*TRANSPOSE(($D111:$E111))),0)</f>
        <v>0</v>
      </c>
      <c r="J111" s="30" cm="1">
        <f t="array" ref="J111">J$106+IF($C111&lt;&gt;0,SUMPRODUCT((J$107:J$108)*TRANSPOSE(($D111:$E111))),0)</f>
        <v>0</v>
      </c>
      <c r="K111" s="30" cm="1">
        <f t="array" ref="K111">K$106+IF($C111&lt;&gt;0,SUMPRODUCT((K$107:K$108)*TRANSPOSE(($D111:$E111))),0)</f>
        <v>0</v>
      </c>
      <c r="L111" s="30" cm="1">
        <f t="array" ref="L111">L$106+IF($C111&lt;&gt;0,SUMPRODUCT((L$107:L$108)*TRANSPOSE(($D111:$E111))),0)</f>
        <v>0</v>
      </c>
      <c r="M111" s="30" cm="1">
        <f t="array" ref="M111">M$106+IF($C111&lt;&gt;0,SUMPRODUCT((M$107:M$108)*TRANSPOSE(($D111:$E111))),0)</f>
        <v>0</v>
      </c>
      <c r="N111" s="30" cm="1">
        <f t="array" ref="N111">N$106+IF($C111&lt;&gt;0,SUMPRODUCT((N$107:N$108)*TRANSPOSE(($D111:$E111))),0)</f>
        <v>0</v>
      </c>
      <c r="O111" s="30" cm="1">
        <f t="array" ref="O111">O$106+IF($C111&lt;&gt;0,SUMPRODUCT((O$107:O$108)*TRANSPOSE(($D111:$E111))),0)</f>
        <v>0</v>
      </c>
      <c r="P111" s="30" cm="1">
        <f t="array" ref="P111">P$106+IF($C111&lt;&gt;0,SUMPRODUCT((P$107:P$108)*TRANSPOSE(($D111:$E111))),0)</f>
        <v>0</v>
      </c>
      <c r="Q111" s="30" cm="1">
        <f t="array" ref="Q111">Q$106+IF($C111&lt;&gt;0,SUMPRODUCT((Q$107:Q$108)*TRANSPOSE(($D111:$E111))),0)</f>
        <v>0</v>
      </c>
      <c r="R111" s="30" cm="1">
        <f t="array" ref="R111">R$106+IF($C111&lt;&gt;0,SUMPRODUCT((R$107:R$108)*TRANSPOSE(($D111:$E111))),0)</f>
        <v>0</v>
      </c>
      <c r="S111" s="30" cm="1">
        <f t="array" ref="S111">S$106+IF($C111&lt;&gt;0,SUMPRODUCT((S$107:S$108)*TRANSPOSE(($D111:$E111))),0)</f>
        <v>0</v>
      </c>
      <c r="T111" s="30" cm="1">
        <f t="array" ref="T111">T$106+IF($C111&lt;&gt;0,SUMPRODUCT((T$107:T$108)*TRANSPOSE(($D111:$E111))),0)</f>
        <v>0</v>
      </c>
      <c r="U111" s="30" cm="1">
        <f t="array" ref="U111">U$106+IF($C111&lt;&gt;0,SUMPRODUCT((U$107:U$108)*TRANSPOSE(($D111:$E111))),0)</f>
        <v>0</v>
      </c>
      <c r="V111" s="30" cm="1">
        <f t="array" ref="V111">V$106+IF($C111&lt;&gt;0,SUMPRODUCT((V$107:V$108)*TRANSPOSE(($D111:$E111))),0)</f>
        <v>0</v>
      </c>
      <c r="W111" s="30" cm="1">
        <f t="array" ref="W111">W$106+IF($C111&lt;&gt;0,SUMPRODUCT((W$107:W$108)*TRANSPOSE(($D111:$E111))),0)</f>
        <v>0</v>
      </c>
      <c r="X111" s="30" cm="1">
        <f t="array" ref="X111">X$106+IF($C111&lt;&gt;0,SUMPRODUCT((X$107:X$108)*TRANSPOSE(($D111:$E111))),0)</f>
        <v>0</v>
      </c>
      <c r="Y111" s="30" cm="1">
        <f t="array" ref="Y111">Y$106+IF($C111&lt;&gt;0,SUMPRODUCT((Y$107:Y$108)*TRANSPOSE(($D111:$E111))),0)</f>
        <v>0</v>
      </c>
      <c r="Z111" s="30" cm="1">
        <f t="array" ref="Z111">Z$106+IF($C111&lt;&gt;0,SUMPRODUCT((Z$107:Z$108)*TRANSPOSE(($D111:$E111))),0)</f>
        <v>0</v>
      </c>
      <c r="AA111" s="30" cm="1">
        <f t="array" ref="AA111">AA$106+IF($C111&lt;&gt;0,SUMPRODUCT((AA$107:AA$108)*TRANSPOSE(($D111:$E111))),0)</f>
        <v>0</v>
      </c>
      <c r="AB111" s="30" cm="1">
        <f t="array" ref="AB111">AB$106+IF($C111&lt;&gt;0,SUMPRODUCT((AB$107:AB$108)*TRANSPOSE(($D111:$E111))),0)</f>
        <v>0</v>
      </c>
      <c r="AC111" s="30" cm="1">
        <f t="array" ref="AC111">AC$106+IF($C111&lt;&gt;0,SUMPRODUCT((AC$107:AC$108)*TRANSPOSE(($D111:$E111))),0)</f>
        <v>0</v>
      </c>
      <c r="AD111" s="30" cm="1">
        <f t="array" ref="AD111">AD$106+IF($C111&lt;&gt;0,SUMPRODUCT((AD$107:AD$108)*TRANSPOSE(($D111:$E111))),0)</f>
        <v>0</v>
      </c>
      <c r="AE111" s="30" cm="1">
        <f t="array" ref="AE111">AE$106+IF($C111&lt;&gt;0,SUMPRODUCT((AE$107:AE$108)*TRANSPOSE(($D111:$E111))),0)</f>
        <v>0</v>
      </c>
      <c r="AF111" s="30" cm="1">
        <f t="array" ref="AF111">AF$106+IF($C111&lt;&gt;0,SUMPRODUCT((AF$107:AF$108)*TRANSPOSE(($D111:$E111))),0)</f>
        <v>0</v>
      </c>
      <c r="AG111" s="30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7" t="str">
        <f t="shared" si="21"/>
        <v>Option 1 (Base Case)sens3</v>
      </c>
      <c r="I112" s="30" cm="1">
        <f t="array" ref="I112">I$106+IF($C112&lt;&gt;0,SUMPRODUCT((I$107:I$108)*TRANSPOSE(($D112:$E112))),0)</f>
        <v>0</v>
      </c>
      <c r="J112" s="30" cm="1">
        <f t="array" ref="J112">J$106+IF($C112&lt;&gt;0,SUMPRODUCT((J$107:J$108)*TRANSPOSE(($D112:$E112))),0)</f>
        <v>0</v>
      </c>
      <c r="K112" s="30" cm="1">
        <f t="array" ref="K112">K$106+IF($C112&lt;&gt;0,SUMPRODUCT((K$107:K$108)*TRANSPOSE(($D112:$E112))),0)</f>
        <v>0</v>
      </c>
      <c r="L112" s="30" cm="1">
        <f t="array" ref="L112">L$106+IF($C112&lt;&gt;0,SUMPRODUCT((L$107:L$108)*TRANSPOSE(($D112:$E112))),0)</f>
        <v>0</v>
      </c>
      <c r="M112" s="30" cm="1">
        <f t="array" ref="M112">M$106+IF($C112&lt;&gt;0,SUMPRODUCT((M$107:M$108)*TRANSPOSE(($D112:$E112))),0)</f>
        <v>0</v>
      </c>
      <c r="N112" s="30" cm="1">
        <f t="array" ref="N112">N$106+IF($C112&lt;&gt;0,SUMPRODUCT((N$107:N$108)*TRANSPOSE(($D112:$E112))),0)</f>
        <v>0</v>
      </c>
      <c r="O112" s="30" cm="1">
        <f t="array" ref="O112">O$106+IF($C112&lt;&gt;0,SUMPRODUCT((O$107:O$108)*TRANSPOSE(($D112:$E112))),0)</f>
        <v>0</v>
      </c>
      <c r="P112" s="30" cm="1">
        <f t="array" ref="P112">P$106+IF($C112&lt;&gt;0,SUMPRODUCT((P$107:P$108)*TRANSPOSE(($D112:$E112))),0)</f>
        <v>0</v>
      </c>
      <c r="Q112" s="30" cm="1">
        <f t="array" ref="Q112">Q$106+IF($C112&lt;&gt;0,SUMPRODUCT((Q$107:Q$108)*TRANSPOSE(($D112:$E112))),0)</f>
        <v>0</v>
      </c>
      <c r="R112" s="30" cm="1">
        <f t="array" ref="R112">R$106+IF($C112&lt;&gt;0,SUMPRODUCT((R$107:R$108)*TRANSPOSE(($D112:$E112))),0)</f>
        <v>0</v>
      </c>
      <c r="S112" s="30" cm="1">
        <f t="array" ref="S112">S$106+IF($C112&lt;&gt;0,SUMPRODUCT((S$107:S$108)*TRANSPOSE(($D112:$E112))),0)</f>
        <v>0</v>
      </c>
      <c r="T112" s="30" cm="1">
        <f t="array" ref="T112">T$106+IF($C112&lt;&gt;0,SUMPRODUCT((T$107:T$108)*TRANSPOSE(($D112:$E112))),0)</f>
        <v>0</v>
      </c>
      <c r="U112" s="30" cm="1">
        <f t="array" ref="U112">U$106+IF($C112&lt;&gt;0,SUMPRODUCT((U$107:U$108)*TRANSPOSE(($D112:$E112))),0)</f>
        <v>0</v>
      </c>
      <c r="V112" s="30" cm="1">
        <f t="array" ref="V112">V$106+IF($C112&lt;&gt;0,SUMPRODUCT((V$107:V$108)*TRANSPOSE(($D112:$E112))),0)</f>
        <v>0</v>
      </c>
      <c r="W112" s="30" cm="1">
        <f t="array" ref="W112">W$106+IF($C112&lt;&gt;0,SUMPRODUCT((W$107:W$108)*TRANSPOSE(($D112:$E112))),0)</f>
        <v>0</v>
      </c>
      <c r="X112" s="30" cm="1">
        <f t="array" ref="X112">X$106+IF($C112&lt;&gt;0,SUMPRODUCT((X$107:X$108)*TRANSPOSE(($D112:$E112))),0)</f>
        <v>0</v>
      </c>
      <c r="Y112" s="30" cm="1">
        <f t="array" ref="Y112">Y$106+IF($C112&lt;&gt;0,SUMPRODUCT((Y$107:Y$108)*TRANSPOSE(($D112:$E112))),0)</f>
        <v>0</v>
      </c>
      <c r="Z112" s="30" cm="1">
        <f t="array" ref="Z112">Z$106+IF($C112&lt;&gt;0,SUMPRODUCT((Z$107:Z$108)*TRANSPOSE(($D112:$E112))),0)</f>
        <v>0</v>
      </c>
      <c r="AA112" s="30" cm="1">
        <f t="array" ref="AA112">AA$106+IF($C112&lt;&gt;0,SUMPRODUCT((AA$107:AA$108)*TRANSPOSE(($D112:$E112))),0)</f>
        <v>0</v>
      </c>
      <c r="AB112" s="30" cm="1">
        <f t="array" ref="AB112">AB$106+IF($C112&lt;&gt;0,SUMPRODUCT((AB$107:AB$108)*TRANSPOSE(($D112:$E112))),0)</f>
        <v>0</v>
      </c>
      <c r="AC112" s="30" cm="1">
        <f t="array" ref="AC112">AC$106+IF($C112&lt;&gt;0,SUMPRODUCT((AC$107:AC$108)*TRANSPOSE(($D112:$E112))),0)</f>
        <v>0</v>
      </c>
      <c r="AD112" s="30" cm="1">
        <f t="array" ref="AD112">AD$106+IF($C112&lt;&gt;0,SUMPRODUCT((AD$107:AD$108)*TRANSPOSE(($D112:$E112))),0)</f>
        <v>0</v>
      </c>
      <c r="AE112" s="30" cm="1">
        <f t="array" ref="AE112">AE$106+IF($C112&lt;&gt;0,SUMPRODUCT((AE$107:AE$108)*TRANSPOSE(($D112:$E112))),0)</f>
        <v>0</v>
      </c>
      <c r="AF112" s="30" cm="1">
        <f t="array" ref="AF112">AF$106+IF($C112&lt;&gt;0,SUMPRODUCT((AF$107:AF$108)*TRANSPOSE(($D112:$E112))),0)</f>
        <v>0</v>
      </c>
      <c r="AG112" s="30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7" t="str">
        <f t="shared" si="21"/>
        <v>Option 1 (Base Case)sens4</v>
      </c>
      <c r="I113" s="30" cm="1">
        <f t="array" ref="I113">I$106+IF($C113&lt;&gt;0,SUMPRODUCT((I$107:I$108)*TRANSPOSE(($D113:$E113))),0)</f>
        <v>0</v>
      </c>
      <c r="J113" s="30" cm="1">
        <f t="array" ref="J113">J$106+IF($C113&lt;&gt;0,SUMPRODUCT((J$107:J$108)*TRANSPOSE(($D113:$E113))),0)</f>
        <v>0</v>
      </c>
      <c r="K113" s="30" cm="1">
        <f t="array" ref="K113">K$106+IF($C113&lt;&gt;0,SUMPRODUCT((K$107:K$108)*TRANSPOSE(($D113:$E113))),0)</f>
        <v>0</v>
      </c>
      <c r="L113" s="30" cm="1">
        <f t="array" ref="L113">L$106+IF($C113&lt;&gt;0,SUMPRODUCT((L$107:L$108)*TRANSPOSE(($D113:$E113))),0)</f>
        <v>0</v>
      </c>
      <c r="M113" s="30" cm="1">
        <f t="array" ref="M113">M$106+IF($C113&lt;&gt;0,SUMPRODUCT((M$107:M$108)*TRANSPOSE(($D113:$E113))),0)</f>
        <v>0</v>
      </c>
      <c r="N113" s="30" cm="1">
        <f t="array" ref="N113">N$106+IF($C113&lt;&gt;0,SUMPRODUCT((N$107:N$108)*TRANSPOSE(($D113:$E113))),0)</f>
        <v>0</v>
      </c>
      <c r="O113" s="30" cm="1">
        <f t="array" ref="O113">O$106+IF($C113&lt;&gt;0,SUMPRODUCT((O$107:O$108)*TRANSPOSE(($D113:$E113))),0)</f>
        <v>0</v>
      </c>
      <c r="P113" s="30" cm="1">
        <f t="array" ref="P113">P$106+IF($C113&lt;&gt;0,SUMPRODUCT((P$107:P$108)*TRANSPOSE(($D113:$E113))),0)</f>
        <v>0</v>
      </c>
      <c r="Q113" s="30" cm="1">
        <f t="array" ref="Q113">Q$106+IF($C113&lt;&gt;0,SUMPRODUCT((Q$107:Q$108)*TRANSPOSE(($D113:$E113))),0)</f>
        <v>0</v>
      </c>
      <c r="R113" s="30" cm="1">
        <f t="array" ref="R113">R$106+IF($C113&lt;&gt;0,SUMPRODUCT((R$107:R$108)*TRANSPOSE(($D113:$E113))),0)</f>
        <v>0</v>
      </c>
      <c r="S113" s="30" cm="1">
        <f t="array" ref="S113">S$106+IF($C113&lt;&gt;0,SUMPRODUCT((S$107:S$108)*TRANSPOSE(($D113:$E113))),0)</f>
        <v>0</v>
      </c>
      <c r="T113" s="30" cm="1">
        <f t="array" ref="T113">T$106+IF($C113&lt;&gt;0,SUMPRODUCT((T$107:T$108)*TRANSPOSE(($D113:$E113))),0)</f>
        <v>0</v>
      </c>
      <c r="U113" s="30" cm="1">
        <f t="array" ref="U113">U$106+IF($C113&lt;&gt;0,SUMPRODUCT((U$107:U$108)*TRANSPOSE(($D113:$E113))),0)</f>
        <v>0</v>
      </c>
      <c r="V113" s="30" cm="1">
        <f t="array" ref="V113">V$106+IF($C113&lt;&gt;0,SUMPRODUCT((V$107:V$108)*TRANSPOSE(($D113:$E113))),0)</f>
        <v>0</v>
      </c>
      <c r="W113" s="30" cm="1">
        <f t="array" ref="W113">W$106+IF($C113&lt;&gt;0,SUMPRODUCT((W$107:W$108)*TRANSPOSE(($D113:$E113))),0)</f>
        <v>0</v>
      </c>
      <c r="X113" s="30" cm="1">
        <f t="array" ref="X113">X$106+IF($C113&lt;&gt;0,SUMPRODUCT((X$107:X$108)*TRANSPOSE(($D113:$E113))),0)</f>
        <v>0</v>
      </c>
      <c r="Y113" s="30" cm="1">
        <f t="array" ref="Y113">Y$106+IF($C113&lt;&gt;0,SUMPRODUCT((Y$107:Y$108)*TRANSPOSE(($D113:$E113))),0)</f>
        <v>0</v>
      </c>
      <c r="Z113" s="30" cm="1">
        <f t="array" ref="Z113">Z$106+IF($C113&lt;&gt;0,SUMPRODUCT((Z$107:Z$108)*TRANSPOSE(($D113:$E113))),0)</f>
        <v>0</v>
      </c>
      <c r="AA113" s="30" cm="1">
        <f t="array" ref="AA113">AA$106+IF($C113&lt;&gt;0,SUMPRODUCT((AA$107:AA$108)*TRANSPOSE(($D113:$E113))),0)</f>
        <v>0</v>
      </c>
      <c r="AB113" s="30" cm="1">
        <f t="array" ref="AB113">AB$106+IF($C113&lt;&gt;0,SUMPRODUCT((AB$107:AB$108)*TRANSPOSE(($D113:$E113))),0)</f>
        <v>0</v>
      </c>
      <c r="AC113" s="30" cm="1">
        <f t="array" ref="AC113">AC$106+IF($C113&lt;&gt;0,SUMPRODUCT((AC$107:AC$108)*TRANSPOSE(($D113:$E113))),0)</f>
        <v>0</v>
      </c>
      <c r="AD113" s="30" cm="1">
        <f t="array" ref="AD113">AD$106+IF($C113&lt;&gt;0,SUMPRODUCT((AD$107:AD$108)*TRANSPOSE(($D113:$E113))),0)</f>
        <v>0</v>
      </c>
      <c r="AE113" s="30" cm="1">
        <f t="array" ref="AE113">AE$106+IF($C113&lt;&gt;0,SUMPRODUCT((AE$107:AE$108)*TRANSPOSE(($D113:$E113))),0)</f>
        <v>0</v>
      </c>
      <c r="AF113" s="30" cm="1">
        <f t="array" ref="AF113">AF$106+IF($C113&lt;&gt;0,SUMPRODUCT((AF$107:AF$108)*TRANSPOSE(($D113:$E113))),0)</f>
        <v>0</v>
      </c>
      <c r="AG113" s="30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7" t="str">
        <f t="shared" si="21"/>
        <v>Option 1 (Base Case)sens5</v>
      </c>
      <c r="I114" s="30" cm="1">
        <f t="array" ref="I114">I$106+IF($C114&lt;&gt;0,SUMPRODUCT((I$107:I$108)*TRANSPOSE(($D114:$E114))),0)</f>
        <v>0</v>
      </c>
      <c r="J114" s="30" cm="1">
        <f t="array" ref="J114">J$106+IF($C114&lt;&gt;0,SUMPRODUCT((J$107:J$108)*TRANSPOSE(($D114:$E114))),0)</f>
        <v>0</v>
      </c>
      <c r="K114" s="30" cm="1">
        <f t="array" ref="K114">K$106+IF($C114&lt;&gt;0,SUMPRODUCT((K$107:K$108)*TRANSPOSE(($D114:$E114))),0)</f>
        <v>0</v>
      </c>
      <c r="L114" s="30" cm="1">
        <f t="array" ref="L114">L$106+IF($C114&lt;&gt;0,SUMPRODUCT((L$107:L$108)*TRANSPOSE(($D114:$E114))),0)</f>
        <v>0</v>
      </c>
      <c r="M114" s="30" cm="1">
        <f t="array" ref="M114">M$106+IF($C114&lt;&gt;0,SUMPRODUCT((M$107:M$108)*TRANSPOSE(($D114:$E114))),0)</f>
        <v>0</v>
      </c>
      <c r="N114" s="30" cm="1">
        <f t="array" ref="N114">N$106+IF($C114&lt;&gt;0,SUMPRODUCT((N$107:N$108)*TRANSPOSE(($D114:$E114))),0)</f>
        <v>0</v>
      </c>
      <c r="O114" s="30" cm="1">
        <f t="array" ref="O114">O$106+IF($C114&lt;&gt;0,SUMPRODUCT((O$107:O$108)*TRANSPOSE(($D114:$E114))),0)</f>
        <v>0</v>
      </c>
      <c r="P114" s="30" cm="1">
        <f t="array" ref="P114">P$106+IF($C114&lt;&gt;0,SUMPRODUCT((P$107:P$108)*TRANSPOSE(($D114:$E114))),0)</f>
        <v>0</v>
      </c>
      <c r="Q114" s="30" cm="1">
        <f t="array" ref="Q114">Q$106+IF($C114&lt;&gt;0,SUMPRODUCT((Q$107:Q$108)*TRANSPOSE(($D114:$E114))),0)</f>
        <v>0</v>
      </c>
      <c r="R114" s="30" cm="1">
        <f t="array" ref="R114">R$106+IF($C114&lt;&gt;0,SUMPRODUCT((R$107:R$108)*TRANSPOSE(($D114:$E114))),0)</f>
        <v>0</v>
      </c>
      <c r="S114" s="30" cm="1">
        <f t="array" ref="S114">S$106+IF($C114&lt;&gt;0,SUMPRODUCT((S$107:S$108)*TRANSPOSE(($D114:$E114))),0)</f>
        <v>0</v>
      </c>
      <c r="T114" s="30" cm="1">
        <f t="array" ref="T114">T$106+IF($C114&lt;&gt;0,SUMPRODUCT((T$107:T$108)*TRANSPOSE(($D114:$E114))),0)</f>
        <v>0</v>
      </c>
      <c r="U114" s="30" cm="1">
        <f t="array" ref="U114">U$106+IF($C114&lt;&gt;0,SUMPRODUCT((U$107:U$108)*TRANSPOSE(($D114:$E114))),0)</f>
        <v>0</v>
      </c>
      <c r="V114" s="30" cm="1">
        <f t="array" ref="V114">V$106+IF($C114&lt;&gt;0,SUMPRODUCT((V$107:V$108)*TRANSPOSE(($D114:$E114))),0)</f>
        <v>0</v>
      </c>
      <c r="W114" s="30" cm="1">
        <f t="array" ref="W114">W$106+IF($C114&lt;&gt;0,SUMPRODUCT((W$107:W$108)*TRANSPOSE(($D114:$E114))),0)</f>
        <v>0</v>
      </c>
      <c r="X114" s="30" cm="1">
        <f t="array" ref="X114">X$106+IF($C114&lt;&gt;0,SUMPRODUCT((X$107:X$108)*TRANSPOSE(($D114:$E114))),0)</f>
        <v>0</v>
      </c>
      <c r="Y114" s="30" cm="1">
        <f t="array" ref="Y114">Y$106+IF($C114&lt;&gt;0,SUMPRODUCT((Y$107:Y$108)*TRANSPOSE(($D114:$E114))),0)</f>
        <v>0</v>
      </c>
      <c r="Z114" s="30" cm="1">
        <f t="array" ref="Z114">Z$106+IF($C114&lt;&gt;0,SUMPRODUCT((Z$107:Z$108)*TRANSPOSE(($D114:$E114))),0)</f>
        <v>0</v>
      </c>
      <c r="AA114" s="30" cm="1">
        <f t="array" ref="AA114">AA$106+IF($C114&lt;&gt;0,SUMPRODUCT((AA$107:AA$108)*TRANSPOSE(($D114:$E114))),0)</f>
        <v>0</v>
      </c>
      <c r="AB114" s="30" cm="1">
        <f t="array" ref="AB114">AB$106+IF($C114&lt;&gt;0,SUMPRODUCT((AB$107:AB$108)*TRANSPOSE(($D114:$E114))),0)</f>
        <v>0</v>
      </c>
      <c r="AC114" s="30" cm="1">
        <f t="array" ref="AC114">AC$106+IF($C114&lt;&gt;0,SUMPRODUCT((AC$107:AC$108)*TRANSPOSE(($D114:$E114))),0)</f>
        <v>0</v>
      </c>
      <c r="AD114" s="30" cm="1">
        <f t="array" ref="AD114">AD$106+IF($C114&lt;&gt;0,SUMPRODUCT((AD$107:AD$108)*TRANSPOSE(($D114:$E114))),0)</f>
        <v>0</v>
      </c>
      <c r="AE114" s="30" cm="1">
        <f t="array" ref="AE114">AE$106+IF($C114&lt;&gt;0,SUMPRODUCT((AE$107:AE$108)*TRANSPOSE(($D114:$E114))),0)</f>
        <v>0</v>
      </c>
      <c r="AF114" s="30" cm="1">
        <f t="array" ref="AF114">AF$106+IF($C114&lt;&gt;0,SUMPRODUCT((AF$107:AF$108)*TRANSPOSE(($D114:$E114))),0)</f>
        <v>0</v>
      </c>
      <c r="AG114" s="30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7" t="str">
        <f t="shared" si="21"/>
        <v>Option 1 (Base Case)sens</v>
      </c>
      <c r="I115" s="30" cm="1">
        <f t="array" ref="I115">I$106+IF($C115&lt;&gt;0,SUMPRODUCT((I$107:I$108)*TRANSPOSE(($D115:$E115))),0)</f>
        <v>0</v>
      </c>
      <c r="J115" s="30" cm="1">
        <f t="array" ref="J115">J$106+IF($C115&lt;&gt;0,SUMPRODUCT((J$107:J$108)*TRANSPOSE(($D115:$E115))),0)</f>
        <v>0</v>
      </c>
      <c r="K115" s="30" cm="1">
        <f t="array" ref="K115">K$106+IF($C115&lt;&gt;0,SUMPRODUCT((K$107:K$108)*TRANSPOSE(($D115:$E115))),0)</f>
        <v>0</v>
      </c>
      <c r="L115" s="30" cm="1">
        <f t="array" ref="L115">L$106+IF($C115&lt;&gt;0,SUMPRODUCT((L$107:L$108)*TRANSPOSE(($D115:$E115))),0)</f>
        <v>0</v>
      </c>
      <c r="M115" s="30" cm="1">
        <f t="array" ref="M115">M$106+IF($C115&lt;&gt;0,SUMPRODUCT((M$107:M$108)*TRANSPOSE(($D115:$E115))),0)</f>
        <v>0</v>
      </c>
      <c r="N115" s="30" cm="1">
        <f t="array" ref="N115">N$106+IF($C115&lt;&gt;0,SUMPRODUCT((N$107:N$108)*TRANSPOSE(($D115:$E115))),0)</f>
        <v>0</v>
      </c>
      <c r="O115" s="30" cm="1">
        <f t="array" ref="O115">O$106+IF($C115&lt;&gt;0,SUMPRODUCT((O$107:O$108)*TRANSPOSE(($D115:$E115))),0)</f>
        <v>0</v>
      </c>
      <c r="P115" s="30" cm="1">
        <f t="array" ref="P115">P$106+IF($C115&lt;&gt;0,SUMPRODUCT((P$107:P$108)*TRANSPOSE(($D115:$E115))),0)</f>
        <v>0</v>
      </c>
      <c r="Q115" s="30" cm="1">
        <f t="array" ref="Q115">Q$106+IF($C115&lt;&gt;0,SUMPRODUCT((Q$107:Q$108)*TRANSPOSE(($D115:$E115))),0)</f>
        <v>0</v>
      </c>
      <c r="R115" s="30" cm="1">
        <f t="array" ref="R115">R$106+IF($C115&lt;&gt;0,SUMPRODUCT((R$107:R$108)*TRANSPOSE(($D115:$E115))),0)</f>
        <v>0</v>
      </c>
      <c r="S115" s="30" cm="1">
        <f t="array" ref="S115">S$106+IF($C115&lt;&gt;0,SUMPRODUCT((S$107:S$108)*TRANSPOSE(($D115:$E115))),0)</f>
        <v>0</v>
      </c>
      <c r="T115" s="30" cm="1">
        <f t="array" ref="T115">T$106+IF($C115&lt;&gt;0,SUMPRODUCT((T$107:T$108)*TRANSPOSE(($D115:$E115))),0)</f>
        <v>0</v>
      </c>
      <c r="U115" s="30" cm="1">
        <f t="array" ref="U115">U$106+IF($C115&lt;&gt;0,SUMPRODUCT((U$107:U$108)*TRANSPOSE(($D115:$E115))),0)</f>
        <v>0</v>
      </c>
      <c r="V115" s="30" cm="1">
        <f t="array" ref="V115">V$106+IF($C115&lt;&gt;0,SUMPRODUCT((V$107:V$108)*TRANSPOSE(($D115:$E115))),0)</f>
        <v>0</v>
      </c>
      <c r="W115" s="30" cm="1">
        <f t="array" ref="W115">W$106+IF($C115&lt;&gt;0,SUMPRODUCT((W$107:W$108)*TRANSPOSE(($D115:$E115))),0)</f>
        <v>0</v>
      </c>
      <c r="X115" s="30" cm="1">
        <f t="array" ref="X115">X$106+IF($C115&lt;&gt;0,SUMPRODUCT((X$107:X$108)*TRANSPOSE(($D115:$E115))),0)</f>
        <v>0</v>
      </c>
      <c r="Y115" s="30" cm="1">
        <f t="array" ref="Y115">Y$106+IF($C115&lt;&gt;0,SUMPRODUCT((Y$107:Y$108)*TRANSPOSE(($D115:$E115))),0)</f>
        <v>0</v>
      </c>
      <c r="Z115" s="30" cm="1">
        <f t="array" ref="Z115">Z$106+IF($C115&lt;&gt;0,SUMPRODUCT((Z$107:Z$108)*TRANSPOSE(($D115:$E115))),0)</f>
        <v>0</v>
      </c>
      <c r="AA115" s="30" cm="1">
        <f t="array" ref="AA115">AA$106+IF($C115&lt;&gt;0,SUMPRODUCT((AA$107:AA$108)*TRANSPOSE(($D115:$E115))),0)</f>
        <v>0</v>
      </c>
      <c r="AB115" s="30" cm="1">
        <f t="array" ref="AB115">AB$106+IF($C115&lt;&gt;0,SUMPRODUCT((AB$107:AB$108)*TRANSPOSE(($D115:$E115))),0)</f>
        <v>0</v>
      </c>
      <c r="AC115" s="30" cm="1">
        <f t="array" ref="AC115">AC$106+IF($C115&lt;&gt;0,SUMPRODUCT((AC$107:AC$108)*TRANSPOSE(($D115:$E115))),0)</f>
        <v>0</v>
      </c>
      <c r="AD115" s="30" cm="1">
        <f t="array" ref="AD115">AD$106+IF($C115&lt;&gt;0,SUMPRODUCT((AD$107:AD$108)*TRANSPOSE(($D115:$E115))),0)</f>
        <v>0</v>
      </c>
      <c r="AE115" s="30" cm="1">
        <f t="array" ref="AE115">AE$106+IF($C115&lt;&gt;0,SUMPRODUCT((AE$107:AE$108)*TRANSPOSE(($D115:$E115))),0)</f>
        <v>0</v>
      </c>
      <c r="AF115" s="30" cm="1">
        <f t="array" ref="AF115">AF$106+IF($C115&lt;&gt;0,SUMPRODUCT((AF$107:AF$108)*TRANSPOSE(($D115:$E115))),0)</f>
        <v>0</v>
      </c>
      <c r="AG115" s="30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7" t="str">
        <f t="shared" si="21"/>
        <v>Option 1 (Base Case)sens</v>
      </c>
      <c r="I116" s="30" cm="1">
        <f t="array" ref="I116">I$106+IF($C116&lt;&gt;0,SUMPRODUCT((I$107:I$108)*TRANSPOSE(($D116:$E116))),0)</f>
        <v>0</v>
      </c>
      <c r="J116" s="30" cm="1">
        <f t="array" ref="J116">J$106+IF($C116&lt;&gt;0,SUMPRODUCT((J$107:J$108)*TRANSPOSE(($D116:$E116))),0)</f>
        <v>0</v>
      </c>
      <c r="K116" s="30" cm="1">
        <f t="array" ref="K116">K$106+IF($C116&lt;&gt;0,SUMPRODUCT((K$107:K$108)*TRANSPOSE(($D116:$E116))),0)</f>
        <v>0</v>
      </c>
      <c r="L116" s="30" cm="1">
        <f t="array" ref="L116">L$106+IF($C116&lt;&gt;0,SUMPRODUCT((L$107:L$108)*TRANSPOSE(($D116:$E116))),0)</f>
        <v>0</v>
      </c>
      <c r="M116" s="30" cm="1">
        <f t="array" ref="M116">M$106+IF($C116&lt;&gt;0,SUMPRODUCT((M$107:M$108)*TRANSPOSE(($D116:$E116))),0)</f>
        <v>0</v>
      </c>
      <c r="N116" s="30" cm="1">
        <f t="array" ref="N116">N$106+IF($C116&lt;&gt;0,SUMPRODUCT((N$107:N$108)*TRANSPOSE(($D116:$E116))),0)</f>
        <v>0</v>
      </c>
      <c r="O116" s="30" cm="1">
        <f t="array" ref="O116">O$106+IF($C116&lt;&gt;0,SUMPRODUCT((O$107:O$108)*TRANSPOSE(($D116:$E116))),0)</f>
        <v>0</v>
      </c>
      <c r="P116" s="30" cm="1">
        <f t="array" ref="P116">P$106+IF($C116&lt;&gt;0,SUMPRODUCT((P$107:P$108)*TRANSPOSE(($D116:$E116))),0)</f>
        <v>0</v>
      </c>
      <c r="Q116" s="30" cm="1">
        <f t="array" ref="Q116">Q$106+IF($C116&lt;&gt;0,SUMPRODUCT((Q$107:Q$108)*TRANSPOSE(($D116:$E116))),0)</f>
        <v>0</v>
      </c>
      <c r="R116" s="30" cm="1">
        <f t="array" ref="R116">R$106+IF($C116&lt;&gt;0,SUMPRODUCT((R$107:R$108)*TRANSPOSE(($D116:$E116))),0)</f>
        <v>0</v>
      </c>
      <c r="S116" s="30" cm="1">
        <f t="array" ref="S116">S$106+IF($C116&lt;&gt;0,SUMPRODUCT((S$107:S$108)*TRANSPOSE(($D116:$E116))),0)</f>
        <v>0</v>
      </c>
      <c r="T116" s="30" cm="1">
        <f t="array" ref="T116">T$106+IF($C116&lt;&gt;0,SUMPRODUCT((T$107:T$108)*TRANSPOSE(($D116:$E116))),0)</f>
        <v>0</v>
      </c>
      <c r="U116" s="30" cm="1">
        <f t="array" ref="U116">U$106+IF($C116&lt;&gt;0,SUMPRODUCT((U$107:U$108)*TRANSPOSE(($D116:$E116))),0)</f>
        <v>0</v>
      </c>
      <c r="V116" s="30" cm="1">
        <f t="array" ref="V116">V$106+IF($C116&lt;&gt;0,SUMPRODUCT((V$107:V$108)*TRANSPOSE(($D116:$E116))),0)</f>
        <v>0</v>
      </c>
      <c r="W116" s="30" cm="1">
        <f t="array" ref="W116">W$106+IF($C116&lt;&gt;0,SUMPRODUCT((W$107:W$108)*TRANSPOSE(($D116:$E116))),0)</f>
        <v>0</v>
      </c>
      <c r="X116" s="30" cm="1">
        <f t="array" ref="X116">X$106+IF($C116&lt;&gt;0,SUMPRODUCT((X$107:X$108)*TRANSPOSE(($D116:$E116))),0)</f>
        <v>0</v>
      </c>
      <c r="Y116" s="30" cm="1">
        <f t="array" ref="Y116">Y$106+IF($C116&lt;&gt;0,SUMPRODUCT((Y$107:Y$108)*TRANSPOSE(($D116:$E116))),0)</f>
        <v>0</v>
      </c>
      <c r="Z116" s="30" cm="1">
        <f t="array" ref="Z116">Z$106+IF($C116&lt;&gt;0,SUMPRODUCT((Z$107:Z$108)*TRANSPOSE(($D116:$E116))),0)</f>
        <v>0</v>
      </c>
      <c r="AA116" s="30" cm="1">
        <f t="array" ref="AA116">AA$106+IF($C116&lt;&gt;0,SUMPRODUCT((AA$107:AA$108)*TRANSPOSE(($D116:$E116))),0)</f>
        <v>0</v>
      </c>
      <c r="AB116" s="30" cm="1">
        <f t="array" ref="AB116">AB$106+IF($C116&lt;&gt;0,SUMPRODUCT((AB$107:AB$108)*TRANSPOSE(($D116:$E116))),0)</f>
        <v>0</v>
      </c>
      <c r="AC116" s="30" cm="1">
        <f t="array" ref="AC116">AC$106+IF($C116&lt;&gt;0,SUMPRODUCT((AC$107:AC$108)*TRANSPOSE(($D116:$E116))),0)</f>
        <v>0</v>
      </c>
      <c r="AD116" s="30" cm="1">
        <f t="array" ref="AD116">AD$106+IF($C116&lt;&gt;0,SUMPRODUCT((AD$107:AD$108)*TRANSPOSE(($D116:$E116))),0)</f>
        <v>0</v>
      </c>
      <c r="AE116" s="30" cm="1">
        <f t="array" ref="AE116">AE$106+IF($C116&lt;&gt;0,SUMPRODUCT((AE$107:AE$108)*TRANSPOSE(($D116:$E116))),0)</f>
        <v>0</v>
      </c>
      <c r="AF116" s="30" cm="1">
        <f t="array" ref="AF116">AF$106+IF($C116&lt;&gt;0,SUMPRODUCT((AF$107:AF$108)*TRANSPOSE(($D116:$E116))),0)</f>
        <v>0</v>
      </c>
      <c r="AG116" s="30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7" t="str">
        <f t="shared" si="21"/>
        <v>Option 1 (Base Case)sens</v>
      </c>
      <c r="I117" s="30" cm="1">
        <f t="array" ref="I117">I$106+IF($C117&lt;&gt;0,SUMPRODUCT((I$107:I$108)*TRANSPOSE(($D117:$E117))),0)</f>
        <v>0</v>
      </c>
      <c r="J117" s="30" cm="1">
        <f t="array" ref="J117">J$106+IF($C117&lt;&gt;0,SUMPRODUCT((J$107:J$108)*TRANSPOSE(($D117:$E117))),0)</f>
        <v>0</v>
      </c>
      <c r="K117" s="30" cm="1">
        <f t="array" ref="K117">K$106+IF($C117&lt;&gt;0,SUMPRODUCT((K$107:K$108)*TRANSPOSE(($D117:$E117))),0)</f>
        <v>0</v>
      </c>
      <c r="L117" s="30" cm="1">
        <f t="array" ref="L117">L$106+IF($C117&lt;&gt;0,SUMPRODUCT((L$107:L$108)*TRANSPOSE(($D117:$E117))),0)</f>
        <v>0</v>
      </c>
      <c r="M117" s="30" cm="1">
        <f t="array" ref="M117">M$106+IF($C117&lt;&gt;0,SUMPRODUCT((M$107:M$108)*TRANSPOSE(($D117:$E117))),0)</f>
        <v>0</v>
      </c>
      <c r="N117" s="30" cm="1">
        <f t="array" ref="N117">N$106+IF($C117&lt;&gt;0,SUMPRODUCT((N$107:N$108)*TRANSPOSE(($D117:$E117))),0)</f>
        <v>0</v>
      </c>
      <c r="O117" s="30" cm="1">
        <f t="array" ref="O117">O$106+IF($C117&lt;&gt;0,SUMPRODUCT((O$107:O$108)*TRANSPOSE(($D117:$E117))),0)</f>
        <v>0</v>
      </c>
      <c r="P117" s="30" cm="1">
        <f t="array" ref="P117">P$106+IF($C117&lt;&gt;0,SUMPRODUCT((P$107:P$108)*TRANSPOSE(($D117:$E117))),0)</f>
        <v>0</v>
      </c>
      <c r="Q117" s="30" cm="1">
        <f t="array" ref="Q117">Q$106+IF($C117&lt;&gt;0,SUMPRODUCT((Q$107:Q$108)*TRANSPOSE(($D117:$E117))),0)</f>
        <v>0</v>
      </c>
      <c r="R117" s="30" cm="1">
        <f t="array" ref="R117">R$106+IF($C117&lt;&gt;0,SUMPRODUCT((R$107:R$108)*TRANSPOSE(($D117:$E117))),0)</f>
        <v>0</v>
      </c>
      <c r="S117" s="30" cm="1">
        <f t="array" ref="S117">S$106+IF($C117&lt;&gt;0,SUMPRODUCT((S$107:S$108)*TRANSPOSE(($D117:$E117))),0)</f>
        <v>0</v>
      </c>
      <c r="T117" s="30" cm="1">
        <f t="array" ref="T117">T$106+IF($C117&lt;&gt;0,SUMPRODUCT((T$107:T$108)*TRANSPOSE(($D117:$E117))),0)</f>
        <v>0</v>
      </c>
      <c r="U117" s="30" cm="1">
        <f t="array" ref="U117">U$106+IF($C117&lt;&gt;0,SUMPRODUCT((U$107:U$108)*TRANSPOSE(($D117:$E117))),0)</f>
        <v>0</v>
      </c>
      <c r="V117" s="30" cm="1">
        <f t="array" ref="V117">V$106+IF($C117&lt;&gt;0,SUMPRODUCT((V$107:V$108)*TRANSPOSE(($D117:$E117))),0)</f>
        <v>0</v>
      </c>
      <c r="W117" s="30" cm="1">
        <f t="array" ref="W117">W$106+IF($C117&lt;&gt;0,SUMPRODUCT((W$107:W$108)*TRANSPOSE(($D117:$E117))),0)</f>
        <v>0</v>
      </c>
      <c r="X117" s="30" cm="1">
        <f t="array" ref="X117">X$106+IF($C117&lt;&gt;0,SUMPRODUCT((X$107:X$108)*TRANSPOSE(($D117:$E117))),0)</f>
        <v>0</v>
      </c>
      <c r="Y117" s="30" cm="1">
        <f t="array" ref="Y117">Y$106+IF($C117&lt;&gt;0,SUMPRODUCT((Y$107:Y$108)*TRANSPOSE(($D117:$E117))),0)</f>
        <v>0</v>
      </c>
      <c r="Z117" s="30" cm="1">
        <f t="array" ref="Z117">Z$106+IF($C117&lt;&gt;0,SUMPRODUCT((Z$107:Z$108)*TRANSPOSE(($D117:$E117))),0)</f>
        <v>0</v>
      </c>
      <c r="AA117" s="30" cm="1">
        <f t="array" ref="AA117">AA$106+IF($C117&lt;&gt;0,SUMPRODUCT((AA$107:AA$108)*TRANSPOSE(($D117:$E117))),0)</f>
        <v>0</v>
      </c>
      <c r="AB117" s="30" cm="1">
        <f t="array" ref="AB117">AB$106+IF($C117&lt;&gt;0,SUMPRODUCT((AB$107:AB$108)*TRANSPOSE(($D117:$E117))),0)</f>
        <v>0</v>
      </c>
      <c r="AC117" s="30" cm="1">
        <f t="array" ref="AC117">AC$106+IF($C117&lt;&gt;0,SUMPRODUCT((AC$107:AC$108)*TRANSPOSE(($D117:$E117))),0)</f>
        <v>0</v>
      </c>
      <c r="AD117" s="30" cm="1">
        <f t="array" ref="AD117">AD$106+IF($C117&lt;&gt;0,SUMPRODUCT((AD$107:AD$108)*TRANSPOSE(($D117:$E117))),0)</f>
        <v>0</v>
      </c>
      <c r="AE117" s="30" cm="1">
        <f t="array" ref="AE117">AE$106+IF($C117&lt;&gt;0,SUMPRODUCT((AE$107:AE$108)*TRANSPOSE(($D117:$E117))),0)</f>
        <v>0</v>
      </c>
      <c r="AF117" s="30" cm="1">
        <f t="array" ref="AF117">AF$106+IF($C117&lt;&gt;0,SUMPRODUCT((AF$107:AF$108)*TRANSPOSE(($D117:$E117))),0)</f>
        <v>0</v>
      </c>
      <c r="AG117" s="30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pane="topRight"/>
      <selection pane="bottomLeft"/>
      <selection pane="bottomRight" activeCell="I48" sqref="I48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94"/>
      <c r="AI1" s="394"/>
      <c r="AJ1" s="394"/>
    </row>
    <row r="2" spans="1:43" ht="18.75" x14ac:dyDescent="0.3">
      <c r="A2" s="55" t="str">
        <f>proj</f>
        <v>R switchboard and relay retirement</v>
      </c>
      <c r="B2" s="5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94"/>
      <c r="AI2" s="394"/>
      <c r="AJ2" s="394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Decomission switchboard and connect transformers and VR Cremorne feeders to RMU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7"/>
      <c r="B9" s="17"/>
      <c r="C9" s="17"/>
      <c r="D9" s="17"/>
      <c r="E9" s="17"/>
      <c r="F9" s="141"/>
      <c r="G9" s="17" t="s">
        <v>25</v>
      </c>
      <c r="H9" s="219"/>
      <c r="I9" s="16" t="str">
        <f>'Option1 (base case)'!I9</f>
        <v>2026-27</v>
      </c>
      <c r="J9" s="16" t="str">
        <f>'Option1 (base case)'!J9</f>
        <v>2027-28</v>
      </c>
      <c r="K9" s="16" t="str">
        <f>'Option1 (base case)'!K9</f>
        <v>2028-29</v>
      </c>
      <c r="L9" s="16" t="str">
        <f>'Option1 (base case)'!L9</f>
        <v>2029-30</v>
      </c>
      <c r="M9" s="16" t="str">
        <f>'Option1 (base case)'!M9</f>
        <v>2030-31</v>
      </c>
      <c r="N9" s="16" t="str">
        <f>'Option1 (base case)'!N9</f>
        <v>2031-32</v>
      </c>
      <c r="O9" s="16" t="str">
        <f>'Option1 (base case)'!O9</f>
        <v>2032-33</v>
      </c>
      <c r="P9" s="16" t="str">
        <f>'Option1 (base case)'!P9</f>
        <v>2033-34</v>
      </c>
      <c r="Q9" s="16" t="str">
        <f>'Option1 (base case)'!Q9</f>
        <v>2034-35</v>
      </c>
      <c r="R9" s="16" t="str">
        <f>'Option1 (base case)'!R9</f>
        <v>2035-36</v>
      </c>
      <c r="S9" s="16" t="str">
        <f>'Option1 (base case)'!S9</f>
        <v>2036-37</v>
      </c>
      <c r="T9" s="16" t="str">
        <f>'Option1 (base case)'!T9</f>
        <v>2037-38</v>
      </c>
      <c r="U9" s="16" t="str">
        <f>'Option1 (base case)'!U9</f>
        <v>2038-39</v>
      </c>
      <c r="V9" s="16" t="str">
        <f>'Option1 (base case)'!V9</f>
        <v>2039-40</v>
      </c>
      <c r="W9" s="16" t="str">
        <f>'Option1 (base case)'!W9</f>
        <v>2040-41</v>
      </c>
      <c r="X9" s="16" t="str">
        <f>'Option1 (base case)'!X9</f>
        <v>2041-42</v>
      </c>
      <c r="Y9" s="16" t="str">
        <f>'Option1 (base case)'!Y9</f>
        <v>2042-43</v>
      </c>
      <c r="Z9" s="16" t="str">
        <f>'Option1 (base case)'!Z9</f>
        <v>2043-44</v>
      </c>
      <c r="AA9" s="16" t="str">
        <f>'Option1 (base case)'!AA9</f>
        <v>2044-45</v>
      </c>
      <c r="AB9" s="16" t="str">
        <f>'Option1 (base case)'!AB9</f>
        <v>2045-46</v>
      </c>
      <c r="AC9" s="16" t="str">
        <f>'Option1 (base case)'!AC9</f>
        <v>2046-47</v>
      </c>
      <c r="AD9" s="16" t="str">
        <f>'Option1 (base case)'!AD9</f>
        <v>2047-48</v>
      </c>
      <c r="AE9" s="16" t="str">
        <f>'Option1 (base case)'!AE9</f>
        <v>2048-49</v>
      </c>
      <c r="AF9" s="16" t="str">
        <f>'Option1 (base case)'!AF9</f>
        <v>2049-50</v>
      </c>
      <c r="AG9" s="16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8" t="s">
        <v>120</v>
      </c>
      <c r="B11" s="88"/>
      <c r="C11" s="89"/>
      <c r="D11" s="89"/>
      <c r="E11" s="89"/>
      <c r="F11" s="89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6" t="s">
        <v>322</v>
      </c>
      <c r="D14"/>
      <c r="E14" s="147">
        <v>50</v>
      </c>
      <c r="G14" s="206">
        <f>input_dollars</f>
        <v>45291</v>
      </c>
      <c r="H14" s="148"/>
      <c r="I14" s="31">
        <f>Workings_costs!E22</f>
        <v>2700000</v>
      </c>
      <c r="J14" s="31">
        <f>Workings_costs!F22</f>
        <v>0</v>
      </c>
      <c r="K14" s="31">
        <f>Workings_costs!G22</f>
        <v>0</v>
      </c>
      <c r="L14" s="31">
        <f>Workings_costs!H22</f>
        <v>0</v>
      </c>
      <c r="M14" s="31">
        <f>Workings_costs!I22</f>
        <v>0</v>
      </c>
      <c r="N14" s="31">
        <f>Workings_costs!J22</f>
        <v>0</v>
      </c>
      <c r="O14" s="31">
        <f>Workings_costs!K22</f>
        <v>0</v>
      </c>
      <c r="P14" s="31">
        <f>Workings_costs!L22</f>
        <v>0</v>
      </c>
      <c r="Q14" s="31">
        <f>Workings_costs!M22</f>
        <v>0</v>
      </c>
      <c r="R14" s="31">
        <f>Workings_costs!N22</f>
        <v>0</v>
      </c>
      <c r="S14" s="31">
        <f>Workings_costs!O22</f>
        <v>0</v>
      </c>
      <c r="T14" s="31">
        <f>Workings_costs!P22</f>
        <v>0</v>
      </c>
      <c r="U14" s="31">
        <f>Workings_costs!Q22</f>
        <v>0</v>
      </c>
      <c r="V14" s="31">
        <f>Workings_costs!R22</f>
        <v>0</v>
      </c>
      <c r="W14" s="31">
        <f>Workings_costs!S22</f>
        <v>0</v>
      </c>
      <c r="X14" s="31">
        <f>Workings_costs!T22</f>
        <v>0</v>
      </c>
      <c r="Y14" s="31">
        <f>Workings_costs!U22</f>
        <v>0</v>
      </c>
      <c r="Z14" s="31">
        <f>Workings_costs!V22</f>
        <v>0</v>
      </c>
      <c r="AA14" s="31">
        <f>Workings_costs!W22</f>
        <v>0</v>
      </c>
      <c r="AB14" s="31">
        <f>Workings_costs!X22</f>
        <v>0</v>
      </c>
      <c r="AC14" s="31">
        <f>Workings_costs!Y22</f>
        <v>0</v>
      </c>
      <c r="AD14" s="31">
        <f>Workings_costs!Z22</f>
        <v>0</v>
      </c>
      <c r="AE14" s="31">
        <f>Workings_costs!AA22</f>
        <v>0</v>
      </c>
      <c r="AF14" s="31">
        <f>Workings_costs!AB22</f>
        <v>0</v>
      </c>
      <c r="AG14" s="31">
        <f>Workings_costs!AC22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6"/>
      <c r="D15"/>
      <c r="E15" s="147">
        <v>0</v>
      </c>
      <c r="G15" s="206">
        <f>input_dollars</f>
        <v>45291</v>
      </c>
      <c r="H15" s="2"/>
      <c r="I15" s="31">
        <f>Workings_costs!E23</f>
        <v>0</v>
      </c>
      <c r="J15" s="31">
        <f>Workings_costs!F23</f>
        <v>0</v>
      </c>
      <c r="K15" s="31">
        <f>Workings_costs!G23</f>
        <v>0</v>
      </c>
      <c r="L15" s="31">
        <f>Workings_costs!H23</f>
        <v>0</v>
      </c>
      <c r="M15" s="31">
        <f>Workings_costs!I23</f>
        <v>0</v>
      </c>
      <c r="N15" s="31">
        <f>Workings_costs!J23</f>
        <v>0</v>
      </c>
      <c r="O15" s="31">
        <f>Workings_costs!K23</f>
        <v>0</v>
      </c>
      <c r="P15" s="31">
        <f>Workings_costs!L23</f>
        <v>0</v>
      </c>
      <c r="Q15" s="31">
        <f>Workings_costs!M23</f>
        <v>0</v>
      </c>
      <c r="R15" s="31">
        <f>Workings_costs!N23</f>
        <v>0</v>
      </c>
      <c r="S15" s="31">
        <f>Workings_costs!O23</f>
        <v>0</v>
      </c>
      <c r="T15" s="31">
        <f>Workings_costs!P23</f>
        <v>0</v>
      </c>
      <c r="U15" s="31">
        <f>Workings_costs!Q23</f>
        <v>0</v>
      </c>
      <c r="V15" s="31">
        <f>Workings_costs!R23</f>
        <v>0</v>
      </c>
      <c r="W15" s="31">
        <f>Workings_costs!S23</f>
        <v>0</v>
      </c>
      <c r="X15" s="31">
        <f>Workings_costs!T23</f>
        <v>0</v>
      </c>
      <c r="Y15" s="31">
        <f>Workings_costs!U23</f>
        <v>0</v>
      </c>
      <c r="Z15" s="31">
        <f>Workings_costs!V23</f>
        <v>0</v>
      </c>
      <c r="AA15" s="31">
        <f>Workings_costs!W23</f>
        <v>0</v>
      </c>
      <c r="AB15" s="31">
        <f>Workings_costs!X23</f>
        <v>0</v>
      </c>
      <c r="AC15" s="31">
        <f>Workings_costs!Y23</f>
        <v>0</v>
      </c>
      <c r="AD15" s="31">
        <f>Workings_costs!Z23</f>
        <v>0</v>
      </c>
      <c r="AE15" s="31">
        <f>Workings_costs!AA23</f>
        <v>0</v>
      </c>
      <c r="AF15" s="31">
        <f>Workings_costs!AB23</f>
        <v>0</v>
      </c>
      <c r="AG15" s="31">
        <f>Workings_costs!AC23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6"/>
      <c r="D16"/>
      <c r="E16" s="147">
        <v>0</v>
      </c>
      <c r="G16" s="206">
        <f>input_dollars</f>
        <v>45291</v>
      </c>
      <c r="H16" s="2"/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6"/>
      <c r="I17" s="105">
        <f t="shared" ref="I17:Q17" si="0">SUM(I14:I16)</f>
        <v>2700000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8" t="s">
        <v>150</v>
      </c>
      <c r="B22" s="88"/>
      <c r="C22" s="88"/>
      <c r="D22" s="88"/>
      <c r="E22" s="88"/>
      <c r="F22" s="88"/>
      <c r="G22" s="203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50104.893056593428</v>
      </c>
      <c r="F28" s="237" t="str">
        <f>IF(AND(SUM(I27:AG27)&lt;&gt;0, E28=0), "!", "")</f>
        <v/>
      </c>
      <c r="G28" s="206">
        <f>input_dollars</f>
        <v>45291</v>
      </c>
      <c r="H28"/>
      <c r="I28" s="167">
        <f>Workings_risks!E61</f>
        <v>62651.835185184194</v>
      </c>
      <c r="J28" s="167">
        <f>Workings_risks!F61</f>
        <v>7842.9280062198604</v>
      </c>
      <c r="K28" s="167">
        <f>Workings_risks!G61</f>
        <v>7987.970400615679</v>
      </c>
      <c r="L28" s="167">
        <f>Workings_risks!H61</f>
        <v>8034.3897463371113</v>
      </c>
      <c r="M28" s="167">
        <f>Workings_risks!I61</f>
        <v>8116.9560092453812</v>
      </c>
      <c r="N28" s="167">
        <f>Workings_risks!J61</f>
        <v>8407.7679695738479</v>
      </c>
      <c r="O28" s="167">
        <f>Workings_risks!K61</f>
        <v>8862.7347333174512</v>
      </c>
      <c r="P28" s="167">
        <f>Workings_risks!L61</f>
        <v>9507.1739776820777</v>
      </c>
      <c r="Q28" s="167">
        <f>Workings_risks!M61</f>
        <v>10268.821632668278</v>
      </c>
      <c r="R28" s="167">
        <f>Workings_risks!N61</f>
        <v>11353.382461591231</v>
      </c>
      <c r="S28" s="167">
        <f>Workings_risks!O61</f>
        <v>12888.880221492038</v>
      </c>
      <c r="T28" s="167">
        <f>Workings_risks!P61</f>
        <v>15074.00649289385</v>
      </c>
      <c r="U28" s="167">
        <f>Workings_risks!Q61</f>
        <v>18210.961811447385</v>
      </c>
      <c r="V28" s="167">
        <f>Workings_risks!R61</f>
        <v>22684.027064743921</v>
      </c>
      <c r="W28" s="167">
        <f>Workings_risks!S61</f>
        <v>29079.166203874945</v>
      </c>
      <c r="X28" s="167">
        <f>Workings_risks!T61</f>
        <v>38243.599620792163</v>
      </c>
      <c r="Y28" s="167">
        <f>Workings_risks!U61</f>
        <v>51403.436571400627</v>
      </c>
      <c r="Z28" s="167">
        <f>Workings_risks!V61</f>
        <v>70334.591380323051</v>
      </c>
      <c r="AA28" s="167">
        <f>Workings_risks!W61</f>
        <v>97611.294525528385</v>
      </c>
      <c r="AB28" s="167">
        <f>Workings_risks!X61</f>
        <v>136967.12190589879</v>
      </c>
      <c r="AC28" s="167">
        <f>Workings_risks!Y61</f>
        <v>144255.98176000782</v>
      </c>
      <c r="AD28" s="167">
        <f>Workings_risks!Z61</f>
        <v>144807.49275204446</v>
      </c>
      <c r="AE28" s="167">
        <f>Workings_risks!AA61</f>
        <v>145479.72434731547</v>
      </c>
      <c r="AF28" s="167">
        <f>Workings_risks!AB61</f>
        <v>145649.93107680473</v>
      </c>
      <c r="AG28" s="167">
        <f>Workings_risks!AC61</f>
        <v>145850.63087580792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Workings_risks!D62</f>
        <v>Safety risk</v>
      </c>
      <c r="D30" s="204" t="s">
        <v>208</v>
      </c>
      <c r="G30" s="206">
        <f>input_dollars</f>
        <v>45291</v>
      </c>
      <c r="H30" s="148"/>
      <c r="I30" s="31">
        <f>Workings_risks!E62</f>
        <v>2031.4305734685131</v>
      </c>
      <c r="J30" s="364">
        <f>Workings_risks!F62</f>
        <v>647.51217572896735</v>
      </c>
      <c r="K30" s="364">
        <f>Workings_risks!G62</f>
        <v>655.45210807225374</v>
      </c>
      <c r="L30" s="364">
        <f>Workings_risks!H62</f>
        <v>665.22002947962881</v>
      </c>
      <c r="M30" s="364">
        <f>Workings_risks!I62</f>
        <v>680.662796527723</v>
      </c>
      <c r="N30" s="364">
        <f>Workings_risks!J62</f>
        <v>707.68637862072012</v>
      </c>
      <c r="O30" s="364">
        <f>Workings_risks!K62</f>
        <v>787.16271343039489</v>
      </c>
      <c r="P30" s="364">
        <f>Workings_risks!L62</f>
        <v>931.87504469610576</v>
      </c>
      <c r="Q30" s="364">
        <f>Workings_risks!M62</f>
        <v>1127.5291416869602</v>
      </c>
      <c r="R30" s="364">
        <f>Workings_risks!N62</f>
        <v>1393.4745314452641</v>
      </c>
      <c r="S30" s="364">
        <f>Workings_risks!O62</f>
        <v>1756.7764242840765</v>
      </c>
      <c r="T30" s="364">
        <f>Workings_risks!P62</f>
        <v>2255.600069089985</v>
      </c>
      <c r="U30" s="364">
        <f>Workings_risks!Q62</f>
        <v>2944.4297248604075</v>
      </c>
      <c r="V30" s="364">
        <f>Workings_risks!R62</f>
        <v>3897.3384493048347</v>
      </c>
      <c r="W30" s="364">
        <f>Workings_risks!S62</f>
        <v>5220.4507174638202</v>
      </c>
      <c r="X30" s="364">
        <f>Workings_risks!T62</f>
        <v>7063.8073857565414</v>
      </c>
      <c r="Y30" s="364">
        <f>Workings_risks!U62</f>
        <v>9639.8800964921174</v>
      </c>
      <c r="Z30" s="364">
        <f>Workings_risks!V62</f>
        <v>13249.985128465798</v>
      </c>
      <c r="AA30" s="364">
        <f>Workings_risks!W62</f>
        <v>18371.118003329691</v>
      </c>
      <c r="AB30" s="364">
        <f>Workings_risks!X62</f>
        <v>25610.529944637416</v>
      </c>
      <c r="AC30" s="364">
        <f>Workings_risks!Y62</f>
        <v>33656.855463182321</v>
      </c>
      <c r="AD30" s="364">
        <f>Workings_risks!Z62</f>
        <v>44520.573660765964</v>
      </c>
      <c r="AE30" s="364">
        <f>Workings_risks!AA62</f>
        <v>57814.661202507064</v>
      </c>
      <c r="AF30" s="364">
        <f>Workings_risks!AB62</f>
        <v>58177.516597867412</v>
      </c>
      <c r="AG30" s="364">
        <f>Workings_risks!AC62</f>
        <v>58681.509095731213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362" t="str">
        <f>Workings_risks!D63</f>
        <v>Unplanned replacement risk</v>
      </c>
      <c r="D31" s="205"/>
      <c r="E31"/>
      <c r="G31" s="206">
        <f>input_dollars</f>
        <v>45291</v>
      </c>
      <c r="H31" s="148"/>
      <c r="I31" s="364">
        <f>Workings_risks!E63</f>
        <v>11476.569259017157</v>
      </c>
      <c r="J31" s="364">
        <f>Workings_risks!F63</f>
        <v>1953.1879113228133</v>
      </c>
      <c r="K31" s="364">
        <f>Workings_risks!G63</f>
        <v>1962.9287133838632</v>
      </c>
      <c r="L31" s="364">
        <f>Workings_risks!H63</f>
        <v>1974.9121138542189</v>
      </c>
      <c r="M31" s="364">
        <f>Workings_risks!I63</f>
        <v>2020.5785771536014</v>
      </c>
      <c r="N31" s="364">
        <f>Workings_risks!J63</f>
        <v>2149.1928507937346</v>
      </c>
      <c r="O31" s="364">
        <f>Workings_risks!K63</f>
        <v>2368.650014663659</v>
      </c>
      <c r="P31" s="364">
        <f>Workings_risks!L63</f>
        <v>2707.767542964928</v>
      </c>
      <c r="Q31" s="364">
        <f>Workings_risks!M63</f>
        <v>3175.8298407776083</v>
      </c>
      <c r="R31" s="364">
        <f>Workings_risks!N63</f>
        <v>3825.1636603773486</v>
      </c>
      <c r="S31" s="364">
        <f>Workings_risks!O63</f>
        <v>4730.1860714995</v>
      </c>
      <c r="T31" s="364">
        <f>Workings_risks!P63</f>
        <v>5998.5820177713886</v>
      </c>
      <c r="U31" s="364">
        <f>Workings_risks!Q63</f>
        <v>7790.5551191466257</v>
      </c>
      <c r="V31" s="364">
        <f>Workings_risks!R63</f>
        <v>10314.431512096626</v>
      </c>
      <c r="W31" s="364">
        <f>Workings_risks!S63</f>
        <v>13881.063955352716</v>
      </c>
      <c r="X31" s="364">
        <f>Workings_risks!T63</f>
        <v>18936.421534671841</v>
      </c>
      <c r="Y31" s="364">
        <f>Workings_risks!U63</f>
        <v>26121.160724584741</v>
      </c>
      <c r="Z31" s="364">
        <f>Workings_risks!V63</f>
        <v>36356.697278872271</v>
      </c>
      <c r="AA31" s="364">
        <f>Workings_risks!W63</f>
        <v>51060.81331084983</v>
      </c>
      <c r="AB31" s="364">
        <f>Workings_risks!X63</f>
        <v>72143.332594504274</v>
      </c>
      <c r="AC31" s="364">
        <f>Workings_risks!Y63</f>
        <v>82707.567518116935</v>
      </c>
      <c r="AD31" s="364">
        <f>Workings_risks!Z63</f>
        <v>93676.719036552531</v>
      </c>
      <c r="AE31" s="364">
        <f>Workings_risks!AA63</f>
        <v>107029.77585205981</v>
      </c>
      <c r="AF31" s="364">
        <f>Workings_risks!AB63</f>
        <v>107755.36110441686</v>
      </c>
      <c r="AG31" s="364">
        <f>Workings_risks!AC63</f>
        <v>108752.19782400024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362" t="str">
        <f>Workings_risks!D64</f>
        <v>Unplanned fault risk</v>
      </c>
      <c r="D32" s="204" t="s">
        <v>208</v>
      </c>
      <c r="E32"/>
      <c r="G32" s="206">
        <f>input_dollars</f>
        <v>45291</v>
      </c>
      <c r="H32"/>
      <c r="I32" s="364">
        <f>Workings_risks!E64</f>
        <v>762</v>
      </c>
      <c r="J32" s="364">
        <f>Workings_risks!F64</f>
        <v>76.199999999999974</v>
      </c>
      <c r="K32" s="364">
        <f>Workings_risks!G64</f>
        <v>76.199999999999974</v>
      </c>
      <c r="L32" s="364">
        <f>Workings_risks!H64</f>
        <v>76.199999999999974</v>
      </c>
      <c r="M32" s="364">
        <f>Workings_risks!I64</f>
        <v>76.199999999999974</v>
      </c>
      <c r="N32" s="364">
        <f>Workings_risks!J64</f>
        <v>76.199999999999974</v>
      </c>
      <c r="O32" s="364">
        <f>Workings_risks!K64</f>
        <v>76.199999999999974</v>
      </c>
      <c r="P32" s="364">
        <f>Workings_risks!L64</f>
        <v>76.199999999999974</v>
      </c>
      <c r="Q32" s="364">
        <f>Workings_risks!M64</f>
        <v>76.199999999999974</v>
      </c>
      <c r="R32" s="364">
        <f>Workings_risks!N64</f>
        <v>76.199999999999974</v>
      </c>
      <c r="S32" s="364">
        <f>Workings_risks!O64</f>
        <v>76.199999999999974</v>
      </c>
      <c r="T32" s="364">
        <f>Workings_risks!P64</f>
        <v>76.199999999999974</v>
      </c>
      <c r="U32" s="364">
        <f>Workings_risks!Q64</f>
        <v>76.199999999999974</v>
      </c>
      <c r="V32" s="364">
        <f>Workings_risks!R64</f>
        <v>76.199999999999974</v>
      </c>
      <c r="W32" s="364">
        <f>Workings_risks!S64</f>
        <v>76.199999999999974</v>
      </c>
      <c r="X32" s="364">
        <f>Workings_risks!T64</f>
        <v>76.199999999999974</v>
      </c>
      <c r="Y32" s="364">
        <f>Workings_risks!U64</f>
        <v>76.199999999999974</v>
      </c>
      <c r="Z32" s="364">
        <f>Workings_risks!V64</f>
        <v>76.199999999999974</v>
      </c>
      <c r="AA32" s="364">
        <f>Workings_risks!W64</f>
        <v>76.199999999999974</v>
      </c>
      <c r="AB32" s="364">
        <f>Workings_risks!X64</f>
        <v>76.199999999999974</v>
      </c>
      <c r="AC32" s="364">
        <f>Workings_risks!Y64</f>
        <v>76.199999999999974</v>
      </c>
      <c r="AD32" s="364">
        <f>Workings_risks!Z64</f>
        <v>76.199999999999974</v>
      </c>
      <c r="AE32" s="364">
        <f>Workings_risks!AA64</f>
        <v>76.199999999999974</v>
      </c>
      <c r="AF32" s="364">
        <f>Workings_risks!AB64</f>
        <v>76.199999999999974</v>
      </c>
      <c r="AG32" s="364">
        <f>Workings_risks!AC64</f>
        <v>76.199999999999974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62" t="str">
        <f>Workings_risks!D65</f>
        <v>Environmental risk</v>
      </c>
      <c r="D33" s="218"/>
      <c r="E33"/>
      <c r="G33" s="206">
        <f>input_dollars</f>
        <v>45291</v>
      </c>
      <c r="H33"/>
      <c r="I33" s="364">
        <f>Workings_risks!E65</f>
        <v>207.68260030401137</v>
      </c>
      <c r="J33" s="364">
        <f>Workings_risks!F65</f>
        <v>80.194343985339714</v>
      </c>
      <c r="K33" s="364">
        <f>Workings_risks!G65</f>
        <v>81.312593719302868</v>
      </c>
      <c r="L33" s="364">
        <f>Workings_risks!H65</f>
        <v>82.688295053131753</v>
      </c>
      <c r="M33" s="364">
        <f>Workings_risks!I65</f>
        <v>84.57193586533613</v>
      </c>
      <c r="N33" s="364">
        <f>Workings_risks!J65</f>
        <v>87.33723507208849</v>
      </c>
      <c r="O33" s="364">
        <f>Workings_risks!K65</f>
        <v>97.081838299549077</v>
      </c>
      <c r="P33" s="364">
        <f>Workings_risks!L65</f>
        <v>115.43609143894327</v>
      </c>
      <c r="Q33" s="364">
        <f>Workings_risks!M65</f>
        <v>140.14355542808249</v>
      </c>
      <c r="R33" s="364">
        <f>Workings_risks!N65</f>
        <v>173.58011307798702</v>
      </c>
      <c r="S33" s="364">
        <f>Workings_risks!O65</f>
        <v>219.0555754655341</v>
      </c>
      <c r="T33" s="364">
        <f>Workings_risks!P65</f>
        <v>281.20744783819777</v>
      </c>
      <c r="U33" s="364">
        <f>Workings_risks!Q65</f>
        <v>366.58680461834621</v>
      </c>
      <c r="V33" s="364">
        <f>Workings_risks!R65</f>
        <v>484.19943689828773</v>
      </c>
      <c r="W33" s="364">
        <f>Workings_risks!S65</f>
        <v>646.81553712997106</v>
      </c>
      <c r="X33" s="364">
        <f>Workings_risks!T65</f>
        <v>872.41966323243639</v>
      </c>
      <c r="Y33" s="364">
        <f>Workings_risks!U65</f>
        <v>1186.3810156449922</v>
      </c>
      <c r="Z33" s="364">
        <f>Workings_risks!V65</f>
        <v>1624.5381245338194</v>
      </c>
      <c r="AA33" s="364">
        <f>Workings_risks!W65</f>
        <v>2244.5087893705299</v>
      </c>
      <c r="AB33" s="364">
        <f>Workings_risks!X65</f>
        <v>3117.9416637663376</v>
      </c>
      <c r="AC33" s="364">
        <f>Workings_risks!Y65</f>
        <v>4225.0648449489645</v>
      </c>
      <c r="AD33" s="364">
        <f>Workings_risks!Z65</f>
        <v>5754.5880284297582</v>
      </c>
      <c r="AE33" s="364">
        <f>Workings_risks!AA65</f>
        <v>7626.3090804649473</v>
      </c>
      <c r="AF33" s="364">
        <f>Workings_risks!AB65</f>
        <v>7676.8083735902228</v>
      </c>
      <c r="AG33" s="364">
        <f>Workings_risks!AC65</f>
        <v>7747.0834543847213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362" t="str">
        <f>Workings_risks!D66</f>
        <v>Other risk</v>
      </c>
      <c r="D34" s="205"/>
      <c r="E34"/>
      <c r="G34" s="206">
        <f>input_dollars</f>
        <v>45291</v>
      </c>
      <c r="H34"/>
      <c r="I34" s="364">
        <f>Workings_risks!E66</f>
        <v>30000</v>
      </c>
      <c r="J34" s="364">
        <f>Workings_risks!F66</f>
        <v>0</v>
      </c>
      <c r="K34" s="364">
        <f>Workings_risks!G66</f>
        <v>0</v>
      </c>
      <c r="L34" s="364">
        <f>Workings_risks!H66</f>
        <v>0</v>
      </c>
      <c r="M34" s="364">
        <f>Workings_risks!I66</f>
        <v>0</v>
      </c>
      <c r="N34" s="364">
        <f>Workings_risks!J66</f>
        <v>0</v>
      </c>
      <c r="O34" s="364">
        <f>Workings_risks!K66</f>
        <v>0</v>
      </c>
      <c r="P34" s="364">
        <f>Workings_risks!L66</f>
        <v>0</v>
      </c>
      <c r="Q34" s="364">
        <f>Workings_risks!M66</f>
        <v>0</v>
      </c>
      <c r="R34" s="364">
        <f>Workings_risks!N66</f>
        <v>0</v>
      </c>
      <c r="S34" s="364">
        <f>Workings_risks!O66</f>
        <v>0</v>
      </c>
      <c r="T34" s="364">
        <f>Workings_risks!P66</f>
        <v>0</v>
      </c>
      <c r="U34" s="364">
        <f>Workings_risks!Q66</f>
        <v>0</v>
      </c>
      <c r="V34" s="364">
        <f>Workings_risks!R66</f>
        <v>0</v>
      </c>
      <c r="W34" s="364">
        <f>Workings_risks!S66</f>
        <v>0</v>
      </c>
      <c r="X34" s="364">
        <f>Workings_risks!T66</f>
        <v>0</v>
      </c>
      <c r="Y34" s="364">
        <f>Workings_risks!U66</f>
        <v>0</v>
      </c>
      <c r="Z34" s="364">
        <f>Workings_risks!V66</f>
        <v>0</v>
      </c>
      <c r="AA34" s="364">
        <f>Workings_risks!W66</f>
        <v>0</v>
      </c>
      <c r="AB34" s="364">
        <f>Workings_risks!X66</f>
        <v>0</v>
      </c>
      <c r="AC34" s="364">
        <f>Workings_risks!Y66</f>
        <v>0</v>
      </c>
      <c r="AD34" s="364">
        <f>Workings_risks!Z66</f>
        <v>0</v>
      </c>
      <c r="AE34" s="364">
        <f>Workings_risks!AA66</f>
        <v>0</v>
      </c>
      <c r="AF34" s="364">
        <f>Workings_risks!AB66</f>
        <v>0</v>
      </c>
      <c r="AG34" s="364">
        <f>Workings_risks!AC66</f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107129.51761797386</v>
      </c>
      <c r="J36" s="169">
        <f t="shared" ref="J36:AG36" si="2">SUM(J28:J34)</f>
        <v>10600.022437256983</v>
      </c>
      <c r="K36" s="169">
        <f t="shared" si="2"/>
        <v>10763.863815791099</v>
      </c>
      <c r="L36" s="169">
        <f t="shared" si="2"/>
        <v>10833.410184724093</v>
      </c>
      <c r="M36" s="169">
        <f t="shared" si="2"/>
        <v>10978.969318792044</v>
      </c>
      <c r="N36" s="169">
        <f t="shared" si="2"/>
        <v>11428.184434060393</v>
      </c>
      <c r="O36" s="169">
        <f t="shared" si="2"/>
        <v>12191.829299711055</v>
      </c>
      <c r="P36" s="169">
        <f t="shared" si="2"/>
        <v>13338.452656782056</v>
      </c>
      <c r="Q36" s="169">
        <f t="shared" si="2"/>
        <v>14788.52417056093</v>
      </c>
      <c r="R36" s="169">
        <f t="shared" si="2"/>
        <v>16821.800766491833</v>
      </c>
      <c r="S36" s="169">
        <f t="shared" si="2"/>
        <v>19671.098292741146</v>
      </c>
      <c r="T36" s="169">
        <f t="shared" si="2"/>
        <v>23685.596027593423</v>
      </c>
      <c r="U36" s="169">
        <f t="shared" si="2"/>
        <v>29388.733460072766</v>
      </c>
      <c r="V36" s="169">
        <f t="shared" si="2"/>
        <v>37456.196463043663</v>
      </c>
      <c r="W36" s="169">
        <f t="shared" si="2"/>
        <v>48903.696413821446</v>
      </c>
      <c r="X36" s="169">
        <f t="shared" si="2"/>
        <v>65192.44820445298</v>
      </c>
      <c r="Y36" s="169">
        <f t="shared" si="2"/>
        <v>88427.058408122466</v>
      </c>
      <c r="Z36" s="169">
        <f t="shared" si="2"/>
        <v>121642.01191219492</v>
      </c>
      <c r="AA36" s="169">
        <f t="shared" si="2"/>
        <v>169363.93462907846</v>
      </c>
      <c r="AB36" s="169">
        <f t="shared" si="2"/>
        <v>237915.12610880681</v>
      </c>
      <c r="AC36" s="169">
        <f t="shared" si="2"/>
        <v>264921.66958625603</v>
      </c>
      <c r="AD36" s="169">
        <f t="shared" si="2"/>
        <v>288835.57347779273</v>
      </c>
      <c r="AE36" s="169">
        <f t="shared" si="2"/>
        <v>318026.67048234731</v>
      </c>
      <c r="AF36" s="169">
        <f t="shared" si="2"/>
        <v>319335.81715267926</v>
      </c>
      <c r="AG36" s="169">
        <f t="shared" si="2"/>
        <v>321107.62124992412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8" t="s">
        <v>56</v>
      </c>
      <c r="B38" s="88"/>
      <c r="C38" s="88"/>
      <c r="D38" s="88"/>
      <c r="E38" s="88"/>
      <c r="F38" s="88"/>
      <c r="G38" s="203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</row>
    <row r="42" spans="1:16372" ht="13.5" x14ac:dyDescent="0.25">
      <c r="C42" s="1" t="s">
        <v>129</v>
      </c>
      <c r="G42" s="204" t="s">
        <v>104</v>
      </c>
      <c r="I42" s="84">
        <f t="shared" ref="I42:AG42" si="3">I41*I7</f>
        <v>0</v>
      </c>
      <c r="J42" s="84">
        <f t="shared" si="3"/>
        <v>0</v>
      </c>
      <c r="K42" s="84">
        <f t="shared" si="3"/>
        <v>0</v>
      </c>
      <c r="L42" s="84">
        <f t="shared" si="3"/>
        <v>0</v>
      </c>
      <c r="M42" s="84">
        <f t="shared" si="3"/>
        <v>0</v>
      </c>
      <c r="N42" s="84">
        <f t="shared" si="3"/>
        <v>0</v>
      </c>
      <c r="O42" s="84">
        <f t="shared" si="3"/>
        <v>0</v>
      </c>
      <c r="P42" s="84">
        <f t="shared" si="3"/>
        <v>0</v>
      </c>
      <c r="Q42" s="84">
        <f t="shared" si="3"/>
        <v>0</v>
      </c>
      <c r="R42" s="84">
        <f t="shared" si="3"/>
        <v>0</v>
      </c>
      <c r="S42" s="84">
        <f t="shared" si="3"/>
        <v>0</v>
      </c>
      <c r="T42" s="84">
        <f t="shared" si="3"/>
        <v>0</v>
      </c>
      <c r="U42" s="84">
        <f t="shared" si="3"/>
        <v>0</v>
      </c>
      <c r="V42" s="84">
        <f t="shared" si="3"/>
        <v>0</v>
      </c>
      <c r="W42" s="84">
        <f t="shared" si="3"/>
        <v>0</v>
      </c>
      <c r="X42" s="84">
        <f t="shared" si="3"/>
        <v>0</v>
      </c>
      <c r="Y42" s="84">
        <f t="shared" si="3"/>
        <v>0</v>
      </c>
      <c r="Z42" s="84">
        <f t="shared" si="3"/>
        <v>0</v>
      </c>
      <c r="AA42" s="84">
        <f t="shared" si="3"/>
        <v>0</v>
      </c>
      <c r="AB42" s="84">
        <f t="shared" si="3"/>
        <v>0</v>
      </c>
      <c r="AC42" s="84">
        <f t="shared" si="3"/>
        <v>0</v>
      </c>
      <c r="AD42" s="84">
        <f t="shared" si="3"/>
        <v>0</v>
      </c>
      <c r="AE42" s="84">
        <f t="shared" si="3"/>
        <v>0</v>
      </c>
      <c r="AF42" s="84">
        <f t="shared" si="3"/>
        <v>0</v>
      </c>
      <c r="AG42" s="84">
        <f t="shared" si="3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  <c r="S45" s="321">
        <v>0</v>
      </c>
      <c r="T45" s="321">
        <v>0</v>
      </c>
      <c r="U45" s="321">
        <v>0</v>
      </c>
      <c r="V45" s="321">
        <v>0</v>
      </c>
      <c r="W45" s="321">
        <v>0</v>
      </c>
      <c r="X45" s="321">
        <v>0</v>
      </c>
      <c r="Y45" s="321">
        <v>0</v>
      </c>
      <c r="Z45" s="321">
        <v>0</v>
      </c>
      <c r="AA45" s="321">
        <v>0</v>
      </c>
      <c r="AB45" s="321">
        <v>0</v>
      </c>
      <c r="AC45" s="321">
        <v>0</v>
      </c>
      <c r="AD45" s="321">
        <v>0</v>
      </c>
      <c r="AE45" s="321">
        <v>0</v>
      </c>
      <c r="AF45" s="321">
        <v>0</v>
      </c>
      <c r="AG45" s="321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  <c r="S46" s="321">
        <v>0</v>
      </c>
      <c r="T46" s="321">
        <v>0</v>
      </c>
      <c r="U46" s="321">
        <v>0</v>
      </c>
      <c r="V46" s="321">
        <v>0</v>
      </c>
      <c r="W46" s="321">
        <v>0</v>
      </c>
      <c r="X46" s="321">
        <v>0</v>
      </c>
      <c r="Y46" s="321">
        <v>0</v>
      </c>
      <c r="Z46" s="321">
        <v>0</v>
      </c>
      <c r="AA46" s="321">
        <v>0</v>
      </c>
      <c r="AB46" s="321">
        <v>0</v>
      </c>
      <c r="AC46" s="321">
        <v>0</v>
      </c>
      <c r="AD46" s="321">
        <v>0</v>
      </c>
      <c r="AE46" s="321">
        <v>0</v>
      </c>
      <c r="AF46" s="321">
        <v>0</v>
      </c>
      <c r="AG46" s="321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  <c r="R48" s="321">
        <v>0</v>
      </c>
      <c r="S48" s="321">
        <v>0</v>
      </c>
      <c r="T48" s="321">
        <v>0</v>
      </c>
      <c r="U48" s="321">
        <v>0</v>
      </c>
      <c r="V48" s="321">
        <v>0</v>
      </c>
      <c r="W48" s="321">
        <v>0</v>
      </c>
      <c r="X48" s="321">
        <v>0</v>
      </c>
      <c r="Y48" s="321">
        <v>0</v>
      </c>
      <c r="Z48" s="321">
        <v>0</v>
      </c>
      <c r="AA48" s="321">
        <v>0</v>
      </c>
      <c r="AB48" s="321">
        <v>0</v>
      </c>
      <c r="AC48" s="321">
        <v>0</v>
      </c>
      <c r="AD48" s="321">
        <v>0</v>
      </c>
      <c r="AE48" s="321">
        <v>0</v>
      </c>
      <c r="AF48" s="321">
        <v>0</v>
      </c>
      <c r="AG48" s="321">
        <v>0</v>
      </c>
    </row>
    <row r="49" spans="1:43" x14ac:dyDescent="0.2">
      <c r="C49" s="1" t="s">
        <v>9</v>
      </c>
      <c r="D49" s="204" t="s">
        <v>206</v>
      </c>
      <c r="E49" s="111">
        <f>Assumptions!G98</f>
        <v>0.54769380678923496</v>
      </c>
      <c r="G49" s="206" t="s">
        <v>207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21">
        <v>0</v>
      </c>
      <c r="T49" s="321">
        <v>0</v>
      </c>
      <c r="U49" s="321">
        <v>0</v>
      </c>
      <c r="V49" s="321">
        <v>0</v>
      </c>
      <c r="W49" s="321">
        <v>0</v>
      </c>
      <c r="X49" s="321">
        <v>0</v>
      </c>
      <c r="Y49" s="321">
        <v>0</v>
      </c>
      <c r="Z49" s="321">
        <v>0</v>
      </c>
      <c r="AA49" s="321">
        <v>0</v>
      </c>
      <c r="AB49" s="321">
        <v>0</v>
      </c>
      <c r="AC49" s="321">
        <v>0</v>
      </c>
      <c r="AD49" s="321">
        <v>0</v>
      </c>
      <c r="AE49" s="321">
        <v>0</v>
      </c>
      <c r="AF49" s="321">
        <v>0</v>
      </c>
      <c r="AG49" s="321">
        <v>0</v>
      </c>
    </row>
    <row r="50" spans="1:43" x14ac:dyDescent="0.2">
      <c r="C50" s="1" t="s">
        <v>10</v>
      </c>
      <c r="D50" s="204" t="s">
        <v>206</v>
      </c>
      <c r="E50" s="111">
        <f>Assumptions!G99</f>
        <v>0.54769380678923496</v>
      </c>
      <c r="G50" s="206" t="s">
        <v>207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  <c r="R50" s="321">
        <v>0</v>
      </c>
      <c r="S50" s="321">
        <v>0</v>
      </c>
      <c r="T50" s="321">
        <v>0</v>
      </c>
      <c r="U50" s="321">
        <v>0</v>
      </c>
      <c r="V50" s="321">
        <v>0</v>
      </c>
      <c r="W50" s="321">
        <v>0</v>
      </c>
      <c r="X50" s="321">
        <v>0</v>
      </c>
      <c r="Y50" s="321">
        <v>0</v>
      </c>
      <c r="Z50" s="321">
        <v>0</v>
      </c>
      <c r="AA50" s="321">
        <v>0</v>
      </c>
      <c r="AB50" s="321">
        <v>0</v>
      </c>
      <c r="AC50" s="321">
        <v>0</v>
      </c>
      <c r="AD50" s="321">
        <v>0</v>
      </c>
      <c r="AE50" s="321">
        <v>0</v>
      </c>
      <c r="AF50" s="321">
        <v>0</v>
      </c>
      <c r="AG50" s="321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43" x14ac:dyDescent="0.2">
      <c r="D53" s="204"/>
      <c r="G53" s="206"/>
      <c r="H53" s="61"/>
      <c r="I53" s="322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</row>
    <row r="54" spans="1:43" x14ac:dyDescent="0.2">
      <c r="C54" s="1" t="s">
        <v>309</v>
      </c>
      <c r="D54" s="204"/>
      <c r="G54" s="206">
        <f>input_dollars</f>
        <v>45291</v>
      </c>
      <c r="I54" s="31">
        <f>Workings_costs!E31</f>
        <v>0</v>
      </c>
      <c r="J54" s="364">
        <f>Workings_costs!F31</f>
        <v>0</v>
      </c>
      <c r="K54" s="364">
        <f>Workings_costs!G31</f>
        <v>0</v>
      </c>
      <c r="L54" s="364">
        <f>Workings_costs!H31</f>
        <v>0</v>
      </c>
      <c r="M54" s="364">
        <f>Workings_costs!I31</f>
        <v>0</v>
      </c>
      <c r="N54" s="364">
        <f>Workings_costs!J31</f>
        <v>0</v>
      </c>
      <c r="O54" s="364">
        <f>Workings_costs!K31</f>
        <v>0</v>
      </c>
      <c r="P54" s="364">
        <f>Workings_costs!L31</f>
        <v>0</v>
      </c>
      <c r="Q54" s="364">
        <f>Workings_costs!M31</f>
        <v>0</v>
      </c>
      <c r="R54" s="364">
        <f>Workings_costs!N31</f>
        <v>0</v>
      </c>
      <c r="S54" s="364">
        <f>Workings_costs!O31</f>
        <v>0</v>
      </c>
      <c r="T54" s="364">
        <f>Workings_costs!P31</f>
        <v>0</v>
      </c>
      <c r="U54" s="364">
        <f>Workings_costs!Q31</f>
        <v>0</v>
      </c>
      <c r="V54" s="364">
        <f>Workings_costs!R31</f>
        <v>0</v>
      </c>
      <c r="W54" s="364">
        <f>Workings_costs!S31</f>
        <v>0</v>
      </c>
      <c r="X54" s="364">
        <f>Workings_costs!T31</f>
        <v>0</v>
      </c>
      <c r="Y54" s="364">
        <f>Workings_costs!U31</f>
        <v>0</v>
      </c>
      <c r="Z54" s="364">
        <f>Workings_costs!V31</f>
        <v>0</v>
      </c>
      <c r="AA54" s="364">
        <f>Workings_costs!W31</f>
        <v>0</v>
      </c>
      <c r="AB54" s="364">
        <f>Workings_costs!X31</f>
        <v>0</v>
      </c>
      <c r="AC54" s="364">
        <f>Workings_costs!Y31</f>
        <v>0</v>
      </c>
      <c r="AD54" s="364">
        <f>Workings_costs!Z31</f>
        <v>0</v>
      </c>
      <c r="AE54" s="364">
        <f>Workings_costs!AA31</f>
        <v>0</v>
      </c>
      <c r="AF54" s="364">
        <f>Workings_costs!AB31</f>
        <v>0</v>
      </c>
      <c r="AG54" s="364">
        <f>Workings_costs!AC31</f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43" x14ac:dyDescent="0.2">
      <c r="G59" s="204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43" ht="15" x14ac:dyDescent="0.2">
      <c r="A60" s="88" t="s">
        <v>16</v>
      </c>
      <c r="B60" s="88"/>
      <c r="C60" s="88"/>
      <c r="D60" s="88"/>
      <c r="E60" s="88"/>
      <c r="F60" s="88"/>
      <c r="G60" s="203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105605.57749582588</v>
      </c>
      <c r="K64" s="131">
        <f>(1-INDEX(Data!$C$9:$C$13, MATCH($A$3, options,0)))*('Option1 (base case)'!K36-K36)</f>
        <v>108251.59254225765</v>
      </c>
      <c r="L64" s="131">
        <f>(1-INDEX(Data!$C$9:$C$13, MATCH($A$3, options,0)))*('Option1 (base case)'!L36-L36)</f>
        <v>110585.4985316177</v>
      </c>
      <c r="M64" s="131">
        <f>(1-INDEX(Data!$C$9:$C$13, MATCH($A$3, options,0)))*('Option1 (base case)'!M36-M36)</f>
        <v>113062.4415194015</v>
      </c>
      <c r="N64" s="131">
        <f>(1-INDEX(Data!$C$9:$C$13, MATCH($A$3, options,0)))*('Option1 (base case)'!N36-N36)</f>
        <v>116151.69048085733</v>
      </c>
      <c r="O64" s="131">
        <f>(1-INDEX(Data!$C$9:$C$13, MATCH($A$3, options,0)))*('Option1 (base case)'!O36-O36)</f>
        <v>120495.51028827186</v>
      </c>
      <c r="P64" s="131">
        <f>(1-INDEX(Data!$C$9:$C$13, MATCH($A$3, options,0)))*('Option1 (base case)'!P36-P36)</f>
        <v>126148.97392234128</v>
      </c>
      <c r="Q64" s="131">
        <f>(1-INDEX(Data!$C$9:$C$13, MATCH($A$3, options,0)))*('Option1 (base case)'!Q36-Q36)</f>
        <v>132246.37168831009</v>
      </c>
      <c r="R64" s="131">
        <f>(1-INDEX(Data!$C$9:$C$13, MATCH($A$3, options,0)))*('Option1 (base case)'!R36-R36)</f>
        <v>140265.5418318859</v>
      </c>
      <c r="S64" s="131">
        <f>(1-INDEX(Data!$C$9:$C$13, MATCH($A$3, options,0)))*('Option1 (base case)'!S36-S36)</f>
        <v>150765.19634465134</v>
      </c>
      <c r="T64" s="131">
        <f>(1-INDEX(Data!$C$9:$C$13, MATCH($A$3, options,0)))*('Option1 (base case)'!T36-T36)</f>
        <v>164507.48378053575</v>
      </c>
      <c r="U64" s="131">
        <f>(1-INDEX(Data!$C$9:$C$13, MATCH($A$3, options,0)))*('Option1 (base case)'!U36-U36)</f>
        <v>182539.57389724933</v>
      </c>
      <c r="V64" s="131">
        <f>(1-INDEX(Data!$C$9:$C$13, MATCH($A$3, options,0)))*('Option1 (base case)'!V36-V36)</f>
        <v>206354.0037459523</v>
      </c>
      <c r="W64" s="131">
        <f>(1-INDEX(Data!$C$9:$C$13, MATCH($A$3, options,0)))*('Option1 (base case)'!W36-W36)</f>
        <v>237940.72845228642</v>
      </c>
      <c r="X64" s="131">
        <f>(1-INDEX(Data!$C$9:$C$13, MATCH($A$3, options,0)))*('Option1 (base case)'!X36-X36)</f>
        <v>280021.67906919273</v>
      </c>
      <c r="Y64" s="131">
        <f>(1-INDEX(Data!$C$9:$C$13, MATCH($A$3, options,0)))*('Option1 (base case)'!Y36-Y36)</f>
        <v>324032.3401928168</v>
      </c>
      <c r="Z64" s="131">
        <f>(1-INDEX(Data!$C$9:$C$13, MATCH($A$3, options,0)))*('Option1 (base case)'!Z36-Z36)</f>
        <v>359120.41855567438</v>
      </c>
      <c r="AA64" s="131">
        <f>(1-INDEX(Data!$C$9:$C$13, MATCH($A$3, options,0)))*('Option1 (base case)'!AA36-AA36)</f>
        <v>338052.72144021571</v>
      </c>
      <c r="AB64" s="131">
        <f>(1-INDEX(Data!$C$9:$C$13, MATCH($A$3, options,0)))*('Option1 (base case)'!AB36-AB36)</f>
        <v>292916.46807713853</v>
      </c>
      <c r="AC64" s="131">
        <f>(1-INDEX(Data!$C$9:$C$13, MATCH($A$3, options,0)))*('Option1 (base case)'!AC36-AC36)</f>
        <v>294395.38521562528</v>
      </c>
      <c r="AD64" s="131">
        <f>(1-INDEX(Data!$C$9:$C$13, MATCH($A$3, options,0)))*('Option1 (base case)'!AD36-AD36)</f>
        <v>270793.42261956161</v>
      </c>
      <c r="AE64" s="131">
        <f>(1-INDEX(Data!$C$9:$C$13, MATCH($A$3, options,0)))*('Option1 (base case)'!AE36-AE36)</f>
        <v>241965.12851326558</v>
      </c>
      <c r="AF64" s="131">
        <f>(1-INDEX(Data!$C$9:$C$13, MATCH($A$3, options,0)))*('Option1 (base case)'!AF36-AF36)</f>
        <v>241078.48049979453</v>
      </c>
      <c r="AG64" s="131">
        <f>(1-INDEX(Data!$C$9:$C$13, MATCH($A$3, options,0)))*('Option1 (base case)'!AG36-AG36)</f>
        <v>239799.30385594856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7"/>
      <c r="F66" s="96"/>
      <c r="G66" s="212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x14ac:dyDescent="0.2">
      <c r="A67" s="8"/>
      <c r="B67" s="8"/>
      <c r="C67" s="4" t="str">
        <f>C14</f>
        <v>Retire switchboard and install RMU</v>
      </c>
      <c r="D67" s="37"/>
      <c r="F67" s="96"/>
      <c r="G67" s="209">
        <f>input_dollars</f>
        <v>45291</v>
      </c>
      <c r="H67" s="30"/>
      <c r="I67" s="118">
        <f t="shared" ref="I67:AG67" si="4">-I14</f>
        <v>-2700000</v>
      </c>
      <c r="J67" s="118">
        <f t="shared" si="4"/>
        <v>0</v>
      </c>
      <c r="K67" s="118">
        <f t="shared" si="4"/>
        <v>0</v>
      </c>
      <c r="L67" s="118">
        <f t="shared" si="4"/>
        <v>0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</row>
    <row r="68" spans="1:33" x14ac:dyDescent="0.2">
      <c r="A68" s="8"/>
      <c r="B68" s="8"/>
      <c r="C68" s="4">
        <f>C15</f>
        <v>0</v>
      </c>
      <c r="D68" s="37"/>
      <c r="F68" s="96"/>
      <c r="G68" s="209">
        <f>input_dollars</f>
        <v>45291</v>
      </c>
      <c r="H68" s="30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</row>
    <row r="69" spans="1:33" x14ac:dyDescent="0.2">
      <c r="A69" s="8"/>
      <c r="B69" s="8"/>
      <c r="C69" s="4">
        <f>C16</f>
        <v>0</v>
      </c>
      <c r="D69" s="37"/>
      <c r="F69" s="96"/>
      <c r="G69" s="209">
        <f>input_dollars</f>
        <v>45291</v>
      </c>
      <c r="H69" s="30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</row>
    <row r="70" spans="1:33" x14ac:dyDescent="0.2">
      <c r="A70" s="8"/>
      <c r="B70" s="8"/>
      <c r="C70" s="4"/>
      <c r="D70" s="37"/>
      <c r="F70" s="96"/>
      <c r="G70" s="213"/>
      <c r="H70" s="30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7"/>
      <c r="F71" s="96"/>
      <c r="G71" s="212"/>
      <c r="H71" s="30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Retire switchboard and install RMU</v>
      </c>
      <c r="D72" s="37"/>
      <c r="F72" s="96"/>
      <c r="G72" s="209">
        <f>input_dollars</f>
        <v>45291</v>
      </c>
      <c r="H72" s="30"/>
      <c r="I72" s="118" cm="1">
        <f t="array" ref="I72">SUMPRODUCT(($I67:I67))-SUMPRODUCT(($I67:I67)*($I$6:I$6&lt;=(I$6-$E14)))</f>
        <v>-2700000</v>
      </c>
      <c r="J72" s="118" cm="1">
        <f t="array" ref="J72">SUMPRODUCT(($I67:J67))-SUMPRODUCT(($I67:J67)*($I$6:J$6&lt;=(J$6-$E14)))</f>
        <v>-2700000</v>
      </c>
      <c r="K72" s="118" cm="1">
        <f t="array" ref="K72">SUMPRODUCT(($I67:K67))-SUMPRODUCT(($I67:K67)*($I$6:K$6&lt;=(K$6-$E14)))</f>
        <v>-2700000</v>
      </c>
      <c r="L72" s="118" cm="1">
        <f t="array" ref="L72">SUMPRODUCT(($I67:L67))-SUMPRODUCT(($I67:L67)*($I$6:L$6&lt;=(L$6-$E14)))</f>
        <v>-2700000</v>
      </c>
      <c r="M72" s="118" cm="1">
        <f t="array" ref="M72">SUMPRODUCT(($I67:M67))-SUMPRODUCT(($I67:M67)*($I$6:M$6&lt;=(M$6-$E14)))</f>
        <v>-2700000</v>
      </c>
      <c r="N72" s="118" cm="1">
        <f t="array" ref="N72">SUMPRODUCT(($I67:N67))-SUMPRODUCT(($I67:N67)*($I$6:N$6&lt;=(N$6-$E14)))</f>
        <v>-2700000</v>
      </c>
      <c r="O72" s="118" cm="1">
        <f t="array" ref="O72">SUMPRODUCT(($I67:O67))-SUMPRODUCT(($I67:O67)*($I$6:O$6&lt;=(O$6-$E14)))</f>
        <v>-2700000</v>
      </c>
      <c r="P72" s="118" cm="1">
        <f t="array" ref="P72">SUMPRODUCT(($I67:P67))-SUMPRODUCT(($I67:P67)*($I$6:P$6&lt;=(P$6-$E14)))</f>
        <v>-2700000</v>
      </c>
      <c r="Q72" s="118" cm="1">
        <f t="array" ref="Q72">SUMPRODUCT(($I67:Q67))-SUMPRODUCT(($I67:Q67)*($I$6:Q$6&lt;=(Q$6-$E14)))</f>
        <v>-2700000</v>
      </c>
      <c r="R72" s="118" cm="1">
        <f t="array" ref="R72">SUMPRODUCT(($I67:R67))-SUMPRODUCT(($I67:R67)*($I$6:R$6&lt;=(R$6-$E14)))</f>
        <v>-2700000</v>
      </c>
      <c r="S72" s="118" cm="1">
        <f t="array" ref="S72">SUMPRODUCT(($I67:S67))-SUMPRODUCT(($I67:S67)*($I$6:S$6&lt;=(S$6-$E14)))</f>
        <v>-2700000</v>
      </c>
      <c r="T72" s="118" cm="1">
        <f t="array" ref="T72">SUMPRODUCT(($I67:T67))-SUMPRODUCT(($I67:T67)*($I$6:T$6&lt;=(T$6-$E14)))</f>
        <v>-2700000</v>
      </c>
      <c r="U72" s="118" cm="1">
        <f t="array" ref="U72">SUMPRODUCT(($I67:U67))-SUMPRODUCT(($I67:U67)*($I$6:U$6&lt;=(U$6-$E14)))</f>
        <v>-2700000</v>
      </c>
      <c r="V72" s="118" cm="1">
        <f t="array" ref="V72">SUMPRODUCT(($I67:V67))-SUMPRODUCT(($I67:V67)*($I$6:V$6&lt;=(V$6-$E14)))</f>
        <v>-2700000</v>
      </c>
      <c r="W72" s="118" cm="1">
        <f t="array" ref="W72">SUMPRODUCT(($I67:W67))-SUMPRODUCT(($I67:W67)*($I$6:W$6&lt;=(W$6-$E14)))</f>
        <v>-2700000</v>
      </c>
      <c r="X72" s="118" cm="1">
        <f t="array" ref="X72">SUMPRODUCT(($I67:X67))-SUMPRODUCT(($I67:X67)*($I$6:X$6&lt;=(X$6-$E14)))</f>
        <v>-2700000</v>
      </c>
      <c r="Y72" s="118" cm="1">
        <f t="array" ref="Y72">SUMPRODUCT(($I67:Y67))-SUMPRODUCT(($I67:Y67)*($I$6:Y$6&lt;=(Y$6-$E14)))</f>
        <v>-2700000</v>
      </c>
      <c r="Z72" s="118" cm="1">
        <f t="array" ref="Z72">SUMPRODUCT(($I67:Z67))-SUMPRODUCT(($I67:Z67)*($I$6:Z$6&lt;=(Z$6-$E14)))</f>
        <v>-2700000</v>
      </c>
      <c r="AA72" s="118" cm="1">
        <f t="array" ref="AA72">SUMPRODUCT(($I67:AA67))-SUMPRODUCT(($I67:AA67)*($I$6:AA$6&lt;=(AA$6-$E14)))</f>
        <v>-2700000</v>
      </c>
      <c r="AB72" s="118" cm="1">
        <f t="array" ref="AB72">SUMPRODUCT(($I67:AB67))-SUMPRODUCT(($I67:AB67)*($I$6:AB$6&lt;=(AB$6-$E14)))</f>
        <v>-2700000</v>
      </c>
      <c r="AC72" s="118" cm="1">
        <f t="array" ref="AC72">SUMPRODUCT(($I67:AC67))-SUMPRODUCT(($I67:AC67)*($I$6:AC$6&lt;=(AC$6-$E14)))</f>
        <v>-2700000</v>
      </c>
      <c r="AD72" s="118" cm="1">
        <f t="array" ref="AD72">SUMPRODUCT(($I67:AD67))-SUMPRODUCT(($I67:AD67)*($I$6:AD$6&lt;=(AD$6-$E14)))</f>
        <v>-2700000</v>
      </c>
      <c r="AE72" s="118" cm="1">
        <f t="array" ref="AE72">SUMPRODUCT(($I67:AE67))-SUMPRODUCT(($I67:AE67)*($I$6:AE$6&lt;=(AE$6-$E14)))</f>
        <v>-2700000</v>
      </c>
      <c r="AF72" s="118" cm="1">
        <f t="array" ref="AF72">SUMPRODUCT(($I67:AF67))-SUMPRODUCT(($I67:AF67)*($I$6:AF$6&lt;=(AF$6-$E14)))</f>
        <v>-2700000</v>
      </c>
      <c r="AG72" s="118" cm="1">
        <f t="array" ref="AG72">SUMPRODUCT(($I67:AG67))-SUMPRODUCT(($I67:AG67)*($I$6:AG$6&lt;=(AG$6-$E14)))</f>
        <v>-2700000</v>
      </c>
    </row>
    <row r="73" spans="1:33" x14ac:dyDescent="0.2">
      <c r="A73" s="8"/>
      <c r="B73" s="8"/>
      <c r="C73" s="4">
        <f>C15</f>
        <v>0</v>
      </c>
      <c r="D73" s="37"/>
      <c r="F73" s="96"/>
      <c r="G73" s="209">
        <f>input_dollars</f>
        <v>45291</v>
      </c>
      <c r="H73" s="30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7"/>
      <c r="F74" s="96"/>
      <c r="G74" s="209">
        <f>input_dollars</f>
        <v>45291</v>
      </c>
      <c r="H74" s="30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7"/>
      <c r="F75" s="96"/>
      <c r="G75" s="213"/>
      <c r="H75" s="30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7"/>
      <c r="F76" s="96"/>
      <c r="G76" s="212"/>
      <c r="H76" s="30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Retire switchboard and install RMU</v>
      </c>
      <c r="D77" s="37"/>
      <c r="F77" s="96"/>
      <c r="G77" s="209">
        <f>input_dollars</f>
        <v>45291</v>
      </c>
      <c r="H77" s="30"/>
      <c r="I77" s="118">
        <f t="shared" ref="I77:AG77" si="7">IF($E14=0,0,-PMT(real_disc, $E14,H72,))</f>
        <v>0</v>
      </c>
      <c r="J77" s="118">
        <f t="shared" si="7"/>
        <v>-115111.01582967954</v>
      </c>
      <c r="K77" s="118">
        <f t="shared" si="7"/>
        <v>-115111.01582967954</v>
      </c>
      <c r="L77" s="118">
        <f t="shared" si="7"/>
        <v>-115111.01582967954</v>
      </c>
      <c r="M77" s="118">
        <f t="shared" si="7"/>
        <v>-115111.01582967954</v>
      </c>
      <c r="N77" s="118">
        <f t="shared" si="7"/>
        <v>-115111.01582967954</v>
      </c>
      <c r="O77" s="118">
        <f t="shared" si="7"/>
        <v>-115111.01582967954</v>
      </c>
      <c r="P77" s="118">
        <f t="shared" si="7"/>
        <v>-115111.01582967954</v>
      </c>
      <c r="Q77" s="118">
        <f t="shared" si="7"/>
        <v>-115111.01582967954</v>
      </c>
      <c r="R77" s="118">
        <f t="shared" si="7"/>
        <v>-115111.01582967954</v>
      </c>
      <c r="S77" s="118">
        <f t="shared" si="7"/>
        <v>-115111.01582967954</v>
      </c>
      <c r="T77" s="118">
        <f t="shared" si="7"/>
        <v>-115111.01582967954</v>
      </c>
      <c r="U77" s="118">
        <f t="shared" si="7"/>
        <v>-115111.01582967954</v>
      </c>
      <c r="V77" s="118">
        <f t="shared" si="7"/>
        <v>-115111.01582967954</v>
      </c>
      <c r="W77" s="118">
        <f t="shared" si="7"/>
        <v>-115111.01582967954</v>
      </c>
      <c r="X77" s="118">
        <f t="shared" si="7"/>
        <v>-115111.01582967954</v>
      </c>
      <c r="Y77" s="118">
        <f t="shared" si="7"/>
        <v>-115111.01582967954</v>
      </c>
      <c r="Z77" s="118">
        <f t="shared" si="7"/>
        <v>-115111.01582967954</v>
      </c>
      <c r="AA77" s="118">
        <f t="shared" si="7"/>
        <v>-115111.01582967954</v>
      </c>
      <c r="AB77" s="118">
        <f t="shared" si="7"/>
        <v>-115111.01582967954</v>
      </c>
      <c r="AC77" s="118">
        <f t="shared" si="7"/>
        <v>-115111.01582967954</v>
      </c>
      <c r="AD77" s="118">
        <f t="shared" si="7"/>
        <v>-115111.01582967954</v>
      </c>
      <c r="AE77" s="118">
        <f t="shared" si="7"/>
        <v>-115111.01582967954</v>
      </c>
      <c r="AF77" s="118">
        <f t="shared" si="7"/>
        <v>-115111.01582967954</v>
      </c>
      <c r="AG77" s="118">
        <f t="shared" si="7"/>
        <v>-115111.01582967954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7"/>
      <c r="F78" s="96"/>
      <c r="G78" s="209">
        <f>input_dollars</f>
        <v>45291</v>
      </c>
      <c r="H78" s="30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7"/>
      <c r="F79" s="96"/>
      <c r="G79" s="209">
        <f>input_dollars</f>
        <v>45291</v>
      </c>
      <c r="H79" s="30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-115111.01582967954</v>
      </c>
      <c r="K80" s="175">
        <f t="shared" si="10"/>
        <v>-115111.01582967954</v>
      </c>
      <c r="L80" s="175">
        <f t="shared" si="10"/>
        <v>-115111.01582967954</v>
      </c>
      <c r="M80" s="175">
        <f t="shared" si="10"/>
        <v>-115111.01582967954</v>
      </c>
      <c r="N80" s="175">
        <f t="shared" si="10"/>
        <v>-115111.01582967954</v>
      </c>
      <c r="O80" s="175">
        <f t="shared" si="10"/>
        <v>-115111.01582967954</v>
      </c>
      <c r="P80" s="175">
        <f t="shared" si="10"/>
        <v>-115111.01582967954</v>
      </c>
      <c r="Q80" s="175">
        <f t="shared" si="10"/>
        <v>-115111.01582967954</v>
      </c>
      <c r="R80" s="175">
        <f t="shared" si="10"/>
        <v>-115111.01582967954</v>
      </c>
      <c r="S80" s="175">
        <f t="shared" si="10"/>
        <v>-115111.01582967954</v>
      </c>
      <c r="T80" s="175">
        <f t="shared" si="10"/>
        <v>-115111.01582967954</v>
      </c>
      <c r="U80" s="175">
        <f t="shared" si="10"/>
        <v>-115111.01582967954</v>
      </c>
      <c r="V80" s="175">
        <f t="shared" si="10"/>
        <v>-115111.01582967954</v>
      </c>
      <c r="W80" s="175">
        <f t="shared" si="10"/>
        <v>-115111.01582967954</v>
      </c>
      <c r="X80" s="175">
        <f t="shared" si="10"/>
        <v>-115111.01582967954</v>
      </c>
      <c r="Y80" s="175">
        <f t="shared" si="10"/>
        <v>-115111.01582967954</v>
      </c>
      <c r="Z80" s="175">
        <f t="shared" si="10"/>
        <v>-115111.01582967954</v>
      </c>
      <c r="AA80" s="175">
        <f t="shared" si="10"/>
        <v>-115111.01582967954</v>
      </c>
      <c r="AB80" s="175">
        <f t="shared" si="10"/>
        <v>-115111.01582967954</v>
      </c>
      <c r="AC80" s="175">
        <f>SUM(AC77:AC79)</f>
        <v>-115111.01582967954</v>
      </c>
      <c r="AD80" s="175">
        <f>SUM(AD77:AD79)</f>
        <v>-115111.01582967954</v>
      </c>
      <c r="AE80" s="175">
        <f>SUM(AE77:AE79)</f>
        <v>-115111.01582967954</v>
      </c>
      <c r="AF80" s="175">
        <f>SUM(AF77:AF79)</f>
        <v>-115111.01582967954</v>
      </c>
      <c r="AG80" s="175">
        <f>SUM(AG77:AG79)</f>
        <v>-115111.01582967954</v>
      </c>
    </row>
    <row r="81" spans="1:33" x14ac:dyDescent="0.2">
      <c r="A81" s="8"/>
      <c r="B81" s="8"/>
      <c r="C81" s="74"/>
      <c r="D81" s="37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7"/>
      <c r="F82" s="96"/>
      <c r="G82" s="209">
        <f t="shared" ref="G82:G87" si="11">input_dollars</f>
        <v>45291</v>
      </c>
      <c r="H82" s="30"/>
      <c r="I82" s="118">
        <f>I80</f>
        <v>0</v>
      </c>
      <c r="J82" s="118">
        <f t="shared" ref="J82:AB82" si="12">J80</f>
        <v>-115111.01582967954</v>
      </c>
      <c r="K82" s="118">
        <f t="shared" si="12"/>
        <v>-115111.01582967954</v>
      </c>
      <c r="L82" s="118">
        <f t="shared" si="12"/>
        <v>-115111.01582967954</v>
      </c>
      <c r="M82" s="118">
        <f t="shared" si="12"/>
        <v>-115111.01582967954</v>
      </c>
      <c r="N82" s="118">
        <f t="shared" si="12"/>
        <v>-115111.01582967954</v>
      </c>
      <c r="O82" s="118">
        <f t="shared" si="12"/>
        <v>-115111.01582967954</v>
      </c>
      <c r="P82" s="118">
        <f t="shared" si="12"/>
        <v>-115111.01582967954</v>
      </c>
      <c r="Q82" s="118">
        <f t="shared" si="12"/>
        <v>-115111.01582967954</v>
      </c>
      <c r="R82" s="118">
        <f t="shared" si="12"/>
        <v>-115111.01582967954</v>
      </c>
      <c r="S82" s="118">
        <f t="shared" si="12"/>
        <v>-115111.01582967954</v>
      </c>
      <c r="T82" s="118">
        <f t="shared" si="12"/>
        <v>-115111.01582967954</v>
      </c>
      <c r="U82" s="118">
        <f t="shared" si="12"/>
        <v>-115111.01582967954</v>
      </c>
      <c r="V82" s="118">
        <f t="shared" si="12"/>
        <v>-115111.01582967954</v>
      </c>
      <c r="W82" s="118">
        <f t="shared" si="12"/>
        <v>-115111.01582967954</v>
      </c>
      <c r="X82" s="118">
        <f t="shared" si="12"/>
        <v>-115111.01582967954</v>
      </c>
      <c r="Y82" s="118">
        <f t="shared" si="12"/>
        <v>-115111.01582967954</v>
      </c>
      <c r="Z82" s="118">
        <f t="shared" si="12"/>
        <v>-115111.01582967954</v>
      </c>
      <c r="AA82" s="118">
        <f t="shared" si="12"/>
        <v>-115111.01582967954</v>
      </c>
      <c r="AB82" s="118">
        <f t="shared" si="12"/>
        <v>-115111.01582967954</v>
      </c>
      <c r="AC82" s="118">
        <f>AC80</f>
        <v>-115111.01582967954</v>
      </c>
      <c r="AD82" s="118">
        <f>AD80</f>
        <v>-115111.01582967954</v>
      </c>
      <c r="AE82" s="118">
        <f>AE80</f>
        <v>-115111.01582967954</v>
      </c>
      <c r="AF82" s="118">
        <f>AF80</f>
        <v>-115111.01582967954</v>
      </c>
      <c r="AG82" s="118">
        <f>AG80</f>
        <v>-115111.01582967954</v>
      </c>
    </row>
    <row r="83" spans="1:33" x14ac:dyDescent="0.2">
      <c r="A83" s="8"/>
      <c r="B83" s="8"/>
      <c r="C83" s="4" t="s">
        <v>31</v>
      </c>
      <c r="D83" s="37"/>
      <c r="F83" s="96"/>
      <c r="G83" s="209">
        <f t="shared" si="11"/>
        <v>45291</v>
      </c>
      <c r="H83" s="30"/>
      <c r="I83" s="30">
        <f t="shared" ref="I83:AG83" si="13">-I19</f>
        <v>0</v>
      </c>
      <c r="J83" s="30">
        <f t="shared" si="13"/>
        <v>0</v>
      </c>
      <c r="K83" s="30">
        <f t="shared" si="13"/>
        <v>0</v>
      </c>
      <c r="L83" s="30">
        <f t="shared" si="13"/>
        <v>0</v>
      </c>
      <c r="M83" s="30">
        <f t="shared" si="13"/>
        <v>0</v>
      </c>
      <c r="N83" s="30">
        <f t="shared" si="13"/>
        <v>0</v>
      </c>
      <c r="O83" s="30">
        <f t="shared" si="13"/>
        <v>0</v>
      </c>
      <c r="P83" s="30">
        <f t="shared" si="13"/>
        <v>0</v>
      </c>
      <c r="Q83" s="30">
        <f t="shared" si="13"/>
        <v>0</v>
      </c>
      <c r="R83" s="30">
        <f t="shared" si="13"/>
        <v>0</v>
      </c>
      <c r="S83" s="30">
        <f t="shared" si="13"/>
        <v>0</v>
      </c>
      <c r="T83" s="30">
        <f t="shared" si="13"/>
        <v>0</v>
      </c>
      <c r="U83" s="30">
        <f t="shared" si="13"/>
        <v>0</v>
      </c>
      <c r="V83" s="30">
        <f t="shared" si="13"/>
        <v>0</v>
      </c>
      <c r="W83" s="30">
        <f t="shared" si="13"/>
        <v>0</v>
      </c>
      <c r="X83" s="30">
        <f t="shared" si="13"/>
        <v>0</v>
      </c>
      <c r="Y83" s="30">
        <f t="shared" si="13"/>
        <v>0</v>
      </c>
      <c r="Z83" s="30">
        <f t="shared" si="13"/>
        <v>0</v>
      </c>
      <c r="AA83" s="30">
        <f t="shared" si="13"/>
        <v>0</v>
      </c>
      <c r="AB83" s="30">
        <f t="shared" si="13"/>
        <v>0</v>
      </c>
      <c r="AC83" s="30">
        <f t="shared" si="13"/>
        <v>0</v>
      </c>
      <c r="AD83" s="30">
        <f t="shared" si="13"/>
        <v>0</v>
      </c>
      <c r="AE83" s="30">
        <f t="shared" si="13"/>
        <v>0</v>
      </c>
      <c r="AF83" s="30">
        <f t="shared" si="13"/>
        <v>0</v>
      </c>
      <c r="AG83" s="30">
        <f t="shared" si="13"/>
        <v>0</v>
      </c>
    </row>
    <row r="84" spans="1:33" x14ac:dyDescent="0.2">
      <c r="A84" s="8"/>
      <c r="B84" s="8"/>
      <c r="C84" s="4" t="s">
        <v>140</v>
      </c>
      <c r="D84" s="37"/>
      <c r="F84" s="96"/>
      <c r="G84" s="209">
        <f t="shared" si="11"/>
        <v>45291</v>
      </c>
      <c r="H84" s="30"/>
      <c r="I84" s="30">
        <f>I64</f>
        <v>0</v>
      </c>
      <c r="J84" s="30">
        <f t="shared" ref="J84:AB84" si="14">J64</f>
        <v>105605.57749582588</v>
      </c>
      <c r="K84" s="30">
        <f t="shared" si="14"/>
        <v>108251.59254225765</v>
      </c>
      <c r="L84" s="30">
        <f t="shared" si="14"/>
        <v>110585.4985316177</v>
      </c>
      <c r="M84" s="30">
        <f t="shared" si="14"/>
        <v>113062.4415194015</v>
      </c>
      <c r="N84" s="30">
        <f t="shared" si="14"/>
        <v>116151.69048085733</v>
      </c>
      <c r="O84" s="30">
        <f t="shared" si="14"/>
        <v>120495.51028827186</v>
      </c>
      <c r="P84" s="30">
        <f t="shared" si="14"/>
        <v>126148.97392234128</v>
      </c>
      <c r="Q84" s="30">
        <f t="shared" si="14"/>
        <v>132246.37168831009</v>
      </c>
      <c r="R84" s="30">
        <f t="shared" si="14"/>
        <v>140265.5418318859</v>
      </c>
      <c r="S84" s="30">
        <f t="shared" si="14"/>
        <v>150765.19634465134</v>
      </c>
      <c r="T84" s="30">
        <f t="shared" si="14"/>
        <v>164507.48378053575</v>
      </c>
      <c r="U84" s="30">
        <f t="shared" si="14"/>
        <v>182539.57389724933</v>
      </c>
      <c r="V84" s="30">
        <f t="shared" si="14"/>
        <v>206354.0037459523</v>
      </c>
      <c r="W84" s="30">
        <f t="shared" si="14"/>
        <v>237940.72845228642</v>
      </c>
      <c r="X84" s="30">
        <f t="shared" si="14"/>
        <v>280021.67906919273</v>
      </c>
      <c r="Y84" s="30">
        <f t="shared" si="14"/>
        <v>324032.3401928168</v>
      </c>
      <c r="Z84" s="30">
        <f t="shared" si="14"/>
        <v>359120.41855567438</v>
      </c>
      <c r="AA84" s="30">
        <f t="shared" si="14"/>
        <v>338052.72144021571</v>
      </c>
      <c r="AB84" s="30">
        <f t="shared" si="14"/>
        <v>292916.46807713853</v>
      </c>
      <c r="AC84" s="30">
        <f>AC64</f>
        <v>294395.38521562528</v>
      </c>
      <c r="AD84" s="30">
        <f>AD64</f>
        <v>270793.42261956161</v>
      </c>
      <c r="AE84" s="30">
        <f>AE64</f>
        <v>241965.12851326558</v>
      </c>
      <c r="AF84" s="30">
        <f>AF64</f>
        <v>241078.48049979453</v>
      </c>
      <c r="AG84" s="30">
        <f>AG64</f>
        <v>239799.30385594856</v>
      </c>
    </row>
    <row r="85" spans="1:33" x14ac:dyDescent="0.2">
      <c r="A85" s="8"/>
      <c r="B85" s="8"/>
      <c r="C85" s="4" t="s">
        <v>122</v>
      </c>
      <c r="D85" s="37"/>
      <c r="F85" s="96"/>
      <c r="G85" s="209">
        <f t="shared" si="11"/>
        <v>45291</v>
      </c>
      <c r="H85" s="30"/>
      <c r="I85" s="30">
        <f t="shared" ref="I85:AG85" si="15">I57</f>
        <v>0</v>
      </c>
      <c r="J85" s="30">
        <f t="shared" si="15"/>
        <v>0</v>
      </c>
      <c r="K85" s="30">
        <f t="shared" si="15"/>
        <v>0</v>
      </c>
      <c r="L85" s="30">
        <f t="shared" si="15"/>
        <v>0</v>
      </c>
      <c r="M85" s="30">
        <f t="shared" si="15"/>
        <v>0</v>
      </c>
      <c r="N85" s="30">
        <f t="shared" si="15"/>
        <v>0</v>
      </c>
      <c r="O85" s="30">
        <f t="shared" si="15"/>
        <v>0</v>
      </c>
      <c r="P85" s="30">
        <f t="shared" si="15"/>
        <v>0</v>
      </c>
      <c r="Q85" s="30">
        <f t="shared" si="15"/>
        <v>0</v>
      </c>
      <c r="R85" s="30">
        <f t="shared" si="15"/>
        <v>0</v>
      </c>
      <c r="S85" s="30">
        <f t="shared" si="15"/>
        <v>0</v>
      </c>
      <c r="T85" s="30">
        <f t="shared" si="15"/>
        <v>0</v>
      </c>
      <c r="U85" s="30">
        <f t="shared" si="15"/>
        <v>0</v>
      </c>
      <c r="V85" s="30">
        <f t="shared" si="15"/>
        <v>0</v>
      </c>
      <c r="W85" s="30">
        <f t="shared" si="15"/>
        <v>0</v>
      </c>
      <c r="X85" s="30">
        <f t="shared" si="15"/>
        <v>0</v>
      </c>
      <c r="Y85" s="30">
        <f t="shared" si="15"/>
        <v>0</v>
      </c>
      <c r="Z85" s="30">
        <f t="shared" si="15"/>
        <v>0</v>
      </c>
      <c r="AA85" s="30">
        <f t="shared" si="15"/>
        <v>0</v>
      </c>
      <c r="AB85" s="30">
        <f t="shared" si="15"/>
        <v>0</v>
      </c>
      <c r="AC85" s="30">
        <f t="shared" si="15"/>
        <v>0</v>
      </c>
      <c r="AD85" s="30">
        <f t="shared" si="15"/>
        <v>0</v>
      </c>
      <c r="AE85" s="30">
        <f t="shared" si="15"/>
        <v>0</v>
      </c>
      <c r="AF85" s="30">
        <f t="shared" si="15"/>
        <v>0</v>
      </c>
      <c r="AG85" s="30">
        <f t="shared" si="15"/>
        <v>0</v>
      </c>
    </row>
    <row r="86" spans="1:33" x14ac:dyDescent="0.2">
      <c r="A86" s="8"/>
      <c r="B86" s="8"/>
      <c r="C86" s="4"/>
      <c r="D86" s="37"/>
      <c r="F86" s="30"/>
      <c r="G86" s="209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-9505.4383338536572</v>
      </c>
      <c r="K87" s="178">
        <f t="shared" si="16"/>
        <v>-6859.4232874218869</v>
      </c>
      <c r="L87" s="178">
        <f t="shared" si="16"/>
        <v>-4525.5172980618372</v>
      </c>
      <c r="M87" s="178">
        <f t="shared" si="16"/>
        <v>-2048.5743102780398</v>
      </c>
      <c r="N87" s="178">
        <f t="shared" si="16"/>
        <v>1040.6746511777892</v>
      </c>
      <c r="O87" s="178">
        <f t="shared" si="16"/>
        <v>5384.4944585923222</v>
      </c>
      <c r="P87" s="178">
        <f t="shared" si="16"/>
        <v>11037.958092661735</v>
      </c>
      <c r="Q87" s="178">
        <f t="shared" si="16"/>
        <v>17135.355858630544</v>
      </c>
      <c r="R87" s="178">
        <f t="shared" si="16"/>
        <v>25154.526002206359</v>
      </c>
      <c r="S87" s="178">
        <f t="shared" si="16"/>
        <v>35654.180514971798</v>
      </c>
      <c r="T87" s="178">
        <f t="shared" si="16"/>
        <v>49396.467950856211</v>
      </c>
      <c r="U87" s="178">
        <f t="shared" si="16"/>
        <v>67428.558067569786</v>
      </c>
      <c r="V87" s="178">
        <f t="shared" si="16"/>
        <v>91242.987916272759</v>
      </c>
      <c r="W87" s="178">
        <f t="shared" si="16"/>
        <v>122829.71262260688</v>
      </c>
      <c r="X87" s="178">
        <f t="shared" si="16"/>
        <v>164910.66323951317</v>
      </c>
      <c r="Y87" s="178">
        <f t="shared" si="16"/>
        <v>208921.32436313725</v>
      </c>
      <c r="Z87" s="178">
        <f t="shared" si="16"/>
        <v>244009.40272599482</v>
      </c>
      <c r="AA87" s="178">
        <f t="shared" si="16"/>
        <v>222941.70561053616</v>
      </c>
      <c r="AB87" s="178">
        <f t="shared" si="16"/>
        <v>177805.45224745898</v>
      </c>
      <c r="AC87" s="178">
        <f>SUM(AC82:AC86)</f>
        <v>179284.36938594573</v>
      </c>
      <c r="AD87" s="178">
        <f>SUM(AD82:AD86)</f>
        <v>155682.40678988205</v>
      </c>
      <c r="AE87" s="178">
        <f>SUM(AE82:AE86)</f>
        <v>126854.11268358603</v>
      </c>
      <c r="AF87" s="178">
        <f>SUM(AF82:AF86)</f>
        <v>125967.46467011499</v>
      </c>
      <c r="AG87" s="178">
        <f>SUM(AG82:AG86)</f>
        <v>124688.28802626902</v>
      </c>
    </row>
    <row r="88" spans="1:33" x14ac:dyDescent="0.2">
      <c r="A88" s="8"/>
      <c r="B88" s="8"/>
      <c r="C88" s="74"/>
      <c r="D88" s="137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4"/>
      <c r="D89" s="137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1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1"/>
      <c r="D91" s="233"/>
      <c r="E91" s="230"/>
      <c r="F91" s="231"/>
      <c r="G91" s="232"/>
      <c r="H91" s="3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1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8" t="s">
        <v>216</v>
      </c>
      <c r="B102" s="88"/>
      <c r="C102" s="88"/>
      <c r="D102" s="88"/>
      <c r="E102" s="88"/>
      <c r="F102" s="88"/>
      <c r="G102" s="203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7" t="str">
        <f>PROPER($A$3)&amp;A106</f>
        <v>Option 2NPV</v>
      </c>
      <c r="I106" s="30">
        <f>I87</f>
        <v>0</v>
      </c>
      <c r="J106" s="30">
        <f t="shared" ref="J106:AG106" si="17">J87</f>
        <v>-9505.4383338536572</v>
      </c>
      <c r="K106" s="30">
        <f t="shared" si="17"/>
        <v>-6859.4232874218869</v>
      </c>
      <c r="L106" s="30">
        <f t="shared" si="17"/>
        <v>-4525.5172980618372</v>
      </c>
      <c r="M106" s="30">
        <f t="shared" si="17"/>
        <v>-2048.5743102780398</v>
      </c>
      <c r="N106" s="30">
        <f t="shared" si="17"/>
        <v>1040.6746511777892</v>
      </c>
      <c r="O106" s="30">
        <f t="shared" si="17"/>
        <v>5384.4944585923222</v>
      </c>
      <c r="P106" s="30">
        <f t="shared" si="17"/>
        <v>11037.958092661735</v>
      </c>
      <c r="Q106" s="30">
        <f t="shared" si="17"/>
        <v>17135.355858630544</v>
      </c>
      <c r="R106" s="30">
        <f t="shared" si="17"/>
        <v>25154.526002206359</v>
      </c>
      <c r="S106" s="30">
        <f t="shared" si="17"/>
        <v>35654.180514971798</v>
      </c>
      <c r="T106" s="30">
        <f t="shared" si="17"/>
        <v>49396.467950856211</v>
      </c>
      <c r="U106" s="30">
        <f t="shared" si="17"/>
        <v>67428.558067569786</v>
      </c>
      <c r="V106" s="30">
        <f t="shared" si="17"/>
        <v>91242.987916272759</v>
      </c>
      <c r="W106" s="30">
        <f t="shared" si="17"/>
        <v>122829.71262260688</v>
      </c>
      <c r="X106" s="30">
        <f t="shared" si="17"/>
        <v>164910.66323951317</v>
      </c>
      <c r="Y106" s="30">
        <f t="shared" si="17"/>
        <v>208921.32436313725</v>
      </c>
      <c r="Z106" s="30">
        <f t="shared" si="17"/>
        <v>244009.40272599482</v>
      </c>
      <c r="AA106" s="30">
        <f t="shared" si="17"/>
        <v>222941.70561053616</v>
      </c>
      <c r="AB106" s="30">
        <f t="shared" si="17"/>
        <v>177805.45224745898</v>
      </c>
      <c r="AC106" s="30">
        <f t="shared" si="17"/>
        <v>179284.36938594573</v>
      </c>
      <c r="AD106" s="30">
        <f t="shared" si="17"/>
        <v>155682.40678988205</v>
      </c>
      <c r="AE106" s="30">
        <f t="shared" si="17"/>
        <v>126854.11268358603</v>
      </c>
      <c r="AF106" s="30">
        <f t="shared" si="17"/>
        <v>125967.46467011499</v>
      </c>
      <c r="AG106" s="30">
        <f t="shared" si="17"/>
        <v>124688.28802626902</v>
      </c>
    </row>
    <row r="107" spans="1:43" x14ac:dyDescent="0.2">
      <c r="C107" s="1" t="s">
        <v>157</v>
      </c>
      <c r="D107"/>
      <c r="E107"/>
      <c r="F107"/>
      <c r="G107"/>
      <c r="I107" s="30">
        <f>I82</f>
        <v>0</v>
      </c>
      <c r="J107" s="30">
        <f t="shared" ref="J107:AG107" si="18">J82</f>
        <v>-115111.01582967954</v>
      </c>
      <c r="K107" s="30">
        <f t="shared" si="18"/>
        <v>-115111.01582967954</v>
      </c>
      <c r="L107" s="30">
        <f t="shared" si="18"/>
        <v>-115111.01582967954</v>
      </c>
      <c r="M107" s="30">
        <f t="shared" si="18"/>
        <v>-115111.01582967954</v>
      </c>
      <c r="N107" s="30">
        <f t="shared" si="18"/>
        <v>-115111.01582967954</v>
      </c>
      <c r="O107" s="30">
        <f t="shared" si="18"/>
        <v>-115111.01582967954</v>
      </c>
      <c r="P107" s="30">
        <f t="shared" si="18"/>
        <v>-115111.01582967954</v>
      </c>
      <c r="Q107" s="30">
        <f t="shared" si="18"/>
        <v>-115111.01582967954</v>
      </c>
      <c r="R107" s="30">
        <f t="shared" si="18"/>
        <v>-115111.01582967954</v>
      </c>
      <c r="S107" s="30">
        <f t="shared" si="18"/>
        <v>-115111.01582967954</v>
      </c>
      <c r="T107" s="30">
        <f t="shared" si="18"/>
        <v>-115111.01582967954</v>
      </c>
      <c r="U107" s="30">
        <f t="shared" si="18"/>
        <v>-115111.01582967954</v>
      </c>
      <c r="V107" s="30">
        <f t="shared" si="18"/>
        <v>-115111.01582967954</v>
      </c>
      <c r="W107" s="30">
        <f t="shared" si="18"/>
        <v>-115111.01582967954</v>
      </c>
      <c r="X107" s="30">
        <f t="shared" si="18"/>
        <v>-115111.01582967954</v>
      </c>
      <c r="Y107" s="30">
        <f t="shared" si="18"/>
        <v>-115111.01582967954</v>
      </c>
      <c r="Z107" s="30">
        <f t="shared" si="18"/>
        <v>-115111.01582967954</v>
      </c>
      <c r="AA107" s="30">
        <f t="shared" si="18"/>
        <v>-115111.01582967954</v>
      </c>
      <c r="AB107" s="30">
        <f t="shared" si="18"/>
        <v>-115111.01582967954</v>
      </c>
      <c r="AC107" s="30">
        <f t="shared" si="18"/>
        <v>-115111.01582967954</v>
      </c>
      <c r="AD107" s="30">
        <f t="shared" si="18"/>
        <v>-115111.01582967954</v>
      </c>
      <c r="AE107" s="30">
        <f t="shared" si="18"/>
        <v>-115111.01582967954</v>
      </c>
      <c r="AF107" s="30">
        <f t="shared" si="18"/>
        <v>-115111.01582967954</v>
      </c>
      <c r="AG107" s="30">
        <f t="shared" si="18"/>
        <v>-115111.01582967954</v>
      </c>
    </row>
    <row r="108" spans="1:43" x14ac:dyDescent="0.2">
      <c r="C108" s="1" t="s">
        <v>241</v>
      </c>
      <c r="D108" s="251"/>
      <c r="E108" s="37"/>
      <c r="I108" s="30">
        <f>SUM(I84:I85)</f>
        <v>0</v>
      </c>
      <c r="J108" s="30">
        <f t="shared" ref="J108:AG108" si="19">SUM(J84:J85)</f>
        <v>105605.57749582588</v>
      </c>
      <c r="K108" s="30">
        <f t="shared" si="19"/>
        <v>108251.59254225765</v>
      </c>
      <c r="L108" s="30">
        <f t="shared" si="19"/>
        <v>110585.4985316177</v>
      </c>
      <c r="M108" s="30">
        <f t="shared" si="19"/>
        <v>113062.4415194015</v>
      </c>
      <c r="N108" s="30">
        <f t="shared" si="19"/>
        <v>116151.69048085733</v>
      </c>
      <c r="O108" s="30">
        <f t="shared" si="19"/>
        <v>120495.51028827186</v>
      </c>
      <c r="P108" s="30">
        <f t="shared" si="19"/>
        <v>126148.97392234128</v>
      </c>
      <c r="Q108" s="30">
        <f t="shared" si="19"/>
        <v>132246.37168831009</v>
      </c>
      <c r="R108" s="30">
        <f t="shared" si="19"/>
        <v>140265.5418318859</v>
      </c>
      <c r="S108" s="30">
        <f t="shared" si="19"/>
        <v>150765.19634465134</v>
      </c>
      <c r="T108" s="30">
        <f t="shared" si="19"/>
        <v>164507.48378053575</v>
      </c>
      <c r="U108" s="30">
        <f t="shared" si="19"/>
        <v>182539.57389724933</v>
      </c>
      <c r="V108" s="30">
        <f t="shared" si="19"/>
        <v>206354.0037459523</v>
      </c>
      <c r="W108" s="30">
        <f t="shared" si="19"/>
        <v>237940.72845228642</v>
      </c>
      <c r="X108" s="30">
        <f t="shared" si="19"/>
        <v>280021.67906919273</v>
      </c>
      <c r="Y108" s="30">
        <f t="shared" si="19"/>
        <v>324032.3401928168</v>
      </c>
      <c r="Z108" s="30">
        <f t="shared" si="19"/>
        <v>359120.41855567438</v>
      </c>
      <c r="AA108" s="30">
        <f t="shared" si="19"/>
        <v>338052.72144021571</v>
      </c>
      <c r="AB108" s="30">
        <f t="shared" si="19"/>
        <v>292916.46807713853</v>
      </c>
      <c r="AC108" s="30">
        <f t="shared" si="19"/>
        <v>294395.38521562528</v>
      </c>
      <c r="AD108" s="30">
        <f t="shared" si="19"/>
        <v>270793.42261956161</v>
      </c>
      <c r="AE108" s="30">
        <f t="shared" si="19"/>
        <v>241965.12851326558</v>
      </c>
      <c r="AF108" s="30">
        <f t="shared" si="19"/>
        <v>241078.48049979453</v>
      </c>
      <c r="AG108" s="30">
        <f t="shared" si="19"/>
        <v>239799.30385594856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7" t="str">
        <f>PROPER($A$3)&amp;A110</f>
        <v>Option 2sens1</v>
      </c>
      <c r="I110" s="30" cm="1">
        <f t="array" ref="I110">I$106+IF($C110&lt;&gt;0,SUMPRODUCT((I$107:I$108)*TRANSPOSE(($D110:$E110))),0)</f>
        <v>0</v>
      </c>
      <c r="J110" s="30" cm="1">
        <f t="array" ref="J110">J$106+IF($C110&lt;&gt;0,SUMPRODUCT((J$107:J$108)*TRANSPOSE(($D110:$E110))),0)</f>
        <v>-21016.53991682161</v>
      </c>
      <c r="K110" s="30" cm="1">
        <f t="array" ref="K110">K$106+IF($C110&lt;&gt;0,SUMPRODUCT((K$107:K$108)*TRANSPOSE(($D110:$E110))),0)</f>
        <v>-18370.52487038984</v>
      </c>
      <c r="L110" s="30" cm="1">
        <f t="array" ref="L110">L$106+IF($C110&lt;&gt;0,SUMPRODUCT((L$107:L$108)*TRANSPOSE(($D110:$E110))),0)</f>
        <v>-16036.618881029792</v>
      </c>
      <c r="M110" s="30" cm="1">
        <f t="array" ref="M110">M$106+IF($C110&lt;&gt;0,SUMPRODUCT((M$107:M$108)*TRANSPOSE(($D110:$E110))),0)</f>
        <v>-13559.675893245994</v>
      </c>
      <c r="N110" s="30" cm="1">
        <f t="array" ref="N110">N$106+IF($C110&lt;&gt;0,SUMPRODUCT((N$107:N$108)*TRANSPOSE(($D110:$E110))),0)</f>
        <v>-10470.426931790165</v>
      </c>
      <c r="O110" s="30" cm="1">
        <f t="array" ref="O110">O$106+IF($C110&lt;&gt;0,SUMPRODUCT((O$107:O$108)*TRANSPOSE(($D110:$E110))),0)</f>
        <v>-6126.6071243756323</v>
      </c>
      <c r="P110" s="30" cm="1">
        <f t="array" ref="P110">P$106+IF($C110&lt;&gt;0,SUMPRODUCT((P$107:P$108)*TRANSPOSE(($D110:$E110))),0)</f>
        <v>-473.14349030621997</v>
      </c>
      <c r="Q110" s="30" cm="1">
        <f t="array" ref="Q110">Q$106+IF($C110&lt;&gt;0,SUMPRODUCT((Q$107:Q$108)*TRANSPOSE(($D110:$E110))),0)</f>
        <v>5624.2542756625899</v>
      </c>
      <c r="R110" s="30" cm="1">
        <f t="array" ref="R110">R$106+IF($C110&lt;&gt;0,SUMPRODUCT((R$107:R$108)*TRANSPOSE(($D110:$E110))),0)</f>
        <v>13643.424419238405</v>
      </c>
      <c r="S110" s="30" cm="1">
        <f t="array" ref="S110">S$106+IF($C110&lt;&gt;0,SUMPRODUCT((S$107:S$108)*TRANSPOSE(($D110:$E110))),0)</f>
        <v>24143.078932003846</v>
      </c>
      <c r="T110" s="30" cm="1">
        <f t="array" ref="T110">T$106+IF($C110&lt;&gt;0,SUMPRODUCT((T$107:T$108)*TRANSPOSE(($D110:$E110))),0)</f>
        <v>37885.366367888259</v>
      </c>
      <c r="U110" s="30" cm="1">
        <f t="array" ref="U110">U$106+IF($C110&lt;&gt;0,SUMPRODUCT((U$107:U$108)*TRANSPOSE(($D110:$E110))),0)</f>
        <v>55917.456484601833</v>
      </c>
      <c r="V110" s="30" cm="1">
        <f t="array" ref="V110">V$106+IF($C110&lt;&gt;0,SUMPRODUCT((V$107:V$108)*TRANSPOSE(($D110:$E110))),0)</f>
        <v>79731.886333304807</v>
      </c>
      <c r="W110" s="30" cm="1">
        <f t="array" ref="W110">W$106+IF($C110&lt;&gt;0,SUMPRODUCT((W$107:W$108)*TRANSPOSE(($D110:$E110))),0)</f>
        <v>111318.61103963893</v>
      </c>
      <c r="X110" s="30" cm="1">
        <f t="array" ref="X110">X$106+IF($C110&lt;&gt;0,SUMPRODUCT((X$107:X$108)*TRANSPOSE(($D110:$E110))),0)</f>
        <v>153399.56165654521</v>
      </c>
      <c r="Y110" s="30" cm="1">
        <f t="array" ref="Y110">Y$106+IF($C110&lt;&gt;0,SUMPRODUCT((Y$107:Y$108)*TRANSPOSE(($D110:$E110))),0)</f>
        <v>197410.22278016928</v>
      </c>
      <c r="Z110" s="30" cm="1">
        <f t="array" ref="Z110">Z$106+IF($C110&lt;&gt;0,SUMPRODUCT((Z$107:Z$108)*TRANSPOSE(($D110:$E110))),0)</f>
        <v>232498.30114302685</v>
      </c>
      <c r="AA110" s="30" cm="1">
        <f t="array" ref="AA110">AA$106+IF($C110&lt;&gt;0,SUMPRODUCT((AA$107:AA$108)*TRANSPOSE(($D110:$E110))),0)</f>
        <v>211430.60402756819</v>
      </c>
      <c r="AB110" s="30" cm="1">
        <f t="array" ref="AB110">AB$106+IF($C110&lt;&gt;0,SUMPRODUCT((AB$107:AB$108)*TRANSPOSE(($D110:$E110))),0)</f>
        <v>166294.35066449101</v>
      </c>
      <c r="AC110" s="30" cm="1">
        <f t="array" ref="AC110">AC$106+IF($C110&lt;&gt;0,SUMPRODUCT((AC$107:AC$108)*TRANSPOSE(($D110:$E110))),0)</f>
        <v>167773.26780297776</v>
      </c>
      <c r="AD110" s="30" cm="1">
        <f t="array" ref="AD110">AD$106+IF($C110&lt;&gt;0,SUMPRODUCT((AD$107:AD$108)*TRANSPOSE(($D110:$E110))),0)</f>
        <v>144171.30520691408</v>
      </c>
      <c r="AE110" s="30" cm="1">
        <f t="array" ref="AE110">AE$106+IF($C110&lt;&gt;0,SUMPRODUCT((AE$107:AE$108)*TRANSPOSE(($D110:$E110))),0)</f>
        <v>115343.01110061808</v>
      </c>
      <c r="AF110" s="30" cm="1">
        <f t="array" ref="AF110">AF$106+IF($C110&lt;&gt;0,SUMPRODUCT((AF$107:AF$108)*TRANSPOSE(($D110:$E110))),0)</f>
        <v>114456.36308714704</v>
      </c>
      <c r="AG110" s="30" cm="1">
        <f t="array" ref="AG110">AG$106+IF($C110&lt;&gt;0,SUMPRODUCT((AG$107:AG$108)*TRANSPOSE(($D110:$E110))),0)</f>
        <v>113177.18644330106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7" t="str">
        <f t="shared" ref="G111:G117" si="20">PROPER($A$3)&amp;A111</f>
        <v>Option 2sens2</v>
      </c>
      <c r="I111" s="30" cm="1">
        <f t="array" ref="I111">I$106+IF($C111&lt;&gt;0,SUMPRODUCT((I$107:I$108)*TRANSPOSE(($D111:$E111))),0)</f>
        <v>0</v>
      </c>
      <c r="J111" s="30" cm="1">
        <f t="array" ref="J111">J$106+IF($C111&lt;&gt;0,SUMPRODUCT((J$107:J$108)*TRANSPOSE(($D111:$E111))),0)</f>
        <v>2005.6632491142973</v>
      </c>
      <c r="K111" s="30" cm="1">
        <f t="array" ref="K111">K$106+IF($C111&lt;&gt;0,SUMPRODUCT((K$107:K$108)*TRANSPOSE(($D111:$E111))),0)</f>
        <v>4651.6782955460676</v>
      </c>
      <c r="L111" s="30" cm="1">
        <f t="array" ref="L111">L$106+IF($C111&lt;&gt;0,SUMPRODUCT((L$107:L$108)*TRANSPOSE(($D111:$E111))),0)</f>
        <v>6985.5842849061173</v>
      </c>
      <c r="M111" s="30" cm="1">
        <f t="array" ref="M111">M$106+IF($C111&lt;&gt;0,SUMPRODUCT((M$107:M$108)*TRANSPOSE(($D111:$E111))),0)</f>
        <v>9462.5272726899148</v>
      </c>
      <c r="N111" s="30" cm="1">
        <f t="array" ref="N111">N$106+IF($C111&lt;&gt;0,SUMPRODUCT((N$107:N$108)*TRANSPOSE(($D111:$E111))),0)</f>
        <v>12551.776234145744</v>
      </c>
      <c r="O111" s="30" cm="1">
        <f t="array" ref="O111">O$106+IF($C111&lt;&gt;0,SUMPRODUCT((O$107:O$108)*TRANSPOSE(($D111:$E111))),0)</f>
        <v>16895.596041560275</v>
      </c>
      <c r="P111" s="30" cm="1">
        <f t="array" ref="P111">P$106+IF($C111&lt;&gt;0,SUMPRODUCT((P$107:P$108)*TRANSPOSE(($D111:$E111))),0)</f>
        <v>22549.059675629687</v>
      </c>
      <c r="Q111" s="30" cm="1">
        <f t="array" ref="Q111">Q$106+IF($C111&lt;&gt;0,SUMPRODUCT((Q$107:Q$108)*TRANSPOSE(($D111:$E111))),0)</f>
        <v>28646.457441598497</v>
      </c>
      <c r="R111" s="30" cm="1">
        <f t="array" ref="R111">R$106+IF($C111&lt;&gt;0,SUMPRODUCT((R$107:R$108)*TRANSPOSE(($D111:$E111))),0)</f>
        <v>36665.627585174312</v>
      </c>
      <c r="S111" s="30" cm="1">
        <f t="array" ref="S111">S$106+IF($C111&lt;&gt;0,SUMPRODUCT((S$107:S$108)*TRANSPOSE(($D111:$E111))),0)</f>
        <v>47165.282097939751</v>
      </c>
      <c r="T111" s="30" cm="1">
        <f t="array" ref="T111">T$106+IF($C111&lt;&gt;0,SUMPRODUCT((T$107:T$108)*TRANSPOSE(($D111:$E111))),0)</f>
        <v>60907.569533824164</v>
      </c>
      <c r="U111" s="30" cm="1">
        <f t="array" ref="U111">U$106+IF($C111&lt;&gt;0,SUMPRODUCT((U$107:U$108)*TRANSPOSE(($D111:$E111))),0)</f>
        <v>78939.659650537738</v>
      </c>
      <c r="V111" s="30" cm="1">
        <f t="array" ref="V111">V$106+IF($C111&lt;&gt;0,SUMPRODUCT((V$107:V$108)*TRANSPOSE(($D111:$E111))),0)</f>
        <v>102754.08949924071</v>
      </c>
      <c r="W111" s="30" cm="1">
        <f t="array" ref="W111">W$106+IF($C111&lt;&gt;0,SUMPRODUCT((W$107:W$108)*TRANSPOSE(($D111:$E111))),0)</f>
        <v>134340.81420557483</v>
      </c>
      <c r="X111" s="30" cm="1">
        <f t="array" ref="X111">X$106+IF($C111&lt;&gt;0,SUMPRODUCT((X$107:X$108)*TRANSPOSE(($D111:$E111))),0)</f>
        <v>176421.76482248114</v>
      </c>
      <c r="Y111" s="30" cm="1">
        <f t="array" ref="Y111">Y$106+IF($C111&lt;&gt;0,SUMPRODUCT((Y$107:Y$108)*TRANSPOSE(($D111:$E111))),0)</f>
        <v>220432.42594610521</v>
      </c>
      <c r="Z111" s="30" cm="1">
        <f t="array" ref="Z111">Z$106+IF($C111&lt;&gt;0,SUMPRODUCT((Z$107:Z$108)*TRANSPOSE(($D111:$E111))),0)</f>
        <v>255520.50430896279</v>
      </c>
      <c r="AA111" s="30" cm="1">
        <f t="array" ref="AA111">AA$106+IF($C111&lt;&gt;0,SUMPRODUCT((AA$107:AA$108)*TRANSPOSE(($D111:$E111))),0)</f>
        <v>234452.80719350412</v>
      </c>
      <c r="AB111" s="30" cm="1">
        <f t="array" ref="AB111">AB$106+IF($C111&lt;&gt;0,SUMPRODUCT((AB$107:AB$108)*TRANSPOSE(($D111:$E111))),0)</f>
        <v>189316.55383042694</v>
      </c>
      <c r="AC111" s="30" cm="1">
        <f t="array" ref="AC111">AC$106+IF($C111&lt;&gt;0,SUMPRODUCT((AC$107:AC$108)*TRANSPOSE(($D111:$E111))),0)</f>
        <v>190795.47096891369</v>
      </c>
      <c r="AD111" s="30" cm="1">
        <f t="array" ref="AD111">AD$106+IF($C111&lt;&gt;0,SUMPRODUCT((AD$107:AD$108)*TRANSPOSE(($D111:$E111))),0)</f>
        <v>167193.50837285002</v>
      </c>
      <c r="AE111" s="30" cm="1">
        <f t="array" ref="AE111">AE$106+IF($C111&lt;&gt;0,SUMPRODUCT((AE$107:AE$108)*TRANSPOSE(($D111:$E111))),0)</f>
        <v>138365.21426655399</v>
      </c>
      <c r="AF111" s="30" cm="1">
        <f t="array" ref="AF111">AF$106+IF($C111&lt;&gt;0,SUMPRODUCT((AF$107:AF$108)*TRANSPOSE(($D111:$E111))),0)</f>
        <v>137478.56625308294</v>
      </c>
      <c r="AG111" s="30" cm="1">
        <f t="array" ref="AG111">AG$106+IF($C111&lt;&gt;0,SUMPRODUCT((AG$107:AG$108)*TRANSPOSE(($D111:$E111))),0)</f>
        <v>136199.38960923697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7" t="str">
        <f t="shared" si="20"/>
        <v>Option 2sens3</v>
      </c>
      <c r="I112" s="30" cm="1">
        <f t="array" ref="I112">I$106+IF($C112&lt;&gt;0,SUMPRODUCT((I$107:I$108)*TRANSPOSE(($D112:$E112))),0)</f>
        <v>0</v>
      </c>
      <c r="J112" s="30" cm="1">
        <f t="array" ref="J112">J$106+IF($C112&lt;&gt;0,SUMPRODUCT((J$107:J$108)*TRANSPOSE(($D112:$E112))),0)</f>
        <v>1055.1194157289319</v>
      </c>
      <c r="K112" s="30" cm="1">
        <f t="array" ref="K112">K$106+IF($C112&lt;&gt;0,SUMPRODUCT((K$107:K$108)*TRANSPOSE(($D112:$E112))),0)</f>
        <v>3965.7359668038789</v>
      </c>
      <c r="L112" s="30" cm="1">
        <f t="array" ref="L112">L$106+IF($C112&lt;&gt;0,SUMPRODUCT((L$107:L$108)*TRANSPOSE(($D112:$E112))),0)</f>
        <v>6533.0325550999332</v>
      </c>
      <c r="M112" s="30" cm="1">
        <f t="array" ref="M112">M$106+IF($C112&lt;&gt;0,SUMPRODUCT((M$107:M$108)*TRANSPOSE(($D112:$E112))),0)</f>
        <v>9257.6698416621111</v>
      </c>
      <c r="N112" s="30" cm="1">
        <f t="array" ref="N112">N$106+IF($C112&lt;&gt;0,SUMPRODUCT((N$107:N$108)*TRANSPOSE(($D112:$E112))),0)</f>
        <v>12655.843699263523</v>
      </c>
      <c r="O112" s="30" cm="1">
        <f t="array" ref="O112">O$106+IF($C112&lt;&gt;0,SUMPRODUCT((O$107:O$108)*TRANSPOSE(($D112:$E112))),0)</f>
        <v>17434.045487419509</v>
      </c>
      <c r="P112" s="30" cm="1">
        <f t="array" ref="P112">P$106+IF($C112&lt;&gt;0,SUMPRODUCT((P$107:P$108)*TRANSPOSE(($D112:$E112))),0)</f>
        <v>23652.855484895863</v>
      </c>
      <c r="Q112" s="30" cm="1">
        <f t="array" ref="Q112">Q$106+IF($C112&lt;&gt;0,SUMPRODUCT((Q$107:Q$108)*TRANSPOSE(($D112:$E112))),0)</f>
        <v>30359.993027461554</v>
      </c>
      <c r="R112" s="30" cm="1">
        <f t="array" ref="R112">R$106+IF($C112&lt;&gt;0,SUMPRODUCT((R$107:R$108)*TRANSPOSE(($D112:$E112))),0)</f>
        <v>39181.080185394952</v>
      </c>
      <c r="S112" s="30" cm="1">
        <f t="array" ref="S112">S$106+IF($C112&lt;&gt;0,SUMPRODUCT((S$107:S$108)*TRANSPOSE(($D112:$E112))),0)</f>
        <v>50730.700149436932</v>
      </c>
      <c r="T112" s="30" cm="1">
        <f t="array" ref="T112">T$106+IF($C112&lt;&gt;0,SUMPRODUCT((T$107:T$108)*TRANSPOSE(($D112:$E112))),0)</f>
        <v>65847.216328909795</v>
      </c>
      <c r="U112" s="30" cm="1">
        <f t="array" ref="U112">U$106+IF($C112&lt;&gt;0,SUMPRODUCT((U$107:U$108)*TRANSPOSE(($D112:$E112))),0)</f>
        <v>85682.515457294721</v>
      </c>
      <c r="V112" s="30" cm="1">
        <f t="array" ref="V112">V$106+IF($C112&lt;&gt;0,SUMPRODUCT((V$107:V$108)*TRANSPOSE(($D112:$E112))),0)</f>
        <v>111878.388290868</v>
      </c>
      <c r="W112" s="30" cm="1">
        <f t="array" ref="W112">W$106+IF($C112&lt;&gt;0,SUMPRODUCT((W$107:W$108)*TRANSPOSE(($D112:$E112))),0)</f>
        <v>146623.78546783552</v>
      </c>
      <c r="X112" s="30" cm="1">
        <f t="array" ref="X112">X$106+IF($C112&lt;&gt;0,SUMPRODUCT((X$107:X$108)*TRANSPOSE(($D112:$E112))),0)</f>
        <v>192912.83114643244</v>
      </c>
      <c r="Y112" s="30" cm="1">
        <f t="array" ref="Y112">Y$106+IF($C112&lt;&gt;0,SUMPRODUCT((Y$107:Y$108)*TRANSPOSE(($D112:$E112))),0)</f>
        <v>241324.55838241894</v>
      </c>
      <c r="Z112" s="30" cm="1">
        <f t="array" ref="Z112">Z$106+IF($C112&lt;&gt;0,SUMPRODUCT((Z$107:Z$108)*TRANSPOSE(($D112:$E112))),0)</f>
        <v>279921.44458156225</v>
      </c>
      <c r="AA112" s="30" cm="1">
        <f t="array" ref="AA112">AA$106+IF($C112&lt;&gt;0,SUMPRODUCT((AA$107:AA$108)*TRANSPOSE(($D112:$E112))),0)</f>
        <v>256746.97775455774</v>
      </c>
      <c r="AB112" s="30" cm="1">
        <f t="array" ref="AB112">AB$106+IF($C112&lt;&gt;0,SUMPRODUCT((AB$107:AB$108)*TRANSPOSE(($D112:$E112))),0)</f>
        <v>207097.09905517282</v>
      </c>
      <c r="AC112" s="30" cm="1">
        <f t="array" ref="AC112">AC$106+IF($C112&lt;&gt;0,SUMPRODUCT((AC$107:AC$108)*TRANSPOSE(($D112:$E112))),0)</f>
        <v>208723.90790750826</v>
      </c>
      <c r="AD112" s="30" cm="1">
        <f t="array" ref="AD112">AD$106+IF($C112&lt;&gt;0,SUMPRODUCT((AD$107:AD$108)*TRANSPOSE(($D112:$E112))),0)</f>
        <v>182761.74905183821</v>
      </c>
      <c r="AE112" s="30" cm="1">
        <f t="array" ref="AE112">AE$106+IF($C112&lt;&gt;0,SUMPRODUCT((AE$107:AE$108)*TRANSPOSE(($D112:$E112))),0)</f>
        <v>151050.6255349126</v>
      </c>
      <c r="AF112" s="30" cm="1">
        <f t="array" ref="AF112">AF$106+IF($C112&lt;&gt;0,SUMPRODUCT((AF$107:AF$108)*TRANSPOSE(($D112:$E112))),0)</f>
        <v>150075.31272009446</v>
      </c>
      <c r="AG112" s="30" cm="1">
        <f t="array" ref="AG112">AG$106+IF($C112&lt;&gt;0,SUMPRODUCT((AG$107:AG$108)*TRANSPOSE(($D112:$E112))),0)</f>
        <v>148668.21841186387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7" t="str">
        <f t="shared" si="20"/>
        <v>Option 2sens4</v>
      </c>
      <c r="I113" s="30" cm="1">
        <f t="array" ref="I113">I$106+IF($C113&lt;&gt;0,SUMPRODUCT((I$107:I$108)*TRANSPOSE(($D113:$E113))),0)</f>
        <v>0</v>
      </c>
      <c r="J113" s="30" cm="1">
        <f t="array" ref="J113">J$106+IF($C113&lt;&gt;0,SUMPRODUCT((J$107:J$108)*TRANSPOSE(($D113:$E113))),0)</f>
        <v>-20065.996083436246</v>
      </c>
      <c r="K113" s="30" cm="1">
        <f t="array" ref="K113">K$106+IF($C113&lt;&gt;0,SUMPRODUCT((K$107:K$108)*TRANSPOSE(($D113:$E113))),0)</f>
        <v>-17684.582541647651</v>
      </c>
      <c r="L113" s="30" cm="1">
        <f t="array" ref="L113">L$106+IF($C113&lt;&gt;0,SUMPRODUCT((L$107:L$108)*TRANSPOSE(($D113:$E113))),0)</f>
        <v>-15584.067151223608</v>
      </c>
      <c r="M113" s="30" cm="1">
        <f t="array" ref="M113">M$106+IF($C113&lt;&gt;0,SUMPRODUCT((M$107:M$108)*TRANSPOSE(($D113:$E113))),0)</f>
        <v>-13354.818462218191</v>
      </c>
      <c r="N113" s="30" cm="1">
        <f t="array" ref="N113">N$106+IF($C113&lt;&gt;0,SUMPRODUCT((N$107:N$108)*TRANSPOSE(($D113:$E113))),0)</f>
        <v>-10574.494396907945</v>
      </c>
      <c r="O113" s="30" cm="1">
        <f t="array" ref="O113">O$106+IF($C113&lt;&gt;0,SUMPRODUCT((O$107:O$108)*TRANSPOSE(($D113:$E113))),0)</f>
        <v>-6665.0565702348649</v>
      </c>
      <c r="P113" s="30" cm="1">
        <f t="array" ref="P113">P$106+IF($C113&lt;&gt;0,SUMPRODUCT((P$107:P$108)*TRANSPOSE(($D113:$E113))),0)</f>
        <v>-1576.9392995723938</v>
      </c>
      <c r="Q113" s="30" cm="1">
        <f t="array" ref="Q113">Q$106+IF($C113&lt;&gt;0,SUMPRODUCT((Q$107:Q$108)*TRANSPOSE(($D113:$E113))),0)</f>
        <v>3910.7186897995343</v>
      </c>
      <c r="R113" s="30" cm="1">
        <f t="array" ref="R113">R$106+IF($C113&lt;&gt;0,SUMPRODUCT((R$107:R$108)*TRANSPOSE(($D113:$E113))),0)</f>
        <v>11127.971819017768</v>
      </c>
      <c r="S113" s="30" cm="1">
        <f t="array" ref="S113">S$106+IF($C113&lt;&gt;0,SUMPRODUCT((S$107:S$108)*TRANSPOSE(($D113:$E113))),0)</f>
        <v>20577.660880506664</v>
      </c>
      <c r="T113" s="30" cm="1">
        <f t="array" ref="T113">T$106+IF($C113&lt;&gt;0,SUMPRODUCT((T$107:T$108)*TRANSPOSE(($D113:$E113))),0)</f>
        <v>32945.719572802635</v>
      </c>
      <c r="U113" s="30" cm="1">
        <f t="array" ref="U113">U$106+IF($C113&lt;&gt;0,SUMPRODUCT((U$107:U$108)*TRANSPOSE(($D113:$E113))),0)</f>
        <v>49174.60067784485</v>
      </c>
      <c r="V113" s="30" cm="1">
        <f t="array" ref="V113">V$106+IF($C113&lt;&gt;0,SUMPRODUCT((V$107:V$108)*TRANSPOSE(($D113:$E113))),0)</f>
        <v>70607.587541677523</v>
      </c>
      <c r="W113" s="30" cm="1">
        <f t="array" ref="W113">W$106+IF($C113&lt;&gt;0,SUMPRODUCT((W$107:W$108)*TRANSPOSE(($D113:$E113))),0)</f>
        <v>99035.639777378237</v>
      </c>
      <c r="X113" s="30" cm="1">
        <f t="array" ref="X113">X$106+IF($C113&lt;&gt;0,SUMPRODUCT((X$107:X$108)*TRANSPOSE(($D113:$E113))),0)</f>
        <v>136908.49533259391</v>
      </c>
      <c r="Y113" s="30" cm="1">
        <f t="array" ref="Y113">Y$106+IF($C113&lt;&gt;0,SUMPRODUCT((Y$107:Y$108)*TRANSPOSE(($D113:$E113))),0)</f>
        <v>176518.09034385555</v>
      </c>
      <c r="Z113" s="30" cm="1">
        <f t="array" ref="Z113">Z$106+IF($C113&lt;&gt;0,SUMPRODUCT((Z$107:Z$108)*TRANSPOSE(($D113:$E113))),0)</f>
        <v>208097.36087042739</v>
      </c>
      <c r="AA113" s="30" cm="1">
        <f t="array" ref="AA113">AA$106+IF($C113&lt;&gt;0,SUMPRODUCT((AA$107:AA$108)*TRANSPOSE(($D113:$E113))),0)</f>
        <v>189136.43346651457</v>
      </c>
      <c r="AB113" s="30" cm="1">
        <f t="array" ref="AB113">AB$106+IF($C113&lt;&gt;0,SUMPRODUCT((AB$107:AB$108)*TRANSPOSE(($D113:$E113))),0)</f>
        <v>148513.80543974513</v>
      </c>
      <c r="AC113" s="30" cm="1">
        <f t="array" ref="AC113">AC$106+IF($C113&lt;&gt;0,SUMPRODUCT((AC$107:AC$108)*TRANSPOSE(($D113:$E113))),0)</f>
        <v>149844.8308643832</v>
      </c>
      <c r="AD113" s="30" cm="1">
        <f t="array" ref="AD113">AD$106+IF($C113&lt;&gt;0,SUMPRODUCT((AD$107:AD$108)*TRANSPOSE(($D113:$E113))),0)</f>
        <v>128603.06452792589</v>
      </c>
      <c r="AE113" s="30" cm="1">
        <f t="array" ref="AE113">AE$106+IF($C113&lt;&gt;0,SUMPRODUCT((AE$107:AE$108)*TRANSPOSE(($D113:$E113))),0)</f>
        <v>102657.59983225947</v>
      </c>
      <c r="AF113" s="30" cm="1">
        <f t="array" ref="AF113">AF$106+IF($C113&lt;&gt;0,SUMPRODUCT((AF$107:AF$108)*TRANSPOSE(($D113:$E113))),0)</f>
        <v>101859.61662013554</v>
      </c>
      <c r="AG113" s="30" cm="1">
        <f t="array" ref="AG113">AG$106+IF($C113&lt;&gt;0,SUMPRODUCT((AG$107:AG$108)*TRANSPOSE(($D113:$E113))),0)</f>
        <v>100708.35764067416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7" t="str">
        <f t="shared" si="20"/>
        <v>Option 2sens5</v>
      </c>
      <c r="I114" s="30" cm="1">
        <f t="array" ref="I114">I$106+IF($C114&lt;&gt;0,SUMPRODUCT((I$107:I$108)*TRANSPOSE(($D114:$E114))),0)</f>
        <v>0</v>
      </c>
      <c r="J114" s="30" cm="1">
        <f t="array" ref="J114">J$106+IF($C114&lt;&gt;0,SUMPRODUCT((J$107:J$108)*TRANSPOSE(($D114:$E114))),0)</f>
        <v>-31577.097666404203</v>
      </c>
      <c r="K114" s="30" cm="1">
        <f t="array" ref="K114">K$106+IF($C114&lt;&gt;0,SUMPRODUCT((K$107:K$108)*TRANSPOSE(($D114:$E114))),0)</f>
        <v>-29195.684124615607</v>
      </c>
      <c r="L114" s="30" cm="1">
        <f t="array" ref="L114">L$106+IF($C114&lt;&gt;0,SUMPRODUCT((L$107:L$108)*TRANSPOSE(($D114:$E114))),0)</f>
        <v>-27095.16873419156</v>
      </c>
      <c r="M114" s="30" cm="1">
        <f t="array" ref="M114">M$106+IF($C114&lt;&gt;0,SUMPRODUCT((M$107:M$108)*TRANSPOSE(($D114:$E114))),0)</f>
        <v>-24865.920045186147</v>
      </c>
      <c r="N114" s="30" cm="1">
        <f t="array" ref="N114">N$106+IF($C114&lt;&gt;0,SUMPRODUCT((N$107:N$108)*TRANSPOSE(($D114:$E114))),0)</f>
        <v>-22085.5959798759</v>
      </c>
      <c r="O114" s="30" cm="1">
        <f t="array" ref="O114">O$106+IF($C114&lt;&gt;0,SUMPRODUCT((O$107:O$108)*TRANSPOSE(($D114:$E114))),0)</f>
        <v>-18176.158153202821</v>
      </c>
      <c r="P114" s="30" cm="1">
        <f t="array" ref="P114">P$106+IF($C114&lt;&gt;0,SUMPRODUCT((P$107:P$108)*TRANSPOSE(($D114:$E114))),0)</f>
        <v>-13088.04088254035</v>
      </c>
      <c r="Q114" s="30" cm="1">
        <f t="array" ref="Q114">Q$106+IF($C114&lt;&gt;0,SUMPRODUCT((Q$107:Q$108)*TRANSPOSE(($D114:$E114))),0)</f>
        <v>-7600.3828931684184</v>
      </c>
      <c r="R114" s="30" cm="1">
        <f t="array" ref="R114">R$106+IF($C114&lt;&gt;0,SUMPRODUCT((R$107:R$108)*TRANSPOSE(($D114:$E114))),0)</f>
        <v>-383.12976395018632</v>
      </c>
      <c r="S114" s="30" cm="1">
        <f t="array" ref="S114">S$106+IF($C114&lt;&gt;0,SUMPRODUCT((S$107:S$108)*TRANSPOSE(($D114:$E114))),0)</f>
        <v>9066.5592975387117</v>
      </c>
      <c r="T114" s="30" cm="1">
        <f t="array" ref="T114">T$106+IF($C114&lt;&gt;0,SUMPRODUCT((T$107:T$108)*TRANSPOSE(($D114:$E114))),0)</f>
        <v>21434.617989834682</v>
      </c>
      <c r="U114" s="30" cm="1">
        <f t="array" ref="U114">U$106+IF($C114&lt;&gt;0,SUMPRODUCT((U$107:U$108)*TRANSPOSE(($D114:$E114))),0)</f>
        <v>37663.499094876897</v>
      </c>
      <c r="V114" s="30" cm="1">
        <f t="array" ref="V114">V$106+IF($C114&lt;&gt;0,SUMPRODUCT((V$107:V$108)*TRANSPOSE(($D114:$E114))),0)</f>
        <v>59096.485958709571</v>
      </c>
      <c r="W114" s="30" cm="1">
        <f t="array" ref="W114">W$106+IF($C114&lt;&gt;0,SUMPRODUCT((W$107:W$108)*TRANSPOSE(($D114:$E114))),0)</f>
        <v>87524.538194410285</v>
      </c>
      <c r="X114" s="30" cm="1">
        <f t="array" ref="X114">X$106+IF($C114&lt;&gt;0,SUMPRODUCT((X$107:X$108)*TRANSPOSE(($D114:$E114))),0)</f>
        <v>125397.39374962595</v>
      </c>
      <c r="Y114" s="30" cm="1">
        <f t="array" ref="Y114">Y$106+IF($C114&lt;&gt;0,SUMPRODUCT((Y$107:Y$108)*TRANSPOSE(($D114:$E114))),0)</f>
        <v>165006.98876088762</v>
      </c>
      <c r="Z114" s="30" cm="1">
        <f t="array" ref="Z114">Z$106+IF($C114&lt;&gt;0,SUMPRODUCT((Z$107:Z$108)*TRANSPOSE(($D114:$E114))),0)</f>
        <v>196586.25928745943</v>
      </c>
      <c r="AA114" s="30" cm="1">
        <f t="array" ref="AA114">AA$106+IF($C114&lt;&gt;0,SUMPRODUCT((AA$107:AA$108)*TRANSPOSE(($D114:$E114))),0)</f>
        <v>177625.33188354663</v>
      </c>
      <c r="AB114" s="30" cm="1">
        <f t="array" ref="AB114">AB$106+IF($C114&lt;&gt;0,SUMPRODUCT((AB$107:AB$108)*TRANSPOSE(($D114:$E114))),0)</f>
        <v>137002.70385677717</v>
      </c>
      <c r="AC114" s="30" cm="1">
        <f t="array" ref="AC114">AC$106+IF($C114&lt;&gt;0,SUMPRODUCT((AC$107:AC$108)*TRANSPOSE(($D114:$E114))),0)</f>
        <v>138333.72928141523</v>
      </c>
      <c r="AD114" s="30" cm="1">
        <f t="array" ref="AD114">AD$106+IF($C114&lt;&gt;0,SUMPRODUCT((AD$107:AD$108)*TRANSPOSE(($D114:$E114))),0)</f>
        <v>117091.96294495794</v>
      </c>
      <c r="AE114" s="30" cm="1">
        <f t="array" ref="AE114">AE$106+IF($C114&lt;&gt;0,SUMPRODUCT((AE$107:AE$108)*TRANSPOSE(($D114:$E114))),0)</f>
        <v>91146.49824929153</v>
      </c>
      <c r="AF114" s="30" cm="1">
        <f t="array" ref="AF114">AF$106+IF($C114&lt;&gt;0,SUMPRODUCT((AF$107:AF$108)*TRANSPOSE(($D114:$E114))),0)</f>
        <v>90348.515037167585</v>
      </c>
      <c r="AG114" s="30" cm="1">
        <f t="array" ref="AG114">AG$106+IF($C114&lt;&gt;0,SUMPRODUCT((AG$107:AG$108)*TRANSPOSE(($D114:$E114))),0)</f>
        <v>89197.256057706196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7" t="str">
        <f t="shared" si="20"/>
        <v>Option 2sens</v>
      </c>
      <c r="I115" s="30" cm="1">
        <f t="array" ref="I115">I$106+IF($C115&lt;&gt;0,SUMPRODUCT((I$107:I$108)*TRANSPOSE(($D115:$E115))),0)</f>
        <v>0</v>
      </c>
      <c r="J115" s="30" cm="1">
        <f t="array" ref="J115">J$106+IF($C115&lt;&gt;0,SUMPRODUCT((J$107:J$108)*TRANSPOSE(($D115:$E115))),0)</f>
        <v>-9505.4383338536572</v>
      </c>
      <c r="K115" s="30" cm="1">
        <f t="array" ref="K115">K$106+IF($C115&lt;&gt;0,SUMPRODUCT((K$107:K$108)*TRANSPOSE(($D115:$E115))),0)</f>
        <v>-6859.4232874218869</v>
      </c>
      <c r="L115" s="30" cm="1">
        <f t="array" ref="L115">L$106+IF($C115&lt;&gt;0,SUMPRODUCT((L$107:L$108)*TRANSPOSE(($D115:$E115))),0)</f>
        <v>-4525.5172980618372</v>
      </c>
      <c r="M115" s="30" cm="1">
        <f t="array" ref="M115">M$106+IF($C115&lt;&gt;0,SUMPRODUCT((M$107:M$108)*TRANSPOSE(($D115:$E115))),0)</f>
        <v>-2048.5743102780398</v>
      </c>
      <c r="N115" s="30" cm="1">
        <f t="array" ref="N115">N$106+IF($C115&lt;&gt;0,SUMPRODUCT((N$107:N$108)*TRANSPOSE(($D115:$E115))),0)</f>
        <v>1040.6746511777892</v>
      </c>
      <c r="O115" s="30" cm="1">
        <f t="array" ref="O115">O$106+IF($C115&lt;&gt;0,SUMPRODUCT((O$107:O$108)*TRANSPOSE(($D115:$E115))),0)</f>
        <v>5384.4944585923222</v>
      </c>
      <c r="P115" s="30" cm="1">
        <f t="array" ref="P115">P$106+IF($C115&lt;&gt;0,SUMPRODUCT((P$107:P$108)*TRANSPOSE(($D115:$E115))),0)</f>
        <v>11037.958092661735</v>
      </c>
      <c r="Q115" s="30" cm="1">
        <f t="array" ref="Q115">Q$106+IF($C115&lt;&gt;0,SUMPRODUCT((Q$107:Q$108)*TRANSPOSE(($D115:$E115))),0)</f>
        <v>17135.355858630544</v>
      </c>
      <c r="R115" s="30" cm="1">
        <f t="array" ref="R115">R$106+IF($C115&lt;&gt;0,SUMPRODUCT((R$107:R$108)*TRANSPOSE(($D115:$E115))),0)</f>
        <v>25154.526002206359</v>
      </c>
      <c r="S115" s="30" cm="1">
        <f t="array" ref="S115">S$106+IF($C115&lt;&gt;0,SUMPRODUCT((S$107:S$108)*TRANSPOSE(($D115:$E115))),0)</f>
        <v>35654.180514971798</v>
      </c>
      <c r="T115" s="30" cm="1">
        <f t="array" ref="T115">T$106+IF($C115&lt;&gt;0,SUMPRODUCT((T$107:T$108)*TRANSPOSE(($D115:$E115))),0)</f>
        <v>49396.467950856211</v>
      </c>
      <c r="U115" s="30" cm="1">
        <f t="array" ref="U115">U$106+IF($C115&lt;&gt;0,SUMPRODUCT((U$107:U$108)*TRANSPOSE(($D115:$E115))),0)</f>
        <v>67428.558067569786</v>
      </c>
      <c r="V115" s="30" cm="1">
        <f t="array" ref="V115">V$106+IF($C115&lt;&gt;0,SUMPRODUCT((V$107:V$108)*TRANSPOSE(($D115:$E115))),0)</f>
        <v>91242.987916272759</v>
      </c>
      <c r="W115" s="30" cm="1">
        <f t="array" ref="W115">W$106+IF($C115&lt;&gt;0,SUMPRODUCT((W$107:W$108)*TRANSPOSE(($D115:$E115))),0)</f>
        <v>122829.71262260688</v>
      </c>
      <c r="X115" s="30" cm="1">
        <f t="array" ref="X115">X$106+IF($C115&lt;&gt;0,SUMPRODUCT((X$107:X$108)*TRANSPOSE(($D115:$E115))),0)</f>
        <v>164910.66323951317</v>
      </c>
      <c r="Y115" s="30" cm="1">
        <f t="array" ref="Y115">Y$106+IF($C115&lt;&gt;0,SUMPRODUCT((Y$107:Y$108)*TRANSPOSE(($D115:$E115))),0)</f>
        <v>208921.32436313725</v>
      </c>
      <c r="Z115" s="30" cm="1">
        <f t="array" ref="Z115">Z$106+IF($C115&lt;&gt;0,SUMPRODUCT((Z$107:Z$108)*TRANSPOSE(($D115:$E115))),0)</f>
        <v>244009.40272599482</v>
      </c>
      <c r="AA115" s="30" cm="1">
        <f t="array" ref="AA115">AA$106+IF($C115&lt;&gt;0,SUMPRODUCT((AA$107:AA$108)*TRANSPOSE(($D115:$E115))),0)</f>
        <v>222941.70561053616</v>
      </c>
      <c r="AB115" s="30" cm="1">
        <f t="array" ref="AB115">AB$106+IF($C115&lt;&gt;0,SUMPRODUCT((AB$107:AB$108)*TRANSPOSE(($D115:$E115))),0)</f>
        <v>177805.45224745898</v>
      </c>
      <c r="AC115" s="30" cm="1">
        <f t="array" ref="AC115">AC$106+IF($C115&lt;&gt;0,SUMPRODUCT((AC$107:AC$108)*TRANSPOSE(($D115:$E115))),0)</f>
        <v>179284.36938594573</v>
      </c>
      <c r="AD115" s="30" cm="1">
        <f t="array" ref="AD115">AD$106+IF($C115&lt;&gt;0,SUMPRODUCT((AD$107:AD$108)*TRANSPOSE(($D115:$E115))),0)</f>
        <v>155682.40678988205</v>
      </c>
      <c r="AE115" s="30" cm="1">
        <f t="array" ref="AE115">AE$106+IF($C115&lt;&gt;0,SUMPRODUCT((AE$107:AE$108)*TRANSPOSE(($D115:$E115))),0)</f>
        <v>126854.11268358603</v>
      </c>
      <c r="AF115" s="30" cm="1">
        <f t="array" ref="AF115">AF$106+IF($C115&lt;&gt;0,SUMPRODUCT((AF$107:AF$108)*TRANSPOSE(($D115:$E115))),0)</f>
        <v>125967.46467011499</v>
      </c>
      <c r="AG115" s="30" cm="1">
        <f t="array" ref="AG115">AG$106+IF($C115&lt;&gt;0,SUMPRODUCT((AG$107:AG$108)*TRANSPOSE(($D115:$E115))),0)</f>
        <v>124688.28802626902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7" t="str">
        <f t="shared" si="20"/>
        <v>Option 2sens</v>
      </c>
      <c r="I116" s="30" cm="1">
        <f t="array" ref="I116">I$106+IF($C116&lt;&gt;0,SUMPRODUCT((I$107:I$108)*TRANSPOSE(($D116:$E116))),0)</f>
        <v>0</v>
      </c>
      <c r="J116" s="30" cm="1">
        <f t="array" ref="J116">J$106+IF($C116&lt;&gt;0,SUMPRODUCT((J$107:J$108)*TRANSPOSE(($D116:$E116))),0)</f>
        <v>-9505.4383338536572</v>
      </c>
      <c r="K116" s="30" cm="1">
        <f t="array" ref="K116">K$106+IF($C116&lt;&gt;0,SUMPRODUCT((K$107:K$108)*TRANSPOSE(($D116:$E116))),0)</f>
        <v>-6859.4232874218869</v>
      </c>
      <c r="L116" s="30" cm="1">
        <f t="array" ref="L116">L$106+IF($C116&lt;&gt;0,SUMPRODUCT((L$107:L$108)*TRANSPOSE(($D116:$E116))),0)</f>
        <v>-4525.5172980618372</v>
      </c>
      <c r="M116" s="30" cm="1">
        <f t="array" ref="M116">M$106+IF($C116&lt;&gt;0,SUMPRODUCT((M$107:M$108)*TRANSPOSE(($D116:$E116))),0)</f>
        <v>-2048.5743102780398</v>
      </c>
      <c r="N116" s="30" cm="1">
        <f t="array" ref="N116">N$106+IF($C116&lt;&gt;0,SUMPRODUCT((N$107:N$108)*TRANSPOSE(($D116:$E116))),0)</f>
        <v>1040.6746511777892</v>
      </c>
      <c r="O116" s="30" cm="1">
        <f t="array" ref="O116">O$106+IF($C116&lt;&gt;0,SUMPRODUCT((O$107:O$108)*TRANSPOSE(($D116:$E116))),0)</f>
        <v>5384.4944585923222</v>
      </c>
      <c r="P116" s="30" cm="1">
        <f t="array" ref="P116">P$106+IF($C116&lt;&gt;0,SUMPRODUCT((P$107:P$108)*TRANSPOSE(($D116:$E116))),0)</f>
        <v>11037.958092661735</v>
      </c>
      <c r="Q116" s="30" cm="1">
        <f t="array" ref="Q116">Q$106+IF($C116&lt;&gt;0,SUMPRODUCT((Q$107:Q$108)*TRANSPOSE(($D116:$E116))),0)</f>
        <v>17135.355858630544</v>
      </c>
      <c r="R116" s="30" cm="1">
        <f t="array" ref="R116">R$106+IF($C116&lt;&gt;0,SUMPRODUCT((R$107:R$108)*TRANSPOSE(($D116:$E116))),0)</f>
        <v>25154.526002206359</v>
      </c>
      <c r="S116" s="30" cm="1">
        <f t="array" ref="S116">S$106+IF($C116&lt;&gt;0,SUMPRODUCT((S$107:S$108)*TRANSPOSE(($D116:$E116))),0)</f>
        <v>35654.180514971798</v>
      </c>
      <c r="T116" s="30" cm="1">
        <f t="array" ref="T116">T$106+IF($C116&lt;&gt;0,SUMPRODUCT((T$107:T$108)*TRANSPOSE(($D116:$E116))),0)</f>
        <v>49396.467950856211</v>
      </c>
      <c r="U116" s="30" cm="1">
        <f t="array" ref="U116">U$106+IF($C116&lt;&gt;0,SUMPRODUCT((U$107:U$108)*TRANSPOSE(($D116:$E116))),0)</f>
        <v>67428.558067569786</v>
      </c>
      <c r="V116" s="30" cm="1">
        <f t="array" ref="V116">V$106+IF($C116&lt;&gt;0,SUMPRODUCT((V$107:V$108)*TRANSPOSE(($D116:$E116))),0)</f>
        <v>91242.987916272759</v>
      </c>
      <c r="W116" s="30" cm="1">
        <f t="array" ref="W116">W$106+IF($C116&lt;&gt;0,SUMPRODUCT((W$107:W$108)*TRANSPOSE(($D116:$E116))),0)</f>
        <v>122829.71262260688</v>
      </c>
      <c r="X116" s="30" cm="1">
        <f t="array" ref="X116">X$106+IF($C116&lt;&gt;0,SUMPRODUCT((X$107:X$108)*TRANSPOSE(($D116:$E116))),0)</f>
        <v>164910.66323951317</v>
      </c>
      <c r="Y116" s="30" cm="1">
        <f t="array" ref="Y116">Y$106+IF($C116&lt;&gt;0,SUMPRODUCT((Y$107:Y$108)*TRANSPOSE(($D116:$E116))),0)</f>
        <v>208921.32436313725</v>
      </c>
      <c r="Z116" s="30" cm="1">
        <f t="array" ref="Z116">Z$106+IF($C116&lt;&gt;0,SUMPRODUCT((Z$107:Z$108)*TRANSPOSE(($D116:$E116))),0)</f>
        <v>244009.40272599482</v>
      </c>
      <c r="AA116" s="30" cm="1">
        <f t="array" ref="AA116">AA$106+IF($C116&lt;&gt;0,SUMPRODUCT((AA$107:AA$108)*TRANSPOSE(($D116:$E116))),0)</f>
        <v>222941.70561053616</v>
      </c>
      <c r="AB116" s="30" cm="1">
        <f t="array" ref="AB116">AB$106+IF($C116&lt;&gt;0,SUMPRODUCT((AB$107:AB$108)*TRANSPOSE(($D116:$E116))),0)</f>
        <v>177805.45224745898</v>
      </c>
      <c r="AC116" s="30" cm="1">
        <f t="array" ref="AC116">AC$106+IF($C116&lt;&gt;0,SUMPRODUCT((AC$107:AC$108)*TRANSPOSE(($D116:$E116))),0)</f>
        <v>179284.36938594573</v>
      </c>
      <c r="AD116" s="30" cm="1">
        <f t="array" ref="AD116">AD$106+IF($C116&lt;&gt;0,SUMPRODUCT((AD$107:AD$108)*TRANSPOSE(($D116:$E116))),0)</f>
        <v>155682.40678988205</v>
      </c>
      <c r="AE116" s="30" cm="1">
        <f t="array" ref="AE116">AE$106+IF($C116&lt;&gt;0,SUMPRODUCT((AE$107:AE$108)*TRANSPOSE(($D116:$E116))),0)</f>
        <v>126854.11268358603</v>
      </c>
      <c r="AF116" s="30" cm="1">
        <f t="array" ref="AF116">AF$106+IF($C116&lt;&gt;0,SUMPRODUCT((AF$107:AF$108)*TRANSPOSE(($D116:$E116))),0)</f>
        <v>125967.46467011499</v>
      </c>
      <c r="AG116" s="30" cm="1">
        <f t="array" ref="AG116">AG$106+IF($C116&lt;&gt;0,SUMPRODUCT((AG$107:AG$108)*TRANSPOSE(($D116:$E116))),0)</f>
        <v>124688.28802626902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7" t="str">
        <f t="shared" si="20"/>
        <v>Option 2sens</v>
      </c>
      <c r="I117" s="30" cm="1">
        <f t="array" ref="I117">I$106+IF($C117&lt;&gt;0,SUMPRODUCT((I$107:I$108)*TRANSPOSE(($D117:$E117))),0)</f>
        <v>0</v>
      </c>
      <c r="J117" s="30" cm="1">
        <f t="array" ref="J117">J$106+IF($C117&lt;&gt;0,SUMPRODUCT((J$107:J$108)*TRANSPOSE(($D117:$E117))),0)</f>
        <v>-9505.4383338536572</v>
      </c>
      <c r="K117" s="30" cm="1">
        <f t="array" ref="K117">K$106+IF($C117&lt;&gt;0,SUMPRODUCT((K$107:K$108)*TRANSPOSE(($D117:$E117))),0)</f>
        <v>-6859.4232874218869</v>
      </c>
      <c r="L117" s="30" cm="1">
        <f t="array" ref="L117">L$106+IF($C117&lt;&gt;0,SUMPRODUCT((L$107:L$108)*TRANSPOSE(($D117:$E117))),0)</f>
        <v>-4525.5172980618372</v>
      </c>
      <c r="M117" s="30" cm="1">
        <f t="array" ref="M117">M$106+IF($C117&lt;&gt;0,SUMPRODUCT((M$107:M$108)*TRANSPOSE(($D117:$E117))),0)</f>
        <v>-2048.5743102780398</v>
      </c>
      <c r="N117" s="30" cm="1">
        <f t="array" ref="N117">N$106+IF($C117&lt;&gt;0,SUMPRODUCT((N$107:N$108)*TRANSPOSE(($D117:$E117))),0)</f>
        <v>1040.6746511777892</v>
      </c>
      <c r="O117" s="30" cm="1">
        <f t="array" ref="O117">O$106+IF($C117&lt;&gt;0,SUMPRODUCT((O$107:O$108)*TRANSPOSE(($D117:$E117))),0)</f>
        <v>5384.4944585923222</v>
      </c>
      <c r="P117" s="30" cm="1">
        <f t="array" ref="P117">P$106+IF($C117&lt;&gt;0,SUMPRODUCT((P$107:P$108)*TRANSPOSE(($D117:$E117))),0)</f>
        <v>11037.958092661735</v>
      </c>
      <c r="Q117" s="30" cm="1">
        <f t="array" ref="Q117">Q$106+IF($C117&lt;&gt;0,SUMPRODUCT((Q$107:Q$108)*TRANSPOSE(($D117:$E117))),0)</f>
        <v>17135.355858630544</v>
      </c>
      <c r="R117" s="30" cm="1">
        <f t="array" ref="R117">R$106+IF($C117&lt;&gt;0,SUMPRODUCT((R$107:R$108)*TRANSPOSE(($D117:$E117))),0)</f>
        <v>25154.526002206359</v>
      </c>
      <c r="S117" s="30" cm="1">
        <f t="array" ref="S117">S$106+IF($C117&lt;&gt;0,SUMPRODUCT((S$107:S$108)*TRANSPOSE(($D117:$E117))),0)</f>
        <v>35654.180514971798</v>
      </c>
      <c r="T117" s="30" cm="1">
        <f t="array" ref="T117">T$106+IF($C117&lt;&gt;0,SUMPRODUCT((T$107:T$108)*TRANSPOSE(($D117:$E117))),0)</f>
        <v>49396.467950856211</v>
      </c>
      <c r="U117" s="30" cm="1">
        <f t="array" ref="U117">U$106+IF($C117&lt;&gt;0,SUMPRODUCT((U$107:U$108)*TRANSPOSE(($D117:$E117))),0)</f>
        <v>67428.558067569786</v>
      </c>
      <c r="V117" s="30" cm="1">
        <f t="array" ref="V117">V$106+IF($C117&lt;&gt;0,SUMPRODUCT((V$107:V$108)*TRANSPOSE(($D117:$E117))),0)</f>
        <v>91242.987916272759</v>
      </c>
      <c r="W117" s="30" cm="1">
        <f t="array" ref="W117">W$106+IF($C117&lt;&gt;0,SUMPRODUCT((W$107:W$108)*TRANSPOSE(($D117:$E117))),0)</f>
        <v>122829.71262260688</v>
      </c>
      <c r="X117" s="30" cm="1">
        <f t="array" ref="X117">X$106+IF($C117&lt;&gt;0,SUMPRODUCT((X$107:X$108)*TRANSPOSE(($D117:$E117))),0)</f>
        <v>164910.66323951317</v>
      </c>
      <c r="Y117" s="30" cm="1">
        <f t="array" ref="Y117">Y$106+IF($C117&lt;&gt;0,SUMPRODUCT((Y$107:Y$108)*TRANSPOSE(($D117:$E117))),0)</f>
        <v>208921.32436313725</v>
      </c>
      <c r="Z117" s="30" cm="1">
        <f t="array" ref="Z117">Z$106+IF($C117&lt;&gt;0,SUMPRODUCT((Z$107:Z$108)*TRANSPOSE(($D117:$E117))),0)</f>
        <v>244009.40272599482</v>
      </c>
      <c r="AA117" s="30" cm="1">
        <f t="array" ref="AA117">AA$106+IF($C117&lt;&gt;0,SUMPRODUCT((AA$107:AA$108)*TRANSPOSE(($D117:$E117))),0)</f>
        <v>222941.70561053616</v>
      </c>
      <c r="AB117" s="30" cm="1">
        <f t="array" ref="AB117">AB$106+IF($C117&lt;&gt;0,SUMPRODUCT((AB$107:AB$108)*TRANSPOSE(($D117:$E117))),0)</f>
        <v>177805.45224745898</v>
      </c>
      <c r="AC117" s="30" cm="1">
        <f t="array" ref="AC117">AC$106+IF($C117&lt;&gt;0,SUMPRODUCT((AC$107:AC$108)*TRANSPOSE(($D117:$E117))),0)</f>
        <v>179284.36938594573</v>
      </c>
      <c r="AD117" s="30" cm="1">
        <f t="array" ref="AD117">AD$106+IF($C117&lt;&gt;0,SUMPRODUCT((AD$107:AD$108)*TRANSPOSE(($D117:$E117))),0)</f>
        <v>155682.40678988205</v>
      </c>
      <c r="AE117" s="30" cm="1">
        <f t="array" ref="AE117">AE$106+IF($C117&lt;&gt;0,SUMPRODUCT((AE$107:AE$108)*TRANSPOSE(($D117:$E117))),0)</f>
        <v>126854.11268358603</v>
      </c>
      <c r="AF117" s="30" cm="1">
        <f t="array" ref="AF117">AF$106+IF($C117&lt;&gt;0,SUMPRODUCT((AF$107:AF$108)*TRANSPOSE(($D117:$E117))),0)</f>
        <v>125967.46467011499</v>
      </c>
      <c r="AG117" s="30" cm="1">
        <f t="array" ref="AG117">AG$106+IF($C117&lt;&gt;0,SUMPRODUCT((AG$107:AG$108)*TRANSPOSE(($D117:$E117))),0)</f>
        <v>124688.28802626902</v>
      </c>
    </row>
    <row r="118" spans="1:33" x14ac:dyDescent="0.2">
      <c r="E118" s="242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I11" activePane="bottomRight" state="frozen"/>
      <selection pane="topRight"/>
      <selection pane="bottomLeft"/>
      <selection pane="bottomRight" activeCell="I22" sqref="I2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94"/>
      <c r="AI1" s="394"/>
      <c r="AJ1" s="394"/>
    </row>
    <row r="2" spans="1:43" ht="18.75" x14ac:dyDescent="0.3">
      <c r="A2" s="55" t="str">
        <f>proj</f>
        <v>R switchboard and relay retirement</v>
      </c>
      <c r="B2" s="5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94"/>
      <c r="AI2" s="394"/>
      <c r="AJ2" s="394"/>
    </row>
    <row r="3" spans="1:43" ht="15.75" x14ac:dyDescent="0.25">
      <c r="A3" s="202" t="s">
        <v>135</v>
      </c>
      <c r="B3" s="5"/>
      <c r="C3" s="199" t="str">
        <f>INDEX(Assumptions!$E$14:$E$18, MATCH(A3,_xlfn.ANCHORARRAY( Assumptions!$C$14),0))</f>
        <v>Decomission switchboard, direct connect transformers and connect VR Cremorne feeders to RTS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7"/>
      <c r="B9" s="17"/>
      <c r="C9" s="17"/>
      <c r="D9" s="17"/>
      <c r="E9" s="17"/>
      <c r="F9" s="141"/>
      <c r="G9" s="17" t="s">
        <v>25</v>
      </c>
      <c r="H9" s="219"/>
      <c r="I9" s="16" t="str">
        <f>'Option1 (base case)'!I9</f>
        <v>2026-27</v>
      </c>
      <c r="J9" s="16" t="str">
        <f>'Option1 (base case)'!J9</f>
        <v>2027-28</v>
      </c>
      <c r="K9" s="16" t="str">
        <f>'Option1 (base case)'!K9</f>
        <v>2028-29</v>
      </c>
      <c r="L9" s="16" t="str">
        <f>'Option1 (base case)'!L9</f>
        <v>2029-30</v>
      </c>
      <c r="M9" s="16" t="str">
        <f>'Option1 (base case)'!M9</f>
        <v>2030-31</v>
      </c>
      <c r="N9" s="16" t="str">
        <f>'Option1 (base case)'!N9</f>
        <v>2031-32</v>
      </c>
      <c r="O9" s="16" t="str">
        <f>'Option1 (base case)'!O9</f>
        <v>2032-33</v>
      </c>
      <c r="P9" s="16" t="str">
        <f>'Option1 (base case)'!P9</f>
        <v>2033-34</v>
      </c>
      <c r="Q9" s="16" t="str">
        <f>'Option1 (base case)'!Q9</f>
        <v>2034-35</v>
      </c>
      <c r="R9" s="16" t="str">
        <f>'Option1 (base case)'!R9</f>
        <v>2035-36</v>
      </c>
      <c r="S9" s="16" t="str">
        <f>'Option1 (base case)'!S9</f>
        <v>2036-37</v>
      </c>
      <c r="T9" s="16" t="str">
        <f>'Option1 (base case)'!T9</f>
        <v>2037-38</v>
      </c>
      <c r="U9" s="16" t="str">
        <f>'Option1 (base case)'!U9</f>
        <v>2038-39</v>
      </c>
      <c r="V9" s="16" t="str">
        <f>'Option1 (base case)'!V9</f>
        <v>2039-40</v>
      </c>
      <c r="W9" s="16" t="str">
        <f>'Option1 (base case)'!W9</f>
        <v>2040-41</v>
      </c>
      <c r="X9" s="16" t="str">
        <f>'Option1 (base case)'!X9</f>
        <v>2041-42</v>
      </c>
      <c r="Y9" s="16" t="str">
        <f>'Option1 (base case)'!Y9</f>
        <v>2042-43</v>
      </c>
      <c r="Z9" s="16" t="str">
        <f>'Option1 (base case)'!Z9</f>
        <v>2043-44</v>
      </c>
      <c r="AA9" s="16" t="str">
        <f>'Option1 (base case)'!AA9</f>
        <v>2044-45</v>
      </c>
      <c r="AB9" s="16" t="str">
        <f>'Option1 (base case)'!AB9</f>
        <v>2045-46</v>
      </c>
      <c r="AC9" s="16" t="str">
        <f>'Option1 (base case)'!AC9</f>
        <v>2046-47</v>
      </c>
      <c r="AD9" s="16" t="str">
        <f>'Option1 (base case)'!AD9</f>
        <v>2047-48</v>
      </c>
      <c r="AE9" s="16" t="str">
        <f>'Option1 (base case)'!AE9</f>
        <v>2048-49</v>
      </c>
      <c r="AF9" s="16" t="str">
        <f>'Option1 (base case)'!AF9</f>
        <v>2049-50</v>
      </c>
      <c r="AG9" s="16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8" t="s">
        <v>120</v>
      </c>
      <c r="B11" s="88"/>
      <c r="C11" s="89"/>
      <c r="D11" s="89"/>
      <c r="E11" s="89"/>
      <c r="F11" s="89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6" t="s">
        <v>323</v>
      </c>
      <c r="D14"/>
      <c r="E14" s="147">
        <v>50</v>
      </c>
      <c r="G14" s="206">
        <f>input_dollars</f>
        <v>45291</v>
      </c>
      <c r="H14" s="148"/>
      <c r="I14" s="31">
        <f>Workings_costs!E38</f>
        <v>4400000</v>
      </c>
      <c r="J14" s="31">
        <f>Workings_costs!F38</f>
        <v>0</v>
      </c>
      <c r="K14" s="31">
        <f>Workings_costs!G38</f>
        <v>0</v>
      </c>
      <c r="L14" s="31">
        <f>Workings_costs!H38</f>
        <v>0</v>
      </c>
      <c r="M14" s="31">
        <f>Workings_costs!I38</f>
        <v>0</v>
      </c>
      <c r="N14" s="31">
        <f>Workings_costs!J38</f>
        <v>0</v>
      </c>
      <c r="O14" s="31">
        <f>Workings_costs!K38</f>
        <v>0</v>
      </c>
      <c r="P14" s="31">
        <f>Workings_costs!L38</f>
        <v>0</v>
      </c>
      <c r="Q14" s="31">
        <f>Workings_costs!M38</f>
        <v>0</v>
      </c>
      <c r="R14" s="31">
        <f>Workings_costs!N38</f>
        <v>0</v>
      </c>
      <c r="S14" s="31">
        <f>Workings_costs!O38</f>
        <v>0</v>
      </c>
      <c r="T14" s="31">
        <f>Workings_costs!P38</f>
        <v>0</v>
      </c>
      <c r="U14" s="31">
        <f>Workings_costs!Q38</f>
        <v>0</v>
      </c>
      <c r="V14" s="31">
        <f>Workings_costs!R38</f>
        <v>0</v>
      </c>
      <c r="W14" s="31">
        <f>Workings_costs!S38</f>
        <v>0</v>
      </c>
      <c r="X14" s="31">
        <f>Workings_costs!T38</f>
        <v>0</v>
      </c>
      <c r="Y14" s="31">
        <f>Workings_costs!U38</f>
        <v>0</v>
      </c>
      <c r="Z14" s="31">
        <f>Workings_costs!V38</f>
        <v>0</v>
      </c>
      <c r="AA14" s="31">
        <f>Workings_costs!W38</f>
        <v>0</v>
      </c>
      <c r="AB14" s="31">
        <f>Workings_costs!X38</f>
        <v>0</v>
      </c>
      <c r="AC14" s="31">
        <f>Workings_costs!Y38</f>
        <v>0</v>
      </c>
      <c r="AD14" s="31">
        <f>Workings_costs!Z38</f>
        <v>0</v>
      </c>
      <c r="AE14" s="31">
        <f>Workings_costs!AA38</f>
        <v>0</v>
      </c>
      <c r="AF14" s="31">
        <f>Workings_costs!AB38</f>
        <v>0</v>
      </c>
      <c r="AG14" s="31">
        <f>Workings_costs!AC38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6"/>
      <c r="D15"/>
      <c r="E15" s="147">
        <v>0</v>
      </c>
      <c r="G15" s="206">
        <f>input_dollars</f>
        <v>45291</v>
      </c>
      <c r="H15" s="2"/>
      <c r="I15" s="31">
        <f>Workings_costs!E39</f>
        <v>0</v>
      </c>
      <c r="J15" s="31">
        <f>Workings_costs!F39</f>
        <v>0</v>
      </c>
      <c r="K15" s="31">
        <f>Workings_costs!G39</f>
        <v>0</v>
      </c>
      <c r="L15" s="31">
        <f>Workings_costs!H39</f>
        <v>0</v>
      </c>
      <c r="M15" s="31">
        <f>Workings_costs!I39</f>
        <v>0</v>
      </c>
      <c r="N15" s="31">
        <f>Workings_costs!J39</f>
        <v>0</v>
      </c>
      <c r="O15" s="31">
        <f>Workings_costs!K39</f>
        <v>0</v>
      </c>
      <c r="P15" s="31">
        <f>Workings_costs!L39</f>
        <v>0</v>
      </c>
      <c r="Q15" s="31">
        <f>Workings_costs!M39</f>
        <v>0</v>
      </c>
      <c r="R15" s="31">
        <f>Workings_costs!N39</f>
        <v>0</v>
      </c>
      <c r="S15" s="31">
        <f>Workings_costs!O39</f>
        <v>0</v>
      </c>
      <c r="T15" s="31">
        <f>Workings_costs!P39</f>
        <v>0</v>
      </c>
      <c r="U15" s="31">
        <f>Workings_costs!Q39</f>
        <v>0</v>
      </c>
      <c r="V15" s="31">
        <f>Workings_costs!R39</f>
        <v>0</v>
      </c>
      <c r="W15" s="31">
        <f>Workings_costs!S39</f>
        <v>0</v>
      </c>
      <c r="X15" s="31">
        <f>Workings_costs!T39</f>
        <v>0</v>
      </c>
      <c r="Y15" s="31">
        <f>Workings_costs!U39</f>
        <v>0</v>
      </c>
      <c r="Z15" s="31">
        <f>Workings_costs!V39</f>
        <v>0</v>
      </c>
      <c r="AA15" s="31">
        <f>Workings_costs!W39</f>
        <v>0</v>
      </c>
      <c r="AB15" s="31">
        <f>Workings_costs!X39</f>
        <v>0</v>
      </c>
      <c r="AC15" s="31">
        <f>Workings_costs!Y39</f>
        <v>0</v>
      </c>
      <c r="AD15" s="31">
        <f>Workings_costs!Z39</f>
        <v>0</v>
      </c>
      <c r="AE15" s="31">
        <f>Workings_costs!AA39</f>
        <v>0</v>
      </c>
      <c r="AF15" s="31">
        <f>Workings_costs!AB39</f>
        <v>0</v>
      </c>
      <c r="AG15" s="31">
        <f>Workings_costs!AC39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6"/>
      <c r="D16"/>
      <c r="E16" s="147">
        <v>0</v>
      </c>
      <c r="G16" s="206">
        <f>input_dollars</f>
        <v>45291</v>
      </c>
      <c r="H16" s="2"/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4400000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B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8" t="s">
        <v>150</v>
      </c>
      <c r="B22" s="88"/>
      <c r="C22" s="88"/>
      <c r="D22" s="88"/>
      <c r="E22" s="88"/>
      <c r="F22" s="88"/>
      <c r="G22" s="203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50104.893056593428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Workings_risks!E92</f>
        <v>62651.835185184194</v>
      </c>
      <c r="J28" s="118">
        <f>Workings_risks!F92</f>
        <v>5085.3418570733265</v>
      </c>
      <c r="K28" s="118">
        <f>Workings_risks!G92</f>
        <v>5172.3783573083565</v>
      </c>
      <c r="L28" s="118">
        <f>Workings_risks!H92</f>
        <v>5200.3186878760125</v>
      </c>
      <c r="M28" s="118">
        <f>Workings_risks!I92</f>
        <v>5281.205641738472</v>
      </c>
      <c r="N28" s="118">
        <f>Workings_risks!J92</f>
        <v>5567.3497360467936</v>
      </c>
      <c r="O28" s="118">
        <f>Workings_risks!K92</f>
        <v>5996.4040319956976</v>
      </c>
      <c r="P28" s="118">
        <f>Workings_risks!L92</f>
        <v>6601.9510225170343</v>
      </c>
      <c r="Q28" s="118">
        <f>Workings_risks!M92</f>
        <v>7366.4993859485321</v>
      </c>
      <c r="R28" s="118">
        <f>Workings_risks!N92</f>
        <v>8451.0602148714861</v>
      </c>
      <c r="S28" s="118">
        <f>Workings_risks!O92</f>
        <v>9986.5579747722932</v>
      </c>
      <c r="T28" s="118">
        <f>Workings_risks!P92</f>
        <v>12171.684246174105</v>
      </c>
      <c r="U28" s="118">
        <f>Workings_risks!Q92</f>
        <v>15308.63956472764</v>
      </c>
      <c r="V28" s="118">
        <f>Workings_risks!R92</f>
        <v>19781.704818024176</v>
      </c>
      <c r="W28" s="118">
        <f>Workings_risks!S92</f>
        <v>26176.843957155201</v>
      </c>
      <c r="X28" s="118">
        <f>Workings_risks!T92</f>
        <v>35341.277374072422</v>
      </c>
      <c r="Y28" s="118">
        <f>Workings_risks!U92</f>
        <v>48501.114324680879</v>
      </c>
      <c r="Z28" s="118">
        <f>Workings_risks!V92</f>
        <v>67432.269133603302</v>
      </c>
      <c r="AA28" s="118">
        <f>Workings_risks!W92</f>
        <v>94708.972278808651</v>
      </c>
      <c r="AB28" s="118">
        <f>Workings_risks!X92</f>
        <v>134064.79965917903</v>
      </c>
      <c r="AC28" s="118">
        <f>Workings_risks!Y92</f>
        <v>141353.65951328806</v>
      </c>
      <c r="AD28" s="118">
        <f>Workings_risks!Z92</f>
        <v>141905.1705053247</v>
      </c>
      <c r="AE28" s="118">
        <f>Workings_risks!AA92</f>
        <v>142577.4021005957</v>
      </c>
      <c r="AF28" s="118">
        <f>Workings_risks!AB92</f>
        <v>142747.60883008497</v>
      </c>
      <c r="AG28" s="118">
        <f>Workings_risks!AC92</f>
        <v>142948.30862908816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362" t="str">
        <f>Workings_risks!D62</f>
        <v>Safety risk</v>
      </c>
      <c r="D30" s="204" t="s">
        <v>208</v>
      </c>
      <c r="G30" s="206">
        <f>input_dollars</f>
        <v>45291</v>
      </c>
      <c r="H30" s="148"/>
      <c r="I30" s="31">
        <f>Workings_risks!E93</f>
        <v>2031.4305734685131</v>
      </c>
      <c r="J30" s="364">
        <f>Workings_risks!F93</f>
        <v>636.8634824779673</v>
      </c>
      <c r="K30" s="364">
        <f>Workings_risks!G93</f>
        <v>644.80341482125368</v>
      </c>
      <c r="L30" s="364">
        <f>Workings_risks!H93</f>
        <v>654.57133622862875</v>
      </c>
      <c r="M30" s="364">
        <f>Workings_risks!I93</f>
        <v>670.01410327672295</v>
      </c>
      <c r="N30" s="364">
        <f>Workings_risks!J93</f>
        <v>697.03768536972007</v>
      </c>
      <c r="O30" s="364">
        <f>Workings_risks!K93</f>
        <v>776.51402017939483</v>
      </c>
      <c r="P30" s="364">
        <f>Workings_risks!L93</f>
        <v>921.22635144510571</v>
      </c>
      <c r="Q30" s="364">
        <f>Workings_risks!M93</f>
        <v>1116.8804484359603</v>
      </c>
      <c r="R30" s="364">
        <f>Workings_risks!N93</f>
        <v>1382.8258381942642</v>
      </c>
      <c r="S30" s="364">
        <f>Workings_risks!O93</f>
        <v>1746.1277310330765</v>
      </c>
      <c r="T30" s="364">
        <f>Workings_risks!P93</f>
        <v>2244.9513758389853</v>
      </c>
      <c r="U30" s="364">
        <f>Workings_risks!Q93</f>
        <v>2933.7810316094078</v>
      </c>
      <c r="V30" s="364">
        <f>Workings_risks!R93</f>
        <v>3886.689756053835</v>
      </c>
      <c r="W30" s="364">
        <f>Workings_risks!S93</f>
        <v>5209.8020242128196</v>
      </c>
      <c r="X30" s="364">
        <f>Workings_risks!T93</f>
        <v>7053.1586925055408</v>
      </c>
      <c r="Y30" s="364">
        <f>Workings_risks!U93</f>
        <v>9629.2314032411177</v>
      </c>
      <c r="Z30" s="364">
        <f>Workings_risks!V93</f>
        <v>13239.336435214798</v>
      </c>
      <c r="AA30" s="364">
        <f>Workings_risks!W93</f>
        <v>18360.46931007869</v>
      </c>
      <c r="AB30" s="364">
        <f>Workings_risks!X93</f>
        <v>25599.881251386414</v>
      </c>
      <c r="AC30" s="364">
        <f>Workings_risks!Y93</f>
        <v>33646.206769931319</v>
      </c>
      <c r="AD30" s="364">
        <f>Workings_risks!Z93</f>
        <v>44509.924967514962</v>
      </c>
      <c r="AE30" s="364">
        <f>Workings_risks!AA93</f>
        <v>57804.012509256063</v>
      </c>
      <c r="AF30" s="364">
        <f>Workings_risks!AB93</f>
        <v>58166.867904616411</v>
      </c>
      <c r="AG30" s="364">
        <f>Workings_risks!AC93</f>
        <v>58670.860402480212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362" t="str">
        <f>Workings_risks!D63</f>
        <v>Unplanned replacement risk</v>
      </c>
      <c r="D31" s="205"/>
      <c r="E31"/>
      <c r="G31" s="206">
        <f>input_dollars</f>
        <v>45291</v>
      </c>
      <c r="H31" s="148"/>
      <c r="I31" s="364">
        <f>Workings_risks!E94</f>
        <v>11476.569259017157</v>
      </c>
      <c r="J31" s="364">
        <f>Workings_risks!F94</f>
        <v>1629.1879113228133</v>
      </c>
      <c r="K31" s="364">
        <f>Workings_risks!G94</f>
        <v>1638.9287133838634</v>
      </c>
      <c r="L31" s="364">
        <f>Workings_risks!H94</f>
        <v>1650.9121138542191</v>
      </c>
      <c r="M31" s="364">
        <f>Workings_risks!I94</f>
        <v>1696.5785771536016</v>
      </c>
      <c r="N31" s="364">
        <f>Workings_risks!J94</f>
        <v>1825.1928507937346</v>
      </c>
      <c r="O31" s="364">
        <f>Workings_risks!K94</f>
        <v>2044.6500146636595</v>
      </c>
      <c r="P31" s="364">
        <f>Workings_risks!L94</f>
        <v>2383.767542964928</v>
      </c>
      <c r="Q31" s="364">
        <f>Workings_risks!M94</f>
        <v>2851.8298407776088</v>
      </c>
      <c r="R31" s="364">
        <f>Workings_risks!N94</f>
        <v>3501.1636603773491</v>
      </c>
      <c r="S31" s="364">
        <f>Workings_risks!O94</f>
        <v>4406.1860714995</v>
      </c>
      <c r="T31" s="364">
        <f>Workings_risks!P94</f>
        <v>5674.5820177713886</v>
      </c>
      <c r="U31" s="364">
        <f>Workings_risks!Q94</f>
        <v>7466.5551191466257</v>
      </c>
      <c r="V31" s="364">
        <f>Workings_risks!R94</f>
        <v>9990.4315120966257</v>
      </c>
      <c r="W31" s="364">
        <f>Workings_risks!S94</f>
        <v>13557.063955352716</v>
      </c>
      <c r="X31" s="364">
        <f>Workings_risks!T94</f>
        <v>18612.421534671841</v>
      </c>
      <c r="Y31" s="364">
        <f>Workings_risks!U94</f>
        <v>25797.160724584741</v>
      </c>
      <c r="Z31" s="364">
        <f>Workings_risks!V94</f>
        <v>36032.697278872271</v>
      </c>
      <c r="AA31" s="364">
        <f>Workings_risks!W94</f>
        <v>50736.81331084983</v>
      </c>
      <c r="AB31" s="364">
        <f>Workings_risks!X94</f>
        <v>71819.332594504274</v>
      </c>
      <c r="AC31" s="364">
        <f>Workings_risks!Y94</f>
        <v>82383.567518116935</v>
      </c>
      <c r="AD31" s="364">
        <f>Workings_risks!Z94</f>
        <v>93352.719036552531</v>
      </c>
      <c r="AE31" s="364">
        <f>Workings_risks!AA94</f>
        <v>106705.77585205981</v>
      </c>
      <c r="AF31" s="364">
        <f>Workings_risks!AB94</f>
        <v>107431.36110441686</v>
      </c>
      <c r="AG31" s="364">
        <f>Workings_risks!AC94</f>
        <v>108428.19782400024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362" t="str">
        <f>Workings_risks!D64</f>
        <v>Unplanned fault risk</v>
      </c>
      <c r="D32" s="204"/>
      <c r="E32"/>
      <c r="G32" s="206">
        <f>input_dollars</f>
        <v>45291</v>
      </c>
      <c r="H32"/>
      <c r="I32" s="364">
        <f>Workings_risks!E95</f>
        <v>762</v>
      </c>
      <c r="J32" s="364">
        <f>Workings_risks!F95</f>
        <v>76.199999999999974</v>
      </c>
      <c r="K32" s="364">
        <f>Workings_risks!G95</f>
        <v>76.199999999999974</v>
      </c>
      <c r="L32" s="364">
        <f>Workings_risks!H95</f>
        <v>76.199999999999974</v>
      </c>
      <c r="M32" s="364">
        <f>Workings_risks!I95</f>
        <v>76.199999999999974</v>
      </c>
      <c r="N32" s="364">
        <f>Workings_risks!J95</f>
        <v>76.199999999999974</v>
      </c>
      <c r="O32" s="364">
        <f>Workings_risks!K95</f>
        <v>76.199999999999974</v>
      </c>
      <c r="P32" s="364">
        <f>Workings_risks!L95</f>
        <v>76.199999999999974</v>
      </c>
      <c r="Q32" s="364">
        <f>Workings_risks!M95</f>
        <v>76.199999999999974</v>
      </c>
      <c r="R32" s="364">
        <f>Workings_risks!N95</f>
        <v>76.199999999999974</v>
      </c>
      <c r="S32" s="364">
        <f>Workings_risks!O95</f>
        <v>76.199999999999974</v>
      </c>
      <c r="T32" s="364">
        <f>Workings_risks!P95</f>
        <v>76.199999999999974</v>
      </c>
      <c r="U32" s="364">
        <f>Workings_risks!Q95</f>
        <v>76.199999999999974</v>
      </c>
      <c r="V32" s="364">
        <f>Workings_risks!R95</f>
        <v>76.199999999999974</v>
      </c>
      <c r="W32" s="364">
        <f>Workings_risks!S95</f>
        <v>76.199999999999974</v>
      </c>
      <c r="X32" s="364">
        <f>Workings_risks!T95</f>
        <v>76.199999999999974</v>
      </c>
      <c r="Y32" s="364">
        <f>Workings_risks!U95</f>
        <v>76.199999999999974</v>
      </c>
      <c r="Z32" s="364">
        <f>Workings_risks!V95</f>
        <v>76.199999999999974</v>
      </c>
      <c r="AA32" s="364">
        <f>Workings_risks!W95</f>
        <v>76.199999999999974</v>
      </c>
      <c r="AB32" s="364">
        <f>Workings_risks!X95</f>
        <v>76.199999999999974</v>
      </c>
      <c r="AC32" s="364">
        <f>Workings_risks!Y95</f>
        <v>76.199999999999974</v>
      </c>
      <c r="AD32" s="364">
        <f>Workings_risks!Z95</f>
        <v>76.199999999999974</v>
      </c>
      <c r="AE32" s="364">
        <f>Workings_risks!AA95</f>
        <v>76.199999999999974</v>
      </c>
      <c r="AF32" s="364">
        <f>Workings_risks!AB95</f>
        <v>76.199999999999974</v>
      </c>
      <c r="AG32" s="364">
        <f>Workings_risks!AC95</f>
        <v>76.199999999999974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62" t="str">
        <f>Workings_risks!D65</f>
        <v>Environmental risk</v>
      </c>
      <c r="D33" s="218"/>
      <c r="E33"/>
      <c r="G33" s="206">
        <f>input_dollars</f>
        <v>45291</v>
      </c>
      <c r="H33"/>
      <c r="I33" s="364">
        <f>Workings_risks!E96</f>
        <v>207.68260030401137</v>
      </c>
      <c r="J33" s="364">
        <f>Workings_risks!F96</f>
        <v>80.194343985339714</v>
      </c>
      <c r="K33" s="364">
        <f>Workings_risks!G96</f>
        <v>81.312593719302868</v>
      </c>
      <c r="L33" s="364">
        <f>Workings_risks!H96</f>
        <v>82.688295053131753</v>
      </c>
      <c r="M33" s="364">
        <f>Workings_risks!I96</f>
        <v>84.57193586533613</v>
      </c>
      <c r="N33" s="364">
        <f>Workings_risks!J96</f>
        <v>87.33723507208849</v>
      </c>
      <c r="O33" s="364">
        <f>Workings_risks!K96</f>
        <v>97.081838299549077</v>
      </c>
      <c r="P33" s="364">
        <f>Workings_risks!L96</f>
        <v>115.43609143894327</v>
      </c>
      <c r="Q33" s="364">
        <f>Workings_risks!M96</f>
        <v>140.14355542808249</v>
      </c>
      <c r="R33" s="364">
        <f>Workings_risks!N96</f>
        <v>173.58011307798702</v>
      </c>
      <c r="S33" s="364">
        <f>Workings_risks!O96</f>
        <v>219.0555754655341</v>
      </c>
      <c r="T33" s="364">
        <f>Workings_risks!P96</f>
        <v>281.20744783819777</v>
      </c>
      <c r="U33" s="364">
        <f>Workings_risks!Q96</f>
        <v>366.58680461834621</v>
      </c>
      <c r="V33" s="364">
        <f>Workings_risks!R96</f>
        <v>484.19943689828773</v>
      </c>
      <c r="W33" s="364">
        <f>Workings_risks!S96</f>
        <v>646.81553712997106</v>
      </c>
      <c r="X33" s="364">
        <f>Workings_risks!T96</f>
        <v>872.41966323243639</v>
      </c>
      <c r="Y33" s="364">
        <f>Workings_risks!U96</f>
        <v>1186.3810156449922</v>
      </c>
      <c r="Z33" s="364">
        <f>Workings_risks!V96</f>
        <v>1624.5381245338194</v>
      </c>
      <c r="AA33" s="364">
        <f>Workings_risks!W96</f>
        <v>2244.5087893705299</v>
      </c>
      <c r="AB33" s="364">
        <f>Workings_risks!X96</f>
        <v>3117.9416637663376</v>
      </c>
      <c r="AC33" s="364">
        <f>Workings_risks!Y96</f>
        <v>4225.0648449489645</v>
      </c>
      <c r="AD33" s="364">
        <f>Workings_risks!Z96</f>
        <v>5754.5880284297582</v>
      </c>
      <c r="AE33" s="364">
        <f>Workings_risks!AA96</f>
        <v>7626.3090804649473</v>
      </c>
      <c r="AF33" s="364">
        <f>Workings_risks!AB96</f>
        <v>7676.8083735902228</v>
      </c>
      <c r="AG33" s="364">
        <f>Workings_risks!AC96</f>
        <v>7747.0834543847213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362" t="str">
        <f>Workings_risks!D66</f>
        <v>Other risk</v>
      </c>
      <c r="D34" s="205"/>
      <c r="E34"/>
      <c r="G34" s="206">
        <f>input_dollars</f>
        <v>45291</v>
      </c>
      <c r="H34"/>
      <c r="I34" s="364">
        <f>Workings_risks!E97</f>
        <v>30000</v>
      </c>
      <c r="J34" s="364">
        <f>Workings_risks!F97</f>
        <v>0</v>
      </c>
      <c r="K34" s="364">
        <f>Workings_risks!G97</f>
        <v>0</v>
      </c>
      <c r="L34" s="364">
        <f>Workings_risks!H97</f>
        <v>0</v>
      </c>
      <c r="M34" s="364">
        <f>Workings_risks!I97</f>
        <v>0</v>
      </c>
      <c r="N34" s="364">
        <f>Workings_risks!J97</f>
        <v>0</v>
      </c>
      <c r="O34" s="364">
        <f>Workings_risks!K97</f>
        <v>0</v>
      </c>
      <c r="P34" s="364">
        <f>Workings_risks!L97</f>
        <v>0</v>
      </c>
      <c r="Q34" s="364">
        <f>Workings_risks!M97</f>
        <v>0</v>
      </c>
      <c r="R34" s="364">
        <f>Workings_risks!N97</f>
        <v>0</v>
      </c>
      <c r="S34" s="364">
        <f>Workings_risks!O97</f>
        <v>0</v>
      </c>
      <c r="T34" s="364">
        <f>Workings_risks!P97</f>
        <v>0</v>
      </c>
      <c r="U34" s="364">
        <f>Workings_risks!Q97</f>
        <v>0</v>
      </c>
      <c r="V34" s="364">
        <f>Workings_risks!R97</f>
        <v>0</v>
      </c>
      <c r="W34" s="364">
        <f>Workings_risks!S97</f>
        <v>0</v>
      </c>
      <c r="X34" s="364">
        <f>Workings_risks!T97</f>
        <v>0</v>
      </c>
      <c r="Y34" s="364">
        <f>Workings_risks!U97</f>
        <v>0</v>
      </c>
      <c r="Z34" s="364">
        <f>Workings_risks!V97</f>
        <v>0</v>
      </c>
      <c r="AA34" s="364">
        <f>Workings_risks!W97</f>
        <v>0</v>
      </c>
      <c r="AB34" s="364">
        <f>Workings_risks!X97</f>
        <v>0</v>
      </c>
      <c r="AC34" s="364">
        <f>Workings_risks!Y97</f>
        <v>0</v>
      </c>
      <c r="AD34" s="364">
        <f>Workings_risks!Z97</f>
        <v>0</v>
      </c>
      <c r="AE34" s="364">
        <f>Workings_risks!AA97</f>
        <v>0</v>
      </c>
      <c r="AF34" s="364">
        <f>Workings_risks!AB97</f>
        <v>0</v>
      </c>
      <c r="AG34" s="364">
        <f>Workings_risks!AC97</f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107129.51761797386</v>
      </c>
      <c r="J36" s="169">
        <f t="shared" ref="J36:AB36" si="2">SUM(J28:J34)</f>
        <v>7507.7875948594465</v>
      </c>
      <c r="K36" s="169">
        <f t="shared" si="2"/>
        <v>7613.623079232776</v>
      </c>
      <c r="L36" s="169">
        <f t="shared" si="2"/>
        <v>7664.6904330119924</v>
      </c>
      <c r="M36" s="169">
        <f t="shared" si="2"/>
        <v>7808.5702580341331</v>
      </c>
      <c r="N36" s="169">
        <f t="shared" si="2"/>
        <v>8253.1175072823371</v>
      </c>
      <c r="O36" s="169">
        <f t="shared" si="2"/>
        <v>8990.8499051383023</v>
      </c>
      <c r="P36" s="169">
        <f t="shared" si="2"/>
        <v>10098.581008366013</v>
      </c>
      <c r="Q36" s="169">
        <f t="shared" si="2"/>
        <v>11551.553230590185</v>
      </c>
      <c r="R36" s="169">
        <f t="shared" si="2"/>
        <v>13584.829826521089</v>
      </c>
      <c r="S36" s="169">
        <f t="shared" si="2"/>
        <v>16434.127352770403</v>
      </c>
      <c r="T36" s="169">
        <f t="shared" si="2"/>
        <v>20448.62508762268</v>
      </c>
      <c r="U36" s="169">
        <f t="shared" si="2"/>
        <v>26151.76252010202</v>
      </c>
      <c r="V36" s="169">
        <f t="shared" si="2"/>
        <v>34219.225523072921</v>
      </c>
      <c r="W36" s="169">
        <f t="shared" si="2"/>
        <v>45666.725473850704</v>
      </c>
      <c r="X36" s="169">
        <f t="shared" si="2"/>
        <v>61955.477264482237</v>
      </c>
      <c r="Y36" s="169">
        <f t="shared" si="2"/>
        <v>85190.087468151716</v>
      </c>
      <c r="Z36" s="169">
        <f t="shared" si="2"/>
        <v>118405.0409722242</v>
      </c>
      <c r="AA36" s="169">
        <f t="shared" si="2"/>
        <v>166126.96368910771</v>
      </c>
      <c r="AB36" s="169">
        <f t="shared" si="2"/>
        <v>234678.15516883606</v>
      </c>
      <c r="AC36" s="169">
        <f>SUM(AC28:AC34)</f>
        <v>261684.69864628528</v>
      </c>
      <c r="AD36" s="169">
        <f>SUM(AD28:AD34)</f>
        <v>285598.60253782198</v>
      </c>
      <c r="AE36" s="169">
        <f>SUM(AE28:AE34)</f>
        <v>314789.69954237656</v>
      </c>
      <c r="AF36" s="169">
        <f>SUM(AF28:AF34)</f>
        <v>316098.84621270845</v>
      </c>
      <c r="AG36" s="169">
        <f>SUM(AG28:AG34)</f>
        <v>317870.65030995331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8" t="s">
        <v>56</v>
      </c>
      <c r="B38" s="88"/>
      <c r="C38" s="88"/>
      <c r="D38" s="88"/>
      <c r="E38" s="88"/>
      <c r="F38" s="88"/>
      <c r="G38" s="203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/>
    </row>
    <row r="42" spans="1:16372" ht="13.5" x14ac:dyDescent="0.25">
      <c r="C42" s="1" t="s">
        <v>129</v>
      </c>
      <c r="G42" s="204" t="s">
        <v>104</v>
      </c>
      <c r="I42" s="84">
        <f t="shared" ref="I42:AG42" si="3">I41*I7</f>
        <v>0</v>
      </c>
      <c r="J42" s="84">
        <f t="shared" si="3"/>
        <v>0</v>
      </c>
      <c r="K42" s="84">
        <f t="shared" si="3"/>
        <v>0</v>
      </c>
      <c r="L42" s="84">
        <f t="shared" si="3"/>
        <v>0</v>
      </c>
      <c r="M42" s="84">
        <f t="shared" si="3"/>
        <v>0</v>
      </c>
      <c r="N42" s="84">
        <f t="shared" si="3"/>
        <v>0</v>
      </c>
      <c r="O42" s="84">
        <f t="shared" si="3"/>
        <v>0</v>
      </c>
      <c r="P42" s="84">
        <f t="shared" si="3"/>
        <v>0</v>
      </c>
      <c r="Q42" s="84">
        <f t="shared" si="3"/>
        <v>0</v>
      </c>
      <c r="R42" s="84">
        <f t="shared" si="3"/>
        <v>0</v>
      </c>
      <c r="S42" s="84">
        <f t="shared" si="3"/>
        <v>0</v>
      </c>
      <c r="T42" s="84">
        <f t="shared" si="3"/>
        <v>0</v>
      </c>
      <c r="U42" s="84">
        <f t="shared" si="3"/>
        <v>0</v>
      </c>
      <c r="V42" s="84">
        <f t="shared" si="3"/>
        <v>0</v>
      </c>
      <c r="W42" s="84">
        <f t="shared" si="3"/>
        <v>0</v>
      </c>
      <c r="X42" s="84">
        <f t="shared" si="3"/>
        <v>0</v>
      </c>
      <c r="Y42" s="84">
        <f t="shared" si="3"/>
        <v>0</v>
      </c>
      <c r="Z42" s="84">
        <f t="shared" si="3"/>
        <v>0</v>
      </c>
      <c r="AA42" s="84">
        <f t="shared" si="3"/>
        <v>0</v>
      </c>
      <c r="AB42" s="84">
        <f t="shared" si="3"/>
        <v>0</v>
      </c>
      <c r="AC42" s="84">
        <f t="shared" si="3"/>
        <v>0</v>
      </c>
      <c r="AD42" s="84">
        <f t="shared" si="3"/>
        <v>0</v>
      </c>
      <c r="AE42" s="84">
        <f t="shared" si="3"/>
        <v>0</v>
      </c>
      <c r="AF42" s="84">
        <f t="shared" si="3"/>
        <v>0</v>
      </c>
      <c r="AG42" s="84">
        <f t="shared" si="3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/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/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/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/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/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/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/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/>
    </row>
    <row r="53" spans="1:43" x14ac:dyDescent="0.2">
      <c r="D53" s="204"/>
      <c r="G53" s="206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/>
    </row>
    <row r="54" spans="1:43" x14ac:dyDescent="0.2">
      <c r="C54" s="1" t="s">
        <v>309</v>
      </c>
      <c r="D54" s="204"/>
      <c r="G54" s="206">
        <f>input_dollars</f>
        <v>45291</v>
      </c>
      <c r="I54" s="364">
        <f>Workings_costs!E47</f>
        <v>0</v>
      </c>
      <c r="J54" s="364">
        <f>Workings_costs!F47</f>
        <v>0</v>
      </c>
      <c r="K54" s="364">
        <f>Workings_costs!G47</f>
        <v>0</v>
      </c>
      <c r="L54" s="364">
        <f>Workings_costs!H47</f>
        <v>0</v>
      </c>
      <c r="M54" s="364">
        <f>Workings_costs!I47</f>
        <v>0</v>
      </c>
      <c r="N54" s="364">
        <f>Workings_costs!J47</f>
        <v>0</v>
      </c>
      <c r="O54" s="364">
        <f>Workings_costs!K47</f>
        <v>0</v>
      </c>
      <c r="P54" s="364">
        <f>Workings_costs!L47</f>
        <v>0</v>
      </c>
      <c r="Q54" s="364">
        <f>Workings_costs!M47</f>
        <v>0</v>
      </c>
      <c r="R54" s="364">
        <f>Workings_costs!N47</f>
        <v>0</v>
      </c>
      <c r="S54" s="364">
        <f>Workings_costs!O47</f>
        <v>0</v>
      </c>
      <c r="T54" s="364">
        <f>Workings_costs!P47</f>
        <v>0</v>
      </c>
      <c r="U54" s="364">
        <f>Workings_costs!Q47</f>
        <v>0</v>
      </c>
      <c r="V54" s="364">
        <f>Workings_costs!R47</f>
        <v>0</v>
      </c>
      <c r="W54" s="364">
        <f>Workings_costs!S47</f>
        <v>0</v>
      </c>
      <c r="X54" s="364">
        <f>Workings_costs!T47</f>
        <v>0</v>
      </c>
      <c r="Y54" s="364">
        <f>Workings_costs!U47</f>
        <v>0</v>
      </c>
      <c r="Z54" s="364">
        <f>Workings_costs!V47</f>
        <v>0</v>
      </c>
      <c r="AA54" s="364">
        <f>Workings_costs!W47</f>
        <v>0</v>
      </c>
      <c r="AB54" s="364">
        <f>Workings_costs!X47</f>
        <v>0</v>
      </c>
      <c r="AC54" s="364">
        <f>Workings_costs!Y47</f>
        <v>0</v>
      </c>
      <c r="AD54" s="364">
        <f>Workings_costs!Z47</f>
        <v>0</v>
      </c>
      <c r="AE54" s="364">
        <f>Workings_costs!AA47</f>
        <v>0</v>
      </c>
      <c r="AF54" s="364">
        <f>Workings_costs!AB47</f>
        <v>0</v>
      </c>
      <c r="AG54" s="364">
        <f>Workings_costs!AC47</f>
        <v>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  <c r="AH57"/>
    </row>
    <row r="58" spans="1:43" x14ac:dyDescent="0.2">
      <c r="D58" s="204"/>
      <c r="G58" s="20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/>
    </row>
    <row r="59" spans="1:43" x14ac:dyDescent="0.2">
      <c r="G59" s="204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/>
    </row>
    <row r="60" spans="1:43" ht="15" x14ac:dyDescent="0.2">
      <c r="A60" s="88" t="s">
        <v>16</v>
      </c>
      <c r="B60" s="88"/>
      <c r="C60" s="88"/>
      <c r="D60" s="88"/>
      <c r="E60" s="88"/>
      <c r="F60" s="88"/>
      <c r="G60" s="203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108697.81233822342</v>
      </c>
      <c r="K64" s="131">
        <f>(1-INDEX(Data!$C$9:$C$13, MATCH($A$3, options,0)))*('Option1 (base case)'!K36-K36)</f>
        <v>111401.83327881599</v>
      </c>
      <c r="L64" s="131">
        <f>(1-INDEX(Data!$C$9:$C$13, MATCH($A$3, options,0)))*('Option1 (base case)'!L36-L36)</f>
        <v>113754.21828332981</v>
      </c>
      <c r="M64" s="131">
        <f>(1-INDEX(Data!$C$9:$C$13, MATCH($A$3, options,0)))*('Option1 (base case)'!M36-M36)</f>
        <v>116232.84058015942</v>
      </c>
      <c r="N64" s="131">
        <f>(1-INDEX(Data!$C$9:$C$13, MATCH($A$3, options,0)))*('Option1 (base case)'!N36-N36)</f>
        <v>119326.75740763539</v>
      </c>
      <c r="O64" s="131">
        <f>(1-INDEX(Data!$C$9:$C$13, MATCH($A$3, options,0)))*('Option1 (base case)'!O36-O36)</f>
        <v>123696.48968284462</v>
      </c>
      <c r="P64" s="131">
        <f>(1-INDEX(Data!$C$9:$C$13, MATCH($A$3, options,0)))*('Option1 (base case)'!P36-P36)</f>
        <v>129388.84557075732</v>
      </c>
      <c r="Q64" s="131">
        <f>(1-INDEX(Data!$C$9:$C$13, MATCH($A$3, options,0)))*('Option1 (base case)'!Q36-Q36)</f>
        <v>135483.34262828084</v>
      </c>
      <c r="R64" s="131">
        <f>(1-INDEX(Data!$C$9:$C$13, MATCH($A$3, options,0)))*('Option1 (base case)'!R36-R36)</f>
        <v>143502.51277185665</v>
      </c>
      <c r="S64" s="131">
        <f>(1-INDEX(Data!$C$9:$C$13, MATCH($A$3, options,0)))*('Option1 (base case)'!S36-S36)</f>
        <v>154002.16728462209</v>
      </c>
      <c r="T64" s="131">
        <f>(1-INDEX(Data!$C$9:$C$13, MATCH($A$3, options,0)))*('Option1 (base case)'!T36-T36)</f>
        <v>167744.4547205065</v>
      </c>
      <c r="U64" s="131">
        <f>(1-INDEX(Data!$C$9:$C$13, MATCH($A$3, options,0)))*('Option1 (base case)'!U36-U36)</f>
        <v>185776.54483722008</v>
      </c>
      <c r="V64" s="131">
        <f>(1-INDEX(Data!$C$9:$C$13, MATCH($A$3, options,0)))*('Option1 (base case)'!V36-V36)</f>
        <v>209590.97468592302</v>
      </c>
      <c r="W64" s="131">
        <f>(1-INDEX(Data!$C$9:$C$13, MATCH($A$3, options,0)))*('Option1 (base case)'!W36-W36)</f>
        <v>241177.69939225717</v>
      </c>
      <c r="X64" s="131">
        <f>(1-INDEX(Data!$C$9:$C$13, MATCH($A$3, options,0)))*('Option1 (base case)'!X36-X36)</f>
        <v>283258.65000916348</v>
      </c>
      <c r="Y64" s="131">
        <f>(1-INDEX(Data!$C$9:$C$13, MATCH($A$3, options,0)))*('Option1 (base case)'!Y36-Y36)</f>
        <v>327269.31113278755</v>
      </c>
      <c r="Z64" s="131">
        <f>(1-INDEX(Data!$C$9:$C$13, MATCH($A$3, options,0)))*('Option1 (base case)'!Z36-Z36)</f>
        <v>362357.38949564513</v>
      </c>
      <c r="AA64" s="131">
        <f>(1-INDEX(Data!$C$9:$C$13, MATCH($A$3, options,0)))*('Option1 (base case)'!AA36-AA36)</f>
        <v>341289.6923801864</v>
      </c>
      <c r="AB64" s="131">
        <f>(1-INDEX(Data!$C$9:$C$13, MATCH($A$3, options,0)))*('Option1 (base case)'!AB36-AB36)</f>
        <v>296153.43901710928</v>
      </c>
      <c r="AC64" s="131">
        <f>(1-INDEX(Data!$C$9:$C$13, MATCH($A$3, options,0)))*('Option1 (base case)'!AC36-AC36)</f>
        <v>297632.35615559603</v>
      </c>
      <c r="AD64" s="131">
        <f>(1-INDEX(Data!$C$9:$C$13, MATCH($A$3, options,0)))*('Option1 (base case)'!AD36-AD36)</f>
        <v>274030.39355953236</v>
      </c>
      <c r="AE64" s="131">
        <f>(1-INDEX(Data!$C$9:$C$13, MATCH($A$3, options,0)))*('Option1 (base case)'!AE36-AE36)</f>
        <v>245202.09945323633</v>
      </c>
      <c r="AF64" s="131">
        <f>(1-INDEX(Data!$C$9:$C$13, MATCH($A$3, options,0)))*('Option1 (base case)'!AF36-AF36)</f>
        <v>244315.45143976534</v>
      </c>
      <c r="AG64" s="131">
        <f>(1-INDEX(Data!$C$9:$C$13, MATCH($A$3, options,0)))*('Option1 (base case)'!AG36-AG36)</f>
        <v>243036.27479591937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7"/>
      <c r="F66" s="96"/>
      <c r="G66" s="212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/>
    </row>
    <row r="67" spans="1:34" x14ac:dyDescent="0.2">
      <c r="A67" s="8"/>
      <c r="B67" s="8"/>
      <c r="C67" s="4" t="str">
        <f>C14</f>
        <v>Retire switchboard and direct connection</v>
      </c>
      <c r="D67" s="37"/>
      <c r="F67" s="96"/>
      <c r="G67" s="209">
        <f>input_dollars</f>
        <v>45291</v>
      </c>
      <c r="H67" s="30"/>
      <c r="I67" s="118">
        <f t="shared" ref="I67:AG67" si="4">-I14</f>
        <v>-4400000</v>
      </c>
      <c r="J67" s="118">
        <f t="shared" si="4"/>
        <v>0</v>
      </c>
      <c r="K67" s="118">
        <f t="shared" si="4"/>
        <v>0</v>
      </c>
      <c r="L67" s="118">
        <f t="shared" si="4"/>
        <v>0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  <c r="AH67"/>
    </row>
    <row r="68" spans="1:34" x14ac:dyDescent="0.2">
      <c r="A68" s="8"/>
      <c r="B68" s="8"/>
      <c r="C68" s="4">
        <f>C15</f>
        <v>0</v>
      </c>
      <c r="D68" s="37"/>
      <c r="F68" s="96"/>
      <c r="G68" s="209">
        <f>input_dollars</f>
        <v>45291</v>
      </c>
      <c r="H68" s="30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7"/>
      <c r="F69" s="96"/>
      <c r="G69" s="209">
        <f>input_dollars</f>
        <v>45291</v>
      </c>
      <c r="H69" s="30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  <c r="AH69"/>
    </row>
    <row r="70" spans="1:34" x14ac:dyDescent="0.2">
      <c r="A70" s="8"/>
      <c r="B70" s="8"/>
      <c r="C70" s="4"/>
      <c r="D70" s="37"/>
      <c r="F70" s="96"/>
      <c r="G70" s="213"/>
      <c r="H70" s="30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x14ac:dyDescent="0.2">
      <c r="A71" s="8"/>
      <c r="B71" s="8"/>
      <c r="C71" s="146" t="s">
        <v>156</v>
      </c>
      <c r="D71" s="37"/>
      <c r="F71" s="96"/>
      <c r="G71" s="212"/>
      <c r="H71" s="30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x14ac:dyDescent="0.2">
      <c r="A72" s="8"/>
      <c r="B72" s="8"/>
      <c r="C72" s="4" t="str">
        <f>C14</f>
        <v>Retire switchboard and direct connection</v>
      </c>
      <c r="D72" s="37"/>
      <c r="F72" s="96"/>
      <c r="G72" s="209">
        <f>input_dollars</f>
        <v>45291</v>
      </c>
      <c r="H72" s="30"/>
      <c r="I72" s="118" cm="1">
        <f t="array" ref="I72">SUMPRODUCT(($I67:I67))-SUMPRODUCT(($I67:I67)*($I$6:I$6&lt;=(I$6-$E14)))</f>
        <v>-4400000</v>
      </c>
      <c r="J72" s="118" cm="1">
        <f t="array" ref="J72">SUMPRODUCT(($I67:J67))-SUMPRODUCT(($I67:J67)*($I$6:J$6&lt;=(J$6-$E14)))</f>
        <v>-4400000</v>
      </c>
      <c r="K72" s="118" cm="1">
        <f t="array" ref="K72">SUMPRODUCT(($I67:K67))-SUMPRODUCT(($I67:K67)*($I$6:K$6&lt;=(K$6-$E14)))</f>
        <v>-4400000</v>
      </c>
      <c r="L72" s="118" cm="1">
        <f t="array" ref="L72">SUMPRODUCT(($I67:L67))-SUMPRODUCT(($I67:L67)*($I$6:L$6&lt;=(L$6-$E14)))</f>
        <v>-4400000</v>
      </c>
      <c r="M72" s="118" cm="1">
        <f t="array" ref="M72">SUMPRODUCT(($I67:M67))-SUMPRODUCT(($I67:M67)*($I$6:M$6&lt;=(M$6-$E14)))</f>
        <v>-4400000</v>
      </c>
      <c r="N72" s="118" cm="1">
        <f t="array" ref="N72">SUMPRODUCT(($I67:N67))-SUMPRODUCT(($I67:N67)*($I$6:N$6&lt;=(N$6-$E14)))</f>
        <v>-4400000</v>
      </c>
      <c r="O72" s="118" cm="1">
        <f t="array" ref="O72">SUMPRODUCT(($I67:O67))-SUMPRODUCT(($I67:O67)*($I$6:O$6&lt;=(O$6-$E14)))</f>
        <v>-4400000</v>
      </c>
      <c r="P72" s="118" cm="1">
        <f t="array" ref="P72">SUMPRODUCT(($I67:P67))-SUMPRODUCT(($I67:P67)*($I$6:P$6&lt;=(P$6-$E14)))</f>
        <v>-4400000</v>
      </c>
      <c r="Q72" s="118" cm="1">
        <f t="array" ref="Q72">SUMPRODUCT(($I67:Q67))-SUMPRODUCT(($I67:Q67)*($I$6:Q$6&lt;=(Q$6-$E14)))</f>
        <v>-4400000</v>
      </c>
      <c r="R72" s="118" cm="1">
        <f t="array" ref="R72">SUMPRODUCT(($I67:R67))-SUMPRODUCT(($I67:R67)*($I$6:R$6&lt;=(R$6-$E14)))</f>
        <v>-4400000</v>
      </c>
      <c r="S72" s="118" cm="1">
        <f t="array" ref="S72">SUMPRODUCT(($I67:S67))-SUMPRODUCT(($I67:S67)*($I$6:S$6&lt;=(S$6-$E14)))</f>
        <v>-4400000</v>
      </c>
      <c r="T72" s="118" cm="1">
        <f t="array" ref="T72">SUMPRODUCT(($I67:T67))-SUMPRODUCT(($I67:T67)*($I$6:T$6&lt;=(T$6-$E14)))</f>
        <v>-4400000</v>
      </c>
      <c r="U72" s="118" cm="1">
        <f t="array" ref="U72">SUMPRODUCT(($I67:U67))-SUMPRODUCT(($I67:U67)*($I$6:U$6&lt;=(U$6-$E14)))</f>
        <v>-4400000</v>
      </c>
      <c r="V72" s="118" cm="1">
        <f t="array" ref="V72">SUMPRODUCT(($I67:V67))-SUMPRODUCT(($I67:V67)*($I$6:V$6&lt;=(V$6-$E14)))</f>
        <v>-4400000</v>
      </c>
      <c r="W72" s="118" cm="1">
        <f t="array" ref="W72">SUMPRODUCT(($I67:W67))-SUMPRODUCT(($I67:W67)*($I$6:W$6&lt;=(W$6-$E14)))</f>
        <v>-4400000</v>
      </c>
      <c r="X72" s="118" cm="1">
        <f t="array" ref="X72">SUMPRODUCT(($I67:X67))-SUMPRODUCT(($I67:X67)*($I$6:X$6&lt;=(X$6-$E14)))</f>
        <v>-4400000</v>
      </c>
      <c r="Y72" s="118" cm="1">
        <f t="array" ref="Y72">SUMPRODUCT(($I67:Y67))-SUMPRODUCT(($I67:Y67)*($I$6:Y$6&lt;=(Y$6-$E14)))</f>
        <v>-4400000</v>
      </c>
      <c r="Z72" s="118" cm="1">
        <f t="array" ref="Z72">SUMPRODUCT(($I67:Z67))-SUMPRODUCT(($I67:Z67)*($I$6:Z$6&lt;=(Z$6-$E14)))</f>
        <v>-4400000</v>
      </c>
      <c r="AA72" s="118" cm="1">
        <f t="array" ref="AA72">SUMPRODUCT(($I67:AA67))-SUMPRODUCT(($I67:AA67)*($I$6:AA$6&lt;=(AA$6-$E14)))</f>
        <v>-4400000</v>
      </c>
      <c r="AB72" s="118" cm="1">
        <f t="array" ref="AB72">SUMPRODUCT(($I67:AB67))-SUMPRODUCT(($I67:AB67)*($I$6:AB$6&lt;=(AB$6-$E14)))</f>
        <v>-4400000</v>
      </c>
      <c r="AC72" s="118" cm="1">
        <f t="array" ref="AC72">SUMPRODUCT(($I67:AC67))-SUMPRODUCT(($I67:AC67)*($I$6:AC$6&lt;=(AC$6-$E14)))</f>
        <v>-4400000</v>
      </c>
      <c r="AD72" s="118" cm="1">
        <f t="array" ref="AD72">SUMPRODUCT(($I67:AD67))-SUMPRODUCT(($I67:AD67)*($I$6:AD$6&lt;=(AD$6-$E14)))</f>
        <v>-4400000</v>
      </c>
      <c r="AE72" s="118" cm="1">
        <f t="array" ref="AE72">SUMPRODUCT(($I67:AE67))-SUMPRODUCT(($I67:AE67)*($I$6:AE$6&lt;=(AE$6-$E14)))</f>
        <v>-4400000</v>
      </c>
      <c r="AF72" s="118" cm="1">
        <f t="array" ref="AF72">SUMPRODUCT(($I67:AF67))-SUMPRODUCT(($I67:AF67)*($I$6:AF$6&lt;=(AF$6-$E14)))</f>
        <v>-4400000</v>
      </c>
      <c r="AG72" s="118" cm="1">
        <f t="array" ref="AG72">SUMPRODUCT(($I67:AG67))-SUMPRODUCT(($I67:AG67)*($I$6:AG$6&lt;=(AG$6-$E14)))</f>
        <v>-4400000</v>
      </c>
      <c r="AH72"/>
    </row>
    <row r="73" spans="1:34" x14ac:dyDescent="0.2">
      <c r="A73" s="8"/>
      <c r="B73" s="8"/>
      <c r="C73" s="4">
        <f>C15</f>
        <v>0</v>
      </c>
      <c r="D73" s="37"/>
      <c r="F73" s="96"/>
      <c r="G73" s="209">
        <f>input_dollars</f>
        <v>45291</v>
      </c>
      <c r="H73" s="30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7"/>
      <c r="F74" s="96"/>
      <c r="G74" s="209">
        <f>input_dollars</f>
        <v>45291</v>
      </c>
      <c r="H74" s="30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7"/>
      <c r="F75" s="96"/>
      <c r="G75" s="213"/>
      <c r="H75" s="30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x14ac:dyDescent="0.2">
      <c r="A76" s="8"/>
      <c r="B76" s="8"/>
      <c r="C76" s="146" t="s">
        <v>91</v>
      </c>
      <c r="D76" s="37"/>
      <c r="G76" s="212"/>
      <c r="H76" s="30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x14ac:dyDescent="0.2">
      <c r="A77" s="8"/>
      <c r="B77" s="8"/>
      <c r="C77" s="4" t="str">
        <f>$C$76&amp;" - "&amp;C14</f>
        <v>Annualised capex - Retire switchboard and direct connection</v>
      </c>
      <c r="D77" s="37"/>
      <c r="G77" s="209">
        <f>input_dollars</f>
        <v>45291</v>
      </c>
      <c r="H77" s="30"/>
      <c r="I77" s="118">
        <f t="shared" ref="I77:AG77" si="7">IF($E14=0,0,-PMT(real_disc, $E14,H72,))</f>
        <v>0</v>
      </c>
      <c r="J77" s="118">
        <f t="shared" si="7"/>
        <v>-187588.32209281111</v>
      </c>
      <c r="K77" s="118">
        <f t="shared" si="7"/>
        <v>-187588.32209281111</v>
      </c>
      <c r="L77" s="118">
        <f t="shared" si="7"/>
        <v>-187588.32209281111</v>
      </c>
      <c r="M77" s="118">
        <f t="shared" si="7"/>
        <v>-187588.32209281111</v>
      </c>
      <c r="N77" s="118">
        <f t="shared" si="7"/>
        <v>-187588.32209281111</v>
      </c>
      <c r="O77" s="118">
        <f t="shared" si="7"/>
        <v>-187588.32209281111</v>
      </c>
      <c r="P77" s="118">
        <f t="shared" si="7"/>
        <v>-187588.32209281111</v>
      </c>
      <c r="Q77" s="118">
        <f t="shared" si="7"/>
        <v>-187588.32209281111</v>
      </c>
      <c r="R77" s="118">
        <f t="shared" si="7"/>
        <v>-187588.32209281111</v>
      </c>
      <c r="S77" s="118">
        <f t="shared" si="7"/>
        <v>-187588.32209281111</v>
      </c>
      <c r="T77" s="118">
        <f t="shared" si="7"/>
        <v>-187588.32209281111</v>
      </c>
      <c r="U77" s="118">
        <f t="shared" si="7"/>
        <v>-187588.32209281111</v>
      </c>
      <c r="V77" s="118">
        <f t="shared" si="7"/>
        <v>-187588.32209281111</v>
      </c>
      <c r="W77" s="118">
        <f t="shared" si="7"/>
        <v>-187588.32209281111</v>
      </c>
      <c r="X77" s="118">
        <f t="shared" si="7"/>
        <v>-187588.32209281111</v>
      </c>
      <c r="Y77" s="118">
        <f t="shared" si="7"/>
        <v>-187588.32209281111</v>
      </c>
      <c r="Z77" s="118">
        <f t="shared" si="7"/>
        <v>-187588.32209281111</v>
      </c>
      <c r="AA77" s="118">
        <f t="shared" si="7"/>
        <v>-187588.32209281111</v>
      </c>
      <c r="AB77" s="118">
        <f t="shared" si="7"/>
        <v>-187588.32209281111</v>
      </c>
      <c r="AC77" s="118">
        <f t="shared" si="7"/>
        <v>-187588.32209281111</v>
      </c>
      <c r="AD77" s="118">
        <f t="shared" si="7"/>
        <v>-187588.32209281111</v>
      </c>
      <c r="AE77" s="118">
        <f t="shared" si="7"/>
        <v>-187588.32209281111</v>
      </c>
      <c r="AF77" s="118">
        <f t="shared" si="7"/>
        <v>-187588.32209281111</v>
      </c>
      <c r="AG77" s="118">
        <f t="shared" si="7"/>
        <v>-187588.32209281111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7"/>
      <c r="G78" s="209">
        <f>input_dollars</f>
        <v>45291</v>
      </c>
      <c r="H78" s="30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7"/>
      <c r="G79" s="209">
        <f>input_dollars</f>
        <v>45291</v>
      </c>
      <c r="H79" s="30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  <c r="AH79"/>
    </row>
    <row r="80" spans="1:34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-187588.32209281111</v>
      </c>
      <c r="K80" s="175">
        <f t="shared" si="10"/>
        <v>-187588.32209281111</v>
      </c>
      <c r="L80" s="175">
        <f t="shared" si="10"/>
        <v>-187588.32209281111</v>
      </c>
      <c r="M80" s="175">
        <f t="shared" si="10"/>
        <v>-187588.32209281111</v>
      </c>
      <c r="N80" s="175">
        <f t="shared" si="10"/>
        <v>-187588.32209281111</v>
      </c>
      <c r="O80" s="175">
        <f t="shared" si="10"/>
        <v>-187588.32209281111</v>
      </c>
      <c r="P80" s="175">
        <f t="shared" si="10"/>
        <v>-187588.32209281111</v>
      </c>
      <c r="Q80" s="175">
        <f t="shared" si="10"/>
        <v>-187588.32209281111</v>
      </c>
      <c r="R80" s="175">
        <f t="shared" si="10"/>
        <v>-187588.32209281111</v>
      </c>
      <c r="S80" s="175">
        <f t="shared" si="10"/>
        <v>-187588.32209281111</v>
      </c>
      <c r="T80" s="175">
        <f t="shared" si="10"/>
        <v>-187588.32209281111</v>
      </c>
      <c r="U80" s="175">
        <f t="shared" si="10"/>
        <v>-187588.32209281111</v>
      </c>
      <c r="V80" s="175">
        <f t="shared" si="10"/>
        <v>-187588.32209281111</v>
      </c>
      <c r="W80" s="175">
        <f t="shared" si="10"/>
        <v>-187588.32209281111</v>
      </c>
      <c r="X80" s="175">
        <f t="shared" si="10"/>
        <v>-187588.32209281111</v>
      </c>
      <c r="Y80" s="175">
        <f t="shared" si="10"/>
        <v>-187588.32209281111</v>
      </c>
      <c r="Z80" s="175">
        <f t="shared" si="10"/>
        <v>-187588.32209281111</v>
      </c>
      <c r="AA80" s="175">
        <f t="shared" si="10"/>
        <v>-187588.32209281111</v>
      </c>
      <c r="AB80" s="175">
        <f t="shared" si="10"/>
        <v>-187588.32209281111</v>
      </c>
      <c r="AC80" s="175">
        <f>SUM(AC77:AC79)</f>
        <v>-187588.32209281111</v>
      </c>
      <c r="AD80" s="175">
        <f>SUM(AD77:AD79)</f>
        <v>-187588.32209281111</v>
      </c>
      <c r="AE80" s="175">
        <f>SUM(AE77:AE79)</f>
        <v>-187588.32209281111</v>
      </c>
      <c r="AF80" s="175">
        <f>SUM(AF77:AF79)</f>
        <v>-187588.32209281111</v>
      </c>
      <c r="AG80" s="175">
        <f>SUM(AG77:AG79)</f>
        <v>-187588.32209281111</v>
      </c>
      <c r="AH80"/>
    </row>
    <row r="81" spans="1:34" x14ac:dyDescent="0.2">
      <c r="A81" s="8"/>
      <c r="B81" s="8"/>
      <c r="C81" s="74"/>
      <c r="D81" s="37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7"/>
      <c r="F82" s="96"/>
      <c r="G82" s="209">
        <f t="shared" ref="G82:G87" si="11">input_dollars</f>
        <v>45291</v>
      </c>
      <c r="H82" s="30"/>
      <c r="I82" s="118">
        <f>I80</f>
        <v>0</v>
      </c>
      <c r="J82" s="118">
        <f t="shared" ref="J82:AB82" si="12">J80</f>
        <v>-187588.32209281111</v>
      </c>
      <c r="K82" s="118">
        <f t="shared" si="12"/>
        <v>-187588.32209281111</v>
      </c>
      <c r="L82" s="118">
        <f t="shared" si="12"/>
        <v>-187588.32209281111</v>
      </c>
      <c r="M82" s="118">
        <f t="shared" si="12"/>
        <v>-187588.32209281111</v>
      </c>
      <c r="N82" s="118">
        <f t="shared" si="12"/>
        <v>-187588.32209281111</v>
      </c>
      <c r="O82" s="118">
        <f t="shared" si="12"/>
        <v>-187588.32209281111</v>
      </c>
      <c r="P82" s="118">
        <f t="shared" si="12"/>
        <v>-187588.32209281111</v>
      </c>
      <c r="Q82" s="118">
        <f t="shared" si="12"/>
        <v>-187588.32209281111</v>
      </c>
      <c r="R82" s="118">
        <f t="shared" si="12"/>
        <v>-187588.32209281111</v>
      </c>
      <c r="S82" s="118">
        <f t="shared" si="12"/>
        <v>-187588.32209281111</v>
      </c>
      <c r="T82" s="118">
        <f t="shared" si="12"/>
        <v>-187588.32209281111</v>
      </c>
      <c r="U82" s="118">
        <f t="shared" si="12"/>
        <v>-187588.32209281111</v>
      </c>
      <c r="V82" s="118">
        <f t="shared" si="12"/>
        <v>-187588.32209281111</v>
      </c>
      <c r="W82" s="118">
        <f t="shared" si="12"/>
        <v>-187588.32209281111</v>
      </c>
      <c r="X82" s="118">
        <f t="shared" si="12"/>
        <v>-187588.32209281111</v>
      </c>
      <c r="Y82" s="118">
        <f t="shared" si="12"/>
        <v>-187588.32209281111</v>
      </c>
      <c r="Z82" s="118">
        <f t="shared" si="12"/>
        <v>-187588.32209281111</v>
      </c>
      <c r="AA82" s="118">
        <f t="shared" si="12"/>
        <v>-187588.32209281111</v>
      </c>
      <c r="AB82" s="118">
        <f t="shared" si="12"/>
        <v>-187588.32209281111</v>
      </c>
      <c r="AC82" s="118">
        <f>AC80</f>
        <v>-187588.32209281111</v>
      </c>
      <c r="AD82" s="118">
        <f>AD80</f>
        <v>-187588.32209281111</v>
      </c>
      <c r="AE82" s="118">
        <f>AE80</f>
        <v>-187588.32209281111</v>
      </c>
      <c r="AF82" s="118">
        <f>AF80</f>
        <v>-187588.32209281111</v>
      </c>
      <c r="AG82" s="118">
        <f>AG80</f>
        <v>-187588.32209281111</v>
      </c>
      <c r="AH82"/>
    </row>
    <row r="83" spans="1:34" x14ac:dyDescent="0.2">
      <c r="A83" s="8"/>
      <c r="B83" s="8"/>
      <c r="C83" s="4" t="s">
        <v>31</v>
      </c>
      <c r="D83" s="37"/>
      <c r="F83" s="96"/>
      <c r="G83" s="209">
        <f t="shared" si="11"/>
        <v>45291</v>
      </c>
      <c r="H83" s="30"/>
      <c r="I83" s="30">
        <f t="shared" ref="I83:AG83" si="13">-I19</f>
        <v>0</v>
      </c>
      <c r="J83" s="30">
        <f t="shared" si="13"/>
        <v>0</v>
      </c>
      <c r="K83" s="30">
        <f t="shared" si="13"/>
        <v>0</v>
      </c>
      <c r="L83" s="30">
        <f t="shared" si="13"/>
        <v>0</v>
      </c>
      <c r="M83" s="30">
        <f t="shared" si="13"/>
        <v>0</v>
      </c>
      <c r="N83" s="30">
        <f t="shared" si="13"/>
        <v>0</v>
      </c>
      <c r="O83" s="30">
        <f t="shared" si="13"/>
        <v>0</v>
      </c>
      <c r="P83" s="30">
        <f t="shared" si="13"/>
        <v>0</v>
      </c>
      <c r="Q83" s="30">
        <f t="shared" si="13"/>
        <v>0</v>
      </c>
      <c r="R83" s="30">
        <f t="shared" si="13"/>
        <v>0</v>
      </c>
      <c r="S83" s="30">
        <f t="shared" si="13"/>
        <v>0</v>
      </c>
      <c r="T83" s="30">
        <f t="shared" si="13"/>
        <v>0</v>
      </c>
      <c r="U83" s="30">
        <f t="shared" si="13"/>
        <v>0</v>
      </c>
      <c r="V83" s="30">
        <f t="shared" si="13"/>
        <v>0</v>
      </c>
      <c r="W83" s="30">
        <f t="shared" si="13"/>
        <v>0</v>
      </c>
      <c r="X83" s="30">
        <f t="shared" si="13"/>
        <v>0</v>
      </c>
      <c r="Y83" s="30">
        <f t="shared" si="13"/>
        <v>0</v>
      </c>
      <c r="Z83" s="30">
        <f t="shared" si="13"/>
        <v>0</v>
      </c>
      <c r="AA83" s="30">
        <f t="shared" si="13"/>
        <v>0</v>
      </c>
      <c r="AB83" s="30">
        <f t="shared" si="13"/>
        <v>0</v>
      </c>
      <c r="AC83" s="30">
        <f t="shared" si="13"/>
        <v>0</v>
      </c>
      <c r="AD83" s="30">
        <f t="shared" si="13"/>
        <v>0</v>
      </c>
      <c r="AE83" s="30">
        <f t="shared" si="13"/>
        <v>0</v>
      </c>
      <c r="AF83" s="30">
        <f t="shared" si="13"/>
        <v>0</v>
      </c>
      <c r="AG83" s="30">
        <f t="shared" si="13"/>
        <v>0</v>
      </c>
      <c r="AH83"/>
    </row>
    <row r="84" spans="1:34" x14ac:dyDescent="0.2">
      <c r="A84" s="8"/>
      <c r="B84" s="8"/>
      <c r="C84" s="4" t="s">
        <v>140</v>
      </c>
      <c r="D84" s="37"/>
      <c r="F84" s="96"/>
      <c r="G84" s="209">
        <f t="shared" si="11"/>
        <v>45291</v>
      </c>
      <c r="H84" s="30"/>
      <c r="I84" s="30">
        <f t="shared" ref="I84:AG84" si="14">I64</f>
        <v>0</v>
      </c>
      <c r="J84" s="30">
        <f t="shared" si="14"/>
        <v>108697.81233822342</v>
      </c>
      <c r="K84" s="30">
        <f t="shared" si="14"/>
        <v>111401.83327881599</v>
      </c>
      <c r="L84" s="30">
        <f t="shared" si="14"/>
        <v>113754.21828332981</v>
      </c>
      <c r="M84" s="30">
        <f t="shared" si="14"/>
        <v>116232.84058015942</v>
      </c>
      <c r="N84" s="30">
        <f t="shared" si="14"/>
        <v>119326.75740763539</v>
      </c>
      <c r="O84" s="30">
        <f t="shared" si="14"/>
        <v>123696.48968284462</v>
      </c>
      <c r="P84" s="30">
        <f t="shared" si="14"/>
        <v>129388.84557075732</v>
      </c>
      <c r="Q84" s="30">
        <f t="shared" si="14"/>
        <v>135483.34262828084</v>
      </c>
      <c r="R84" s="30">
        <f t="shared" si="14"/>
        <v>143502.51277185665</v>
      </c>
      <c r="S84" s="30">
        <f t="shared" si="14"/>
        <v>154002.16728462209</v>
      </c>
      <c r="T84" s="30">
        <f t="shared" si="14"/>
        <v>167744.4547205065</v>
      </c>
      <c r="U84" s="30">
        <f t="shared" si="14"/>
        <v>185776.54483722008</v>
      </c>
      <c r="V84" s="30">
        <f t="shared" si="14"/>
        <v>209590.97468592302</v>
      </c>
      <c r="W84" s="30">
        <f t="shared" si="14"/>
        <v>241177.69939225717</v>
      </c>
      <c r="X84" s="30">
        <f t="shared" si="14"/>
        <v>283258.65000916348</v>
      </c>
      <c r="Y84" s="30">
        <f t="shared" si="14"/>
        <v>327269.31113278755</v>
      </c>
      <c r="Z84" s="30">
        <f t="shared" si="14"/>
        <v>362357.38949564513</v>
      </c>
      <c r="AA84" s="30">
        <f t="shared" si="14"/>
        <v>341289.6923801864</v>
      </c>
      <c r="AB84" s="30">
        <f t="shared" si="14"/>
        <v>296153.43901710928</v>
      </c>
      <c r="AC84" s="30">
        <f t="shared" si="14"/>
        <v>297632.35615559603</v>
      </c>
      <c r="AD84" s="30">
        <f t="shared" si="14"/>
        <v>274030.39355953236</v>
      </c>
      <c r="AE84" s="30">
        <f t="shared" si="14"/>
        <v>245202.09945323633</v>
      </c>
      <c r="AF84" s="30">
        <f t="shared" si="14"/>
        <v>244315.45143976534</v>
      </c>
      <c r="AG84" s="30">
        <f t="shared" si="14"/>
        <v>243036.27479591937</v>
      </c>
      <c r="AH84"/>
    </row>
    <row r="85" spans="1:34" x14ac:dyDescent="0.2">
      <c r="A85" s="8"/>
      <c r="B85" s="8"/>
      <c r="C85" s="4" t="s">
        <v>122</v>
      </c>
      <c r="D85" s="37"/>
      <c r="F85" s="96"/>
      <c r="G85" s="209">
        <f t="shared" si="11"/>
        <v>45291</v>
      </c>
      <c r="H85" s="30"/>
      <c r="I85" s="30">
        <f t="shared" ref="I85:AG85" si="15">I57</f>
        <v>0</v>
      </c>
      <c r="J85" s="30">
        <f t="shared" si="15"/>
        <v>0</v>
      </c>
      <c r="K85" s="30">
        <f t="shared" si="15"/>
        <v>0</v>
      </c>
      <c r="L85" s="30">
        <f t="shared" si="15"/>
        <v>0</v>
      </c>
      <c r="M85" s="30">
        <f t="shared" si="15"/>
        <v>0</v>
      </c>
      <c r="N85" s="30">
        <f t="shared" si="15"/>
        <v>0</v>
      </c>
      <c r="O85" s="30">
        <f t="shared" si="15"/>
        <v>0</v>
      </c>
      <c r="P85" s="30">
        <f t="shared" si="15"/>
        <v>0</v>
      </c>
      <c r="Q85" s="30">
        <f t="shared" si="15"/>
        <v>0</v>
      </c>
      <c r="R85" s="30">
        <f t="shared" si="15"/>
        <v>0</v>
      </c>
      <c r="S85" s="30">
        <f t="shared" si="15"/>
        <v>0</v>
      </c>
      <c r="T85" s="30">
        <f t="shared" si="15"/>
        <v>0</v>
      </c>
      <c r="U85" s="30">
        <f t="shared" si="15"/>
        <v>0</v>
      </c>
      <c r="V85" s="30">
        <f t="shared" si="15"/>
        <v>0</v>
      </c>
      <c r="W85" s="30">
        <f t="shared" si="15"/>
        <v>0</v>
      </c>
      <c r="X85" s="30">
        <f t="shared" si="15"/>
        <v>0</v>
      </c>
      <c r="Y85" s="30">
        <f t="shared" si="15"/>
        <v>0</v>
      </c>
      <c r="Z85" s="30">
        <f t="shared" si="15"/>
        <v>0</v>
      </c>
      <c r="AA85" s="30">
        <f t="shared" si="15"/>
        <v>0</v>
      </c>
      <c r="AB85" s="30">
        <f t="shared" si="15"/>
        <v>0</v>
      </c>
      <c r="AC85" s="30">
        <f t="shared" si="15"/>
        <v>0</v>
      </c>
      <c r="AD85" s="30">
        <f t="shared" si="15"/>
        <v>0</v>
      </c>
      <c r="AE85" s="30">
        <f t="shared" si="15"/>
        <v>0</v>
      </c>
      <c r="AF85" s="30">
        <f t="shared" si="15"/>
        <v>0</v>
      </c>
      <c r="AG85" s="30">
        <f t="shared" si="15"/>
        <v>0</v>
      </c>
      <c r="AH85"/>
    </row>
    <row r="86" spans="1:34" x14ac:dyDescent="0.2">
      <c r="A86" s="8"/>
      <c r="B86" s="8"/>
      <c r="C86" s="4"/>
      <c r="D86" s="37"/>
      <c r="F86" s="30"/>
      <c r="G86" s="209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/>
    </row>
    <row r="87" spans="1:34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-78890.509754587692</v>
      </c>
      <c r="K87" s="178">
        <f t="shared" si="16"/>
        <v>-76186.488813995122</v>
      </c>
      <c r="L87" s="178">
        <f t="shared" si="16"/>
        <v>-73834.103809481298</v>
      </c>
      <c r="M87" s="178">
        <f t="shared" si="16"/>
        <v>-71355.481512651691</v>
      </c>
      <c r="N87" s="178">
        <f t="shared" si="16"/>
        <v>-68261.564685175719</v>
      </c>
      <c r="O87" s="178">
        <f t="shared" si="16"/>
        <v>-63891.83240996649</v>
      </c>
      <c r="P87" s="178">
        <f t="shared" si="16"/>
        <v>-58199.476522053796</v>
      </c>
      <c r="Q87" s="178">
        <f t="shared" si="16"/>
        <v>-52104.979464530275</v>
      </c>
      <c r="R87" s="178">
        <f t="shared" si="16"/>
        <v>-44085.80932095446</v>
      </c>
      <c r="S87" s="178">
        <f t="shared" si="16"/>
        <v>-33586.154808189021</v>
      </c>
      <c r="T87" s="178">
        <f t="shared" si="16"/>
        <v>-19843.867372304609</v>
      </c>
      <c r="U87" s="178">
        <f t="shared" si="16"/>
        <v>-1811.7772555910342</v>
      </c>
      <c r="V87" s="178">
        <f t="shared" si="16"/>
        <v>22002.65259311191</v>
      </c>
      <c r="W87" s="178">
        <f t="shared" si="16"/>
        <v>53589.37729944606</v>
      </c>
      <c r="X87" s="178">
        <f t="shared" si="16"/>
        <v>95670.327916352369</v>
      </c>
      <c r="Y87" s="178">
        <f t="shared" si="16"/>
        <v>139680.98903997644</v>
      </c>
      <c r="Z87" s="178">
        <f t="shared" si="16"/>
        <v>174769.06740283401</v>
      </c>
      <c r="AA87" s="178">
        <f t="shared" si="16"/>
        <v>153701.37028737529</v>
      </c>
      <c r="AB87" s="178">
        <f t="shared" si="16"/>
        <v>108565.11692429817</v>
      </c>
      <c r="AC87" s="178">
        <f>SUM(AC82:AC86)</f>
        <v>110044.03406278492</v>
      </c>
      <c r="AD87" s="178">
        <f>SUM(AD82:AD86)</f>
        <v>86442.071466721245</v>
      </c>
      <c r="AE87" s="178">
        <f>SUM(AE82:AE86)</f>
        <v>57613.777360425214</v>
      </c>
      <c r="AF87" s="178">
        <f>SUM(AF82:AF86)</f>
        <v>56727.129346954229</v>
      </c>
      <c r="AG87" s="178">
        <f>SUM(AG82:AG86)</f>
        <v>55447.952703108254</v>
      </c>
      <c r="AH87"/>
    </row>
    <row r="88" spans="1:34" x14ac:dyDescent="0.2">
      <c r="A88" s="8"/>
      <c r="B88" s="8"/>
      <c r="C88" s="74"/>
      <c r="D88" s="137"/>
      <c r="E88" s="63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/>
    </row>
    <row r="89" spans="1:34" x14ac:dyDescent="0.2">
      <c r="A89" s="8"/>
      <c r="B89" s="8"/>
      <c r="C89" s="74"/>
      <c r="D89" s="137"/>
      <c r="E89" s="63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/>
    </row>
    <row r="90" spans="1:34" x14ac:dyDescent="0.2">
      <c r="A90" s="8"/>
      <c r="B90" s="8"/>
      <c r="C90" s="229" t="s">
        <v>198</v>
      </c>
      <c r="D90" s="81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1"/>
      <c r="D91" s="233"/>
      <c r="E91" s="230"/>
      <c r="F91" s="230"/>
      <c r="G91" s="232"/>
    </row>
    <row r="92" spans="1:34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4" x14ac:dyDescent="0.2">
      <c r="G94" s="11"/>
    </row>
    <row r="102" spans="1:43" ht="15" x14ac:dyDescent="0.2">
      <c r="A102" s="88" t="s">
        <v>216</v>
      </c>
      <c r="B102" s="88"/>
      <c r="C102" s="88"/>
      <c r="D102" s="88"/>
      <c r="E102" s="88"/>
      <c r="F102" s="88"/>
      <c r="G102" s="203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7" t="str">
        <f>PROPER($A$3)&amp;A106</f>
        <v>Option 3NPV</v>
      </c>
      <c r="I106" s="30">
        <f>I87</f>
        <v>0</v>
      </c>
      <c r="J106" s="30">
        <f t="shared" ref="J106:AG106" si="17">J87</f>
        <v>-78890.509754587692</v>
      </c>
      <c r="K106" s="30">
        <f t="shared" si="17"/>
        <v>-76186.488813995122</v>
      </c>
      <c r="L106" s="30">
        <f t="shared" si="17"/>
        <v>-73834.103809481298</v>
      </c>
      <c r="M106" s="30">
        <f t="shared" si="17"/>
        <v>-71355.481512651691</v>
      </c>
      <c r="N106" s="30">
        <f t="shared" si="17"/>
        <v>-68261.564685175719</v>
      </c>
      <c r="O106" s="30">
        <f t="shared" si="17"/>
        <v>-63891.83240996649</v>
      </c>
      <c r="P106" s="30">
        <f t="shared" si="17"/>
        <v>-58199.476522053796</v>
      </c>
      <c r="Q106" s="30">
        <f t="shared" si="17"/>
        <v>-52104.979464530275</v>
      </c>
      <c r="R106" s="30">
        <f t="shared" si="17"/>
        <v>-44085.80932095446</v>
      </c>
      <c r="S106" s="30">
        <f t="shared" si="17"/>
        <v>-33586.154808189021</v>
      </c>
      <c r="T106" s="30">
        <f t="shared" si="17"/>
        <v>-19843.867372304609</v>
      </c>
      <c r="U106" s="30">
        <f t="shared" si="17"/>
        <v>-1811.7772555910342</v>
      </c>
      <c r="V106" s="30">
        <f t="shared" si="17"/>
        <v>22002.65259311191</v>
      </c>
      <c r="W106" s="30">
        <f t="shared" si="17"/>
        <v>53589.37729944606</v>
      </c>
      <c r="X106" s="30">
        <f t="shared" si="17"/>
        <v>95670.327916352369</v>
      </c>
      <c r="Y106" s="30">
        <f t="shared" si="17"/>
        <v>139680.98903997644</v>
      </c>
      <c r="Z106" s="30">
        <f t="shared" si="17"/>
        <v>174769.06740283401</v>
      </c>
      <c r="AA106" s="30">
        <f t="shared" si="17"/>
        <v>153701.37028737529</v>
      </c>
      <c r="AB106" s="30">
        <f t="shared" si="17"/>
        <v>108565.11692429817</v>
      </c>
      <c r="AC106" s="30">
        <f t="shared" si="17"/>
        <v>110044.03406278492</v>
      </c>
      <c r="AD106" s="30">
        <f t="shared" si="17"/>
        <v>86442.071466721245</v>
      </c>
      <c r="AE106" s="30">
        <f t="shared" si="17"/>
        <v>57613.777360425214</v>
      </c>
      <c r="AF106" s="30">
        <f t="shared" si="17"/>
        <v>56727.129346954229</v>
      </c>
      <c r="AG106" s="30">
        <f t="shared" si="17"/>
        <v>55447.952703108254</v>
      </c>
    </row>
    <row r="107" spans="1:43" x14ac:dyDescent="0.2">
      <c r="C107" s="1" t="s">
        <v>157</v>
      </c>
      <c r="D107"/>
      <c r="E107"/>
      <c r="F107"/>
      <c r="G107"/>
      <c r="I107" s="30">
        <f>I82</f>
        <v>0</v>
      </c>
      <c r="J107" s="30">
        <f t="shared" ref="J107:AG107" si="18">J82</f>
        <v>-187588.32209281111</v>
      </c>
      <c r="K107" s="30">
        <f t="shared" si="18"/>
        <v>-187588.32209281111</v>
      </c>
      <c r="L107" s="30">
        <f t="shared" si="18"/>
        <v>-187588.32209281111</v>
      </c>
      <c r="M107" s="30">
        <f t="shared" si="18"/>
        <v>-187588.32209281111</v>
      </c>
      <c r="N107" s="30">
        <f t="shared" si="18"/>
        <v>-187588.32209281111</v>
      </c>
      <c r="O107" s="30">
        <f t="shared" si="18"/>
        <v>-187588.32209281111</v>
      </c>
      <c r="P107" s="30">
        <f t="shared" si="18"/>
        <v>-187588.32209281111</v>
      </c>
      <c r="Q107" s="30">
        <f t="shared" si="18"/>
        <v>-187588.32209281111</v>
      </c>
      <c r="R107" s="30">
        <f t="shared" si="18"/>
        <v>-187588.32209281111</v>
      </c>
      <c r="S107" s="30">
        <f t="shared" si="18"/>
        <v>-187588.32209281111</v>
      </c>
      <c r="T107" s="30">
        <f t="shared" si="18"/>
        <v>-187588.32209281111</v>
      </c>
      <c r="U107" s="30">
        <f t="shared" si="18"/>
        <v>-187588.32209281111</v>
      </c>
      <c r="V107" s="30">
        <f t="shared" si="18"/>
        <v>-187588.32209281111</v>
      </c>
      <c r="W107" s="30">
        <f t="shared" si="18"/>
        <v>-187588.32209281111</v>
      </c>
      <c r="X107" s="30">
        <f t="shared" si="18"/>
        <v>-187588.32209281111</v>
      </c>
      <c r="Y107" s="30">
        <f t="shared" si="18"/>
        <v>-187588.32209281111</v>
      </c>
      <c r="Z107" s="30">
        <f t="shared" si="18"/>
        <v>-187588.32209281111</v>
      </c>
      <c r="AA107" s="30">
        <f t="shared" si="18"/>
        <v>-187588.32209281111</v>
      </c>
      <c r="AB107" s="30">
        <f t="shared" si="18"/>
        <v>-187588.32209281111</v>
      </c>
      <c r="AC107" s="30">
        <f t="shared" si="18"/>
        <v>-187588.32209281111</v>
      </c>
      <c r="AD107" s="30">
        <f t="shared" si="18"/>
        <v>-187588.32209281111</v>
      </c>
      <c r="AE107" s="30">
        <f t="shared" si="18"/>
        <v>-187588.32209281111</v>
      </c>
      <c r="AF107" s="30">
        <f t="shared" si="18"/>
        <v>-187588.32209281111</v>
      </c>
      <c r="AG107" s="30">
        <f t="shared" si="18"/>
        <v>-187588.32209281111</v>
      </c>
    </row>
    <row r="108" spans="1:43" x14ac:dyDescent="0.2">
      <c r="C108" s="1" t="s">
        <v>241</v>
      </c>
      <c r="D108"/>
      <c r="E108"/>
      <c r="F108"/>
      <c r="G108"/>
      <c r="I108" s="30">
        <f>SUM(I84:I85)</f>
        <v>0</v>
      </c>
      <c r="J108" s="30">
        <f t="shared" ref="J108:AG108" si="19">SUM(J84:J85)</f>
        <v>108697.81233822342</v>
      </c>
      <c r="K108" s="30">
        <f t="shared" si="19"/>
        <v>111401.83327881599</v>
      </c>
      <c r="L108" s="30">
        <f t="shared" si="19"/>
        <v>113754.21828332981</v>
      </c>
      <c r="M108" s="30">
        <f t="shared" si="19"/>
        <v>116232.84058015942</v>
      </c>
      <c r="N108" s="30">
        <f t="shared" si="19"/>
        <v>119326.75740763539</v>
      </c>
      <c r="O108" s="30">
        <f t="shared" si="19"/>
        <v>123696.48968284462</v>
      </c>
      <c r="P108" s="30">
        <f t="shared" si="19"/>
        <v>129388.84557075732</v>
      </c>
      <c r="Q108" s="30">
        <f t="shared" si="19"/>
        <v>135483.34262828084</v>
      </c>
      <c r="R108" s="30">
        <f t="shared" si="19"/>
        <v>143502.51277185665</v>
      </c>
      <c r="S108" s="30">
        <f t="shared" si="19"/>
        <v>154002.16728462209</v>
      </c>
      <c r="T108" s="30">
        <f t="shared" si="19"/>
        <v>167744.4547205065</v>
      </c>
      <c r="U108" s="30">
        <f t="shared" si="19"/>
        <v>185776.54483722008</v>
      </c>
      <c r="V108" s="30">
        <f t="shared" si="19"/>
        <v>209590.97468592302</v>
      </c>
      <c r="W108" s="30">
        <f t="shared" si="19"/>
        <v>241177.69939225717</v>
      </c>
      <c r="X108" s="30">
        <f t="shared" si="19"/>
        <v>283258.65000916348</v>
      </c>
      <c r="Y108" s="30">
        <f t="shared" si="19"/>
        <v>327269.31113278755</v>
      </c>
      <c r="Z108" s="30">
        <f t="shared" si="19"/>
        <v>362357.38949564513</v>
      </c>
      <c r="AA108" s="30">
        <f t="shared" si="19"/>
        <v>341289.6923801864</v>
      </c>
      <c r="AB108" s="30">
        <f t="shared" si="19"/>
        <v>296153.43901710928</v>
      </c>
      <c r="AC108" s="30">
        <f t="shared" si="19"/>
        <v>297632.35615559603</v>
      </c>
      <c r="AD108" s="30">
        <f t="shared" si="19"/>
        <v>274030.39355953236</v>
      </c>
      <c r="AE108" s="30">
        <f t="shared" si="19"/>
        <v>245202.09945323633</v>
      </c>
      <c r="AF108" s="30">
        <f t="shared" si="19"/>
        <v>244315.45143976534</v>
      </c>
      <c r="AG108" s="30">
        <f t="shared" si="19"/>
        <v>243036.27479591937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7" t="str">
        <f>PROPER($A$3)&amp;A110</f>
        <v>Option 3sens1</v>
      </c>
      <c r="I110" s="30" cm="1">
        <f t="array" ref="I110">I$106+IF($C110&lt;&gt;0,SUMPRODUCT((I$107:I$108)*TRANSPOSE(($D110:$E110))),0)</f>
        <v>0</v>
      </c>
      <c r="J110" s="30" cm="1">
        <f t="array" ref="J110">J$106+IF($C110&lt;&gt;0,SUMPRODUCT((J$107:J$108)*TRANSPOSE(($D110:$E110))),0)</f>
        <v>-97649.341963868806</v>
      </c>
      <c r="K110" s="30" cm="1">
        <f t="array" ref="K110">K$106+IF($C110&lt;&gt;0,SUMPRODUCT((K$107:K$108)*TRANSPOSE(($D110:$E110))),0)</f>
        <v>-94945.321023276236</v>
      </c>
      <c r="L110" s="30" cm="1">
        <f t="array" ref="L110">L$106+IF($C110&lt;&gt;0,SUMPRODUCT((L$107:L$108)*TRANSPOSE(($D110:$E110))),0)</f>
        <v>-92592.936018762412</v>
      </c>
      <c r="M110" s="30" cm="1">
        <f t="array" ref="M110">M$106+IF($C110&lt;&gt;0,SUMPRODUCT((M$107:M$108)*TRANSPOSE(($D110:$E110))),0)</f>
        <v>-90114.313721932805</v>
      </c>
      <c r="N110" s="30" cm="1">
        <f t="array" ref="N110">N$106+IF($C110&lt;&gt;0,SUMPRODUCT((N$107:N$108)*TRANSPOSE(($D110:$E110))),0)</f>
        <v>-87020.396894456833</v>
      </c>
      <c r="O110" s="30" cm="1">
        <f t="array" ref="O110">O$106+IF($C110&lt;&gt;0,SUMPRODUCT((O$107:O$108)*TRANSPOSE(($D110:$E110))),0)</f>
        <v>-82650.664619247604</v>
      </c>
      <c r="P110" s="30" cm="1">
        <f t="array" ref="P110">P$106+IF($C110&lt;&gt;0,SUMPRODUCT((P$107:P$108)*TRANSPOSE(($D110:$E110))),0)</f>
        <v>-76958.30873133491</v>
      </c>
      <c r="Q110" s="30" cm="1">
        <f t="array" ref="Q110">Q$106+IF($C110&lt;&gt;0,SUMPRODUCT((Q$107:Q$108)*TRANSPOSE(($D110:$E110))),0)</f>
        <v>-70863.811673811389</v>
      </c>
      <c r="R110" s="30" cm="1">
        <f t="array" ref="R110">R$106+IF($C110&lt;&gt;0,SUMPRODUCT((R$107:R$108)*TRANSPOSE(($D110:$E110))),0)</f>
        <v>-62844.641530235574</v>
      </c>
      <c r="S110" s="30" cm="1">
        <f t="array" ref="S110">S$106+IF($C110&lt;&gt;0,SUMPRODUCT((S$107:S$108)*TRANSPOSE(($D110:$E110))),0)</f>
        <v>-52344.987017470135</v>
      </c>
      <c r="T110" s="30" cm="1">
        <f t="array" ref="T110">T$106+IF($C110&lt;&gt;0,SUMPRODUCT((T$107:T$108)*TRANSPOSE(($D110:$E110))),0)</f>
        <v>-38602.699581585723</v>
      </c>
      <c r="U110" s="30" cm="1">
        <f t="array" ref="U110">U$106+IF($C110&lt;&gt;0,SUMPRODUCT((U$107:U$108)*TRANSPOSE(($D110:$E110))),0)</f>
        <v>-20570.609464872145</v>
      </c>
      <c r="V110" s="30" cm="1">
        <f t="array" ref="V110">V$106+IF($C110&lt;&gt;0,SUMPRODUCT((V$107:V$108)*TRANSPOSE(($D110:$E110))),0)</f>
        <v>3243.8203838308</v>
      </c>
      <c r="W110" s="30" cm="1">
        <f t="array" ref="W110">W$106+IF($C110&lt;&gt;0,SUMPRODUCT((W$107:W$108)*TRANSPOSE(($D110:$E110))),0)</f>
        <v>34830.545090164946</v>
      </c>
      <c r="X110" s="30" cm="1">
        <f t="array" ref="X110">X$106+IF($C110&lt;&gt;0,SUMPRODUCT((X$107:X$108)*TRANSPOSE(($D110:$E110))),0)</f>
        <v>76911.495707071255</v>
      </c>
      <c r="Y110" s="30" cm="1">
        <f t="array" ref="Y110">Y$106+IF($C110&lt;&gt;0,SUMPRODUCT((Y$107:Y$108)*TRANSPOSE(($D110:$E110))),0)</f>
        <v>120922.15683069533</v>
      </c>
      <c r="Z110" s="30" cm="1">
        <f t="array" ref="Z110">Z$106+IF($C110&lt;&gt;0,SUMPRODUCT((Z$107:Z$108)*TRANSPOSE(($D110:$E110))),0)</f>
        <v>156010.23519355292</v>
      </c>
      <c r="AA110" s="30" cm="1">
        <f t="array" ref="AA110">AA$106+IF($C110&lt;&gt;0,SUMPRODUCT((AA$107:AA$108)*TRANSPOSE(($D110:$E110))),0)</f>
        <v>134942.53807809419</v>
      </c>
      <c r="AB110" s="30" cm="1">
        <f t="array" ref="AB110">AB$106+IF($C110&lt;&gt;0,SUMPRODUCT((AB$107:AB$108)*TRANSPOSE(($D110:$E110))),0)</f>
        <v>89806.284715017056</v>
      </c>
      <c r="AC110" s="30" cm="1">
        <f t="array" ref="AC110">AC$106+IF($C110&lt;&gt;0,SUMPRODUCT((AC$107:AC$108)*TRANSPOSE(($D110:$E110))),0)</f>
        <v>91285.201853503808</v>
      </c>
      <c r="AD110" s="30" cm="1">
        <f t="array" ref="AD110">AD$106+IF($C110&lt;&gt;0,SUMPRODUCT((AD$107:AD$108)*TRANSPOSE(($D110:$E110))),0)</f>
        <v>67683.239257440131</v>
      </c>
      <c r="AE110" s="30" cm="1">
        <f t="array" ref="AE110">AE$106+IF($C110&lt;&gt;0,SUMPRODUCT((AE$107:AE$108)*TRANSPOSE(($D110:$E110))),0)</f>
        <v>38854.9451511441</v>
      </c>
      <c r="AF110" s="30" cm="1">
        <f t="array" ref="AF110">AF$106+IF($C110&lt;&gt;0,SUMPRODUCT((AF$107:AF$108)*TRANSPOSE(($D110:$E110))),0)</f>
        <v>37968.297137673115</v>
      </c>
      <c r="AG110" s="30" cm="1">
        <f t="array" ref="AG110">AG$106+IF($C110&lt;&gt;0,SUMPRODUCT((AG$107:AG$108)*TRANSPOSE(($D110:$E110))),0)</f>
        <v>36689.12049382714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7" t="str">
        <f t="shared" ref="G111:G117" si="20">PROPER($A$3)&amp;A111</f>
        <v>Option 3sens2</v>
      </c>
      <c r="I111" s="30" cm="1">
        <f t="array" ref="I111">I$106+IF($C111&lt;&gt;0,SUMPRODUCT((I$107:I$108)*TRANSPOSE(($D111:$E111))),0)</f>
        <v>0</v>
      </c>
      <c r="J111" s="30" cm="1">
        <f t="array" ref="J111">J$106+IF($C111&lt;&gt;0,SUMPRODUCT((J$107:J$108)*TRANSPOSE(($D111:$E111))),0)</f>
        <v>-60131.677545306578</v>
      </c>
      <c r="K111" s="30" cm="1">
        <f t="array" ref="K111">K$106+IF($C111&lt;&gt;0,SUMPRODUCT((K$107:K$108)*TRANSPOSE(($D111:$E111))),0)</f>
        <v>-57427.656604714008</v>
      </c>
      <c r="L111" s="30" cm="1">
        <f t="array" ref="L111">L$106+IF($C111&lt;&gt;0,SUMPRODUCT((L$107:L$108)*TRANSPOSE(($D111:$E111))),0)</f>
        <v>-55075.271600200183</v>
      </c>
      <c r="M111" s="30" cm="1">
        <f t="array" ref="M111">M$106+IF($C111&lt;&gt;0,SUMPRODUCT((M$107:M$108)*TRANSPOSE(($D111:$E111))),0)</f>
        <v>-52596.649303370577</v>
      </c>
      <c r="N111" s="30" cm="1">
        <f t="array" ref="N111">N$106+IF($C111&lt;&gt;0,SUMPRODUCT((N$107:N$108)*TRANSPOSE(($D111:$E111))),0)</f>
        <v>-49502.732475894605</v>
      </c>
      <c r="O111" s="30" cm="1">
        <f t="array" ref="O111">O$106+IF($C111&lt;&gt;0,SUMPRODUCT((O$107:O$108)*TRANSPOSE(($D111:$E111))),0)</f>
        <v>-45133.000200685376</v>
      </c>
      <c r="P111" s="30" cm="1">
        <f t="array" ref="P111">P$106+IF($C111&lt;&gt;0,SUMPRODUCT((P$107:P$108)*TRANSPOSE(($D111:$E111))),0)</f>
        <v>-39440.644312772682</v>
      </c>
      <c r="Q111" s="30" cm="1">
        <f t="array" ref="Q111">Q$106+IF($C111&lt;&gt;0,SUMPRODUCT((Q$107:Q$108)*TRANSPOSE(($D111:$E111))),0)</f>
        <v>-33346.147255249161</v>
      </c>
      <c r="R111" s="30" cm="1">
        <f t="array" ref="R111">R$106+IF($C111&lt;&gt;0,SUMPRODUCT((R$107:R$108)*TRANSPOSE(($D111:$E111))),0)</f>
        <v>-25326.97711167335</v>
      </c>
      <c r="S111" s="30" cm="1">
        <f t="array" ref="S111">S$106+IF($C111&lt;&gt;0,SUMPRODUCT((S$107:S$108)*TRANSPOSE(($D111:$E111))),0)</f>
        <v>-14827.322598907911</v>
      </c>
      <c r="T111" s="30" cm="1">
        <f t="array" ref="T111">T$106+IF($C111&lt;&gt;0,SUMPRODUCT((T$107:T$108)*TRANSPOSE(($D111:$E111))),0)</f>
        <v>-1085.0351630234982</v>
      </c>
      <c r="U111" s="30" cm="1">
        <f t="array" ref="U111">U$106+IF($C111&lt;&gt;0,SUMPRODUCT((U$107:U$108)*TRANSPOSE(($D111:$E111))),0)</f>
        <v>16947.054953690076</v>
      </c>
      <c r="V111" s="30" cm="1">
        <f t="array" ref="V111">V$106+IF($C111&lt;&gt;0,SUMPRODUCT((V$107:V$108)*TRANSPOSE(($D111:$E111))),0)</f>
        <v>40761.484802393024</v>
      </c>
      <c r="W111" s="30" cm="1">
        <f t="array" ref="W111">W$106+IF($C111&lt;&gt;0,SUMPRODUCT((W$107:W$108)*TRANSPOSE(($D111:$E111))),0)</f>
        <v>72348.209508727174</v>
      </c>
      <c r="X111" s="30" cm="1">
        <f t="array" ref="X111">X$106+IF($C111&lt;&gt;0,SUMPRODUCT((X$107:X$108)*TRANSPOSE(($D111:$E111))),0)</f>
        <v>114429.16012563348</v>
      </c>
      <c r="Y111" s="30" cm="1">
        <f t="array" ref="Y111">Y$106+IF($C111&lt;&gt;0,SUMPRODUCT((Y$107:Y$108)*TRANSPOSE(($D111:$E111))),0)</f>
        <v>158439.82124925754</v>
      </c>
      <c r="Z111" s="30" cm="1">
        <f t="array" ref="Z111">Z$106+IF($C111&lt;&gt;0,SUMPRODUCT((Z$107:Z$108)*TRANSPOSE(($D111:$E111))),0)</f>
        <v>193527.89961211511</v>
      </c>
      <c r="AA111" s="30" cm="1">
        <f t="array" ref="AA111">AA$106+IF($C111&lt;&gt;0,SUMPRODUCT((AA$107:AA$108)*TRANSPOSE(($D111:$E111))),0)</f>
        <v>172460.20249665639</v>
      </c>
      <c r="AB111" s="30" cm="1">
        <f t="array" ref="AB111">AB$106+IF($C111&lt;&gt;0,SUMPRODUCT((AB$107:AB$108)*TRANSPOSE(($D111:$E111))),0)</f>
        <v>127323.94913357928</v>
      </c>
      <c r="AC111" s="30" cm="1">
        <f t="array" ref="AC111">AC$106+IF($C111&lt;&gt;0,SUMPRODUCT((AC$107:AC$108)*TRANSPOSE(($D111:$E111))),0)</f>
        <v>128802.86627206604</v>
      </c>
      <c r="AD111" s="30" cm="1">
        <f t="array" ref="AD111">AD$106+IF($C111&lt;&gt;0,SUMPRODUCT((AD$107:AD$108)*TRANSPOSE(($D111:$E111))),0)</f>
        <v>105200.90367600236</v>
      </c>
      <c r="AE111" s="30" cm="1">
        <f t="array" ref="AE111">AE$106+IF($C111&lt;&gt;0,SUMPRODUCT((AE$107:AE$108)*TRANSPOSE(($D111:$E111))),0)</f>
        <v>76372.609569706328</v>
      </c>
      <c r="AF111" s="30" cm="1">
        <f t="array" ref="AF111">AF$106+IF($C111&lt;&gt;0,SUMPRODUCT((AF$107:AF$108)*TRANSPOSE(($D111:$E111))),0)</f>
        <v>75485.961556235343</v>
      </c>
      <c r="AG111" s="30" cm="1">
        <f t="array" ref="AG111">AG$106+IF($C111&lt;&gt;0,SUMPRODUCT((AG$107:AG$108)*TRANSPOSE(($D111:$E111))),0)</f>
        <v>74206.784912389368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7" t="str">
        <f t="shared" si="20"/>
        <v>Option 3sens3</v>
      </c>
      <c r="I112" s="30" cm="1">
        <f t="array" ref="I112">I$106+IF($C112&lt;&gt;0,SUMPRODUCT((I$107:I$108)*TRANSPOSE(($D112:$E112))),0)</f>
        <v>0</v>
      </c>
      <c r="J112" s="30" cm="1">
        <f t="array" ref="J112">J$106+IF($C112&lt;&gt;0,SUMPRODUCT((J$107:J$108)*TRANSPOSE(($D112:$E112))),0)</f>
        <v>-68020.728520765348</v>
      </c>
      <c r="K112" s="30" cm="1">
        <f t="array" ref="K112">K$106+IF($C112&lt;&gt;0,SUMPRODUCT((K$107:K$108)*TRANSPOSE(($D112:$E112))),0)</f>
        <v>-65046.305486113524</v>
      </c>
      <c r="L112" s="30" cm="1">
        <f t="array" ref="L112">L$106+IF($C112&lt;&gt;0,SUMPRODUCT((L$107:L$108)*TRANSPOSE(($D112:$E112))),0)</f>
        <v>-62458.681981148315</v>
      </c>
      <c r="M112" s="30" cm="1">
        <f t="array" ref="M112">M$106+IF($C112&lt;&gt;0,SUMPRODUCT((M$107:M$108)*TRANSPOSE(($D112:$E112))),0)</f>
        <v>-59732.197454635752</v>
      </c>
      <c r="N112" s="30" cm="1">
        <f t="array" ref="N112">N$106+IF($C112&lt;&gt;0,SUMPRODUCT((N$107:N$108)*TRANSPOSE(($D112:$E112))),0)</f>
        <v>-56328.888944412181</v>
      </c>
      <c r="O112" s="30" cm="1">
        <f t="array" ref="O112">O$106+IF($C112&lt;&gt;0,SUMPRODUCT((O$107:O$108)*TRANSPOSE(($D112:$E112))),0)</f>
        <v>-51522.183441682027</v>
      </c>
      <c r="P112" s="30" cm="1">
        <f t="array" ref="P112">P$106+IF($C112&lt;&gt;0,SUMPRODUCT((P$107:P$108)*TRANSPOSE(($D112:$E112))),0)</f>
        <v>-45260.591964978063</v>
      </c>
      <c r="Q112" s="30" cm="1">
        <f t="array" ref="Q112">Q$106+IF($C112&lt;&gt;0,SUMPRODUCT((Q$107:Q$108)*TRANSPOSE(($D112:$E112))),0)</f>
        <v>-38556.645201702195</v>
      </c>
      <c r="R112" s="30" cm="1">
        <f t="array" ref="R112">R$106+IF($C112&lt;&gt;0,SUMPRODUCT((R$107:R$108)*TRANSPOSE(($D112:$E112))),0)</f>
        <v>-29735.558043768797</v>
      </c>
      <c r="S112" s="30" cm="1">
        <f t="array" ref="S112">S$106+IF($C112&lt;&gt;0,SUMPRODUCT((S$107:S$108)*TRANSPOSE(($D112:$E112))),0)</f>
        <v>-18185.93807972681</v>
      </c>
      <c r="T112" s="30" cm="1">
        <f t="array" ref="T112">T$106+IF($C112&lt;&gt;0,SUMPRODUCT((T$107:T$108)*TRANSPOSE(($D112:$E112))),0)</f>
        <v>-3069.4219002539576</v>
      </c>
      <c r="U112" s="30" cm="1">
        <f t="array" ref="U112">U$106+IF($C112&lt;&gt;0,SUMPRODUCT((U$107:U$108)*TRANSPOSE(($D112:$E112))),0)</f>
        <v>16765.877228130976</v>
      </c>
      <c r="V112" s="30" cm="1">
        <f t="array" ref="V112">V$106+IF($C112&lt;&gt;0,SUMPRODUCT((V$107:V$108)*TRANSPOSE(($D112:$E112))),0)</f>
        <v>42961.75006170421</v>
      </c>
      <c r="W112" s="30" cm="1">
        <f t="array" ref="W112">W$106+IF($C112&lt;&gt;0,SUMPRODUCT((W$107:W$108)*TRANSPOSE(($D112:$E112))),0)</f>
        <v>77707.14723867178</v>
      </c>
      <c r="X112" s="30" cm="1">
        <f t="array" ref="X112">X$106+IF($C112&lt;&gt;0,SUMPRODUCT((X$107:X$108)*TRANSPOSE(($D112:$E112))),0)</f>
        <v>123996.19291726872</v>
      </c>
      <c r="Y112" s="30" cm="1">
        <f t="array" ref="Y112">Y$106+IF($C112&lt;&gt;0,SUMPRODUCT((Y$107:Y$108)*TRANSPOSE(($D112:$E112))),0)</f>
        <v>172407.9201532552</v>
      </c>
      <c r="Z112" s="30" cm="1">
        <f t="array" ref="Z112">Z$106+IF($C112&lt;&gt;0,SUMPRODUCT((Z$107:Z$108)*TRANSPOSE(($D112:$E112))),0)</f>
        <v>211004.80635239853</v>
      </c>
      <c r="AA112" s="30" cm="1">
        <f t="array" ref="AA112">AA$106+IF($C112&lt;&gt;0,SUMPRODUCT((AA$107:AA$108)*TRANSPOSE(($D112:$E112))),0)</f>
        <v>187830.33952539394</v>
      </c>
      <c r="AB112" s="30" cm="1">
        <f t="array" ref="AB112">AB$106+IF($C112&lt;&gt;0,SUMPRODUCT((AB$107:AB$108)*TRANSPOSE(($D112:$E112))),0)</f>
        <v>138180.4608260091</v>
      </c>
      <c r="AC112" s="30" cm="1">
        <f t="array" ref="AC112">AC$106+IF($C112&lt;&gt;0,SUMPRODUCT((AC$107:AC$108)*TRANSPOSE(($D112:$E112))),0)</f>
        <v>139807.26967834454</v>
      </c>
      <c r="AD112" s="30" cm="1">
        <f t="array" ref="AD112">AD$106+IF($C112&lt;&gt;0,SUMPRODUCT((AD$107:AD$108)*TRANSPOSE(($D112:$E112))),0)</f>
        <v>113845.11082267448</v>
      </c>
      <c r="AE112" s="30" cm="1">
        <f t="array" ref="AE112">AE$106+IF($C112&lt;&gt;0,SUMPRODUCT((AE$107:AE$108)*TRANSPOSE(($D112:$E112))),0)</f>
        <v>82133.987305748844</v>
      </c>
      <c r="AF112" s="30" cm="1">
        <f t="array" ref="AF112">AF$106+IF($C112&lt;&gt;0,SUMPRODUCT((AF$107:AF$108)*TRANSPOSE(($D112:$E112))),0)</f>
        <v>81158.67449093076</v>
      </c>
      <c r="AG112" s="30" cm="1">
        <f t="array" ref="AG112">AG$106+IF($C112&lt;&gt;0,SUMPRODUCT((AG$107:AG$108)*TRANSPOSE(($D112:$E112))),0)</f>
        <v>79751.580182700185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7" t="str">
        <f t="shared" si="20"/>
        <v>Option 3sens4</v>
      </c>
      <c r="I113" s="30" cm="1">
        <f t="array" ref="I113">I$106+IF($C113&lt;&gt;0,SUMPRODUCT((I$107:I$108)*TRANSPOSE(($D113:$E113))),0)</f>
        <v>0</v>
      </c>
      <c r="J113" s="30" cm="1">
        <f t="array" ref="J113">J$106+IF($C113&lt;&gt;0,SUMPRODUCT((J$107:J$108)*TRANSPOSE(($D113:$E113))),0)</f>
        <v>-89760.290988410037</v>
      </c>
      <c r="K113" s="30" cm="1">
        <f t="array" ref="K113">K$106+IF($C113&lt;&gt;0,SUMPRODUCT((K$107:K$108)*TRANSPOSE(($D113:$E113))),0)</f>
        <v>-87326.672141876727</v>
      </c>
      <c r="L113" s="30" cm="1">
        <f t="array" ref="L113">L$106+IF($C113&lt;&gt;0,SUMPRODUCT((L$107:L$108)*TRANSPOSE(($D113:$E113))),0)</f>
        <v>-85209.52563781428</v>
      </c>
      <c r="M113" s="30" cm="1">
        <f t="array" ref="M113">M$106+IF($C113&lt;&gt;0,SUMPRODUCT((M$107:M$108)*TRANSPOSE(($D113:$E113))),0)</f>
        <v>-82978.765570667631</v>
      </c>
      <c r="N113" s="30" cm="1">
        <f t="array" ref="N113">N$106+IF($C113&lt;&gt;0,SUMPRODUCT((N$107:N$108)*TRANSPOSE(($D113:$E113))),0)</f>
        <v>-80194.240425939264</v>
      </c>
      <c r="O113" s="30" cm="1">
        <f t="array" ref="O113">O$106+IF($C113&lt;&gt;0,SUMPRODUCT((O$107:O$108)*TRANSPOSE(($D113:$E113))),0)</f>
        <v>-76261.481378250959</v>
      </c>
      <c r="P113" s="30" cm="1">
        <f t="array" ref="P113">P$106+IF($C113&lt;&gt;0,SUMPRODUCT((P$107:P$108)*TRANSPOSE(($D113:$E113))),0)</f>
        <v>-71138.361079129536</v>
      </c>
      <c r="Q113" s="30" cm="1">
        <f t="array" ref="Q113">Q$106+IF($C113&lt;&gt;0,SUMPRODUCT((Q$107:Q$108)*TRANSPOSE(($D113:$E113))),0)</f>
        <v>-65653.313727358356</v>
      </c>
      <c r="R113" s="30" cm="1">
        <f t="array" ref="R113">R$106+IF($C113&lt;&gt;0,SUMPRODUCT((R$107:R$108)*TRANSPOSE(($D113:$E113))),0)</f>
        <v>-58436.060598140124</v>
      </c>
      <c r="S113" s="30" cm="1">
        <f t="array" ref="S113">S$106+IF($C113&lt;&gt;0,SUMPRODUCT((S$107:S$108)*TRANSPOSE(($D113:$E113))),0)</f>
        <v>-48986.371536651233</v>
      </c>
      <c r="T113" s="30" cm="1">
        <f t="array" ref="T113">T$106+IF($C113&lt;&gt;0,SUMPRODUCT((T$107:T$108)*TRANSPOSE(($D113:$E113))),0)</f>
        <v>-36618.312844355256</v>
      </c>
      <c r="U113" s="30" cm="1">
        <f t="array" ref="U113">U$106+IF($C113&lt;&gt;0,SUMPRODUCT((U$107:U$108)*TRANSPOSE(($D113:$E113))),0)</f>
        <v>-20389.431739313044</v>
      </c>
      <c r="V113" s="30" cm="1">
        <f t="array" ref="V113">V$106+IF($C113&lt;&gt;0,SUMPRODUCT((V$107:V$108)*TRANSPOSE(($D113:$E113))),0)</f>
        <v>1043.5551245196075</v>
      </c>
      <c r="W113" s="30" cm="1">
        <f t="array" ref="W113">W$106+IF($C113&lt;&gt;0,SUMPRODUCT((W$107:W$108)*TRANSPOSE(($D113:$E113))),0)</f>
        <v>29471.60736022034</v>
      </c>
      <c r="X113" s="30" cm="1">
        <f t="array" ref="X113">X$106+IF($C113&lt;&gt;0,SUMPRODUCT((X$107:X$108)*TRANSPOSE(($D113:$E113))),0)</f>
        <v>67344.462915436015</v>
      </c>
      <c r="Y113" s="30" cm="1">
        <f t="array" ref="Y113">Y$106+IF($C113&lt;&gt;0,SUMPRODUCT((Y$107:Y$108)*TRANSPOSE(($D113:$E113))),0)</f>
        <v>106954.05792669769</v>
      </c>
      <c r="Z113" s="30" cm="1">
        <f t="array" ref="Z113">Z$106+IF($C113&lt;&gt;0,SUMPRODUCT((Z$107:Z$108)*TRANSPOSE(($D113:$E113))),0)</f>
        <v>138533.3284532695</v>
      </c>
      <c r="AA113" s="30" cm="1">
        <f t="array" ref="AA113">AA$106+IF($C113&lt;&gt;0,SUMPRODUCT((AA$107:AA$108)*TRANSPOSE(($D113:$E113))),0)</f>
        <v>119572.40104935665</v>
      </c>
      <c r="AB113" s="30" cm="1">
        <f t="array" ref="AB113">AB$106+IF($C113&lt;&gt;0,SUMPRODUCT((AB$107:AB$108)*TRANSPOSE(($D113:$E113))),0)</f>
        <v>78949.773022587236</v>
      </c>
      <c r="AC113" s="30" cm="1">
        <f t="array" ref="AC113">AC$106+IF($C113&lt;&gt;0,SUMPRODUCT((AC$107:AC$108)*TRANSPOSE(($D113:$E113))),0)</f>
        <v>80280.798447225316</v>
      </c>
      <c r="AD113" s="30" cm="1">
        <f t="array" ref="AD113">AD$106+IF($C113&lt;&gt;0,SUMPRODUCT((AD$107:AD$108)*TRANSPOSE(($D113:$E113))),0)</f>
        <v>59039.032110768007</v>
      </c>
      <c r="AE113" s="30" cm="1">
        <f t="array" ref="AE113">AE$106+IF($C113&lt;&gt;0,SUMPRODUCT((AE$107:AE$108)*TRANSPOSE(($D113:$E113))),0)</f>
        <v>33093.567415101585</v>
      </c>
      <c r="AF113" s="30" cm="1">
        <f t="array" ref="AF113">AF$106+IF($C113&lt;&gt;0,SUMPRODUCT((AF$107:AF$108)*TRANSPOSE(($D113:$E113))),0)</f>
        <v>32295.584202977694</v>
      </c>
      <c r="AG113" s="30" cm="1">
        <f t="array" ref="AG113">AG$106+IF($C113&lt;&gt;0,SUMPRODUCT((AG$107:AG$108)*TRANSPOSE(($D113:$E113))),0)</f>
        <v>31144.325223516316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7" t="str">
        <f t="shared" si="20"/>
        <v>Option 3sens5</v>
      </c>
      <c r="I114" s="30" cm="1">
        <f t="array" ref="I114">I$106+IF($C114&lt;&gt;0,SUMPRODUCT((I$107:I$108)*TRANSPOSE(($D114:$E114))),0)</f>
        <v>0</v>
      </c>
      <c r="J114" s="30" cm="1">
        <f t="array" ref="J114">J$106+IF($C114&lt;&gt;0,SUMPRODUCT((J$107:J$108)*TRANSPOSE(($D114:$E114))),0)</f>
        <v>-108519.12319769114</v>
      </c>
      <c r="K114" s="30" cm="1">
        <f t="array" ref="K114">K$106+IF($C114&lt;&gt;0,SUMPRODUCT((K$107:K$108)*TRANSPOSE(($D114:$E114))),0)</f>
        <v>-106085.50435115784</v>
      </c>
      <c r="L114" s="30" cm="1">
        <f t="array" ref="L114">L$106+IF($C114&lt;&gt;0,SUMPRODUCT((L$107:L$108)*TRANSPOSE(($D114:$E114))),0)</f>
        <v>-103968.35784709539</v>
      </c>
      <c r="M114" s="30" cm="1">
        <f t="array" ref="M114">M$106+IF($C114&lt;&gt;0,SUMPRODUCT((M$107:M$108)*TRANSPOSE(($D114:$E114))),0)</f>
        <v>-101737.59777994874</v>
      </c>
      <c r="N114" s="30" cm="1">
        <f t="array" ref="N114">N$106+IF($C114&lt;&gt;0,SUMPRODUCT((N$107:N$108)*TRANSPOSE(($D114:$E114))),0)</f>
        <v>-98953.072635220364</v>
      </c>
      <c r="O114" s="30" cm="1">
        <f t="array" ref="O114">O$106+IF($C114&lt;&gt;0,SUMPRODUCT((O$107:O$108)*TRANSPOSE(($D114:$E114))),0)</f>
        <v>-95020.313587532059</v>
      </c>
      <c r="P114" s="30" cm="1">
        <f t="array" ref="P114">P$106+IF($C114&lt;&gt;0,SUMPRODUCT((P$107:P$108)*TRANSPOSE(($D114:$E114))),0)</f>
        <v>-89897.193288410635</v>
      </c>
      <c r="Q114" s="30" cm="1">
        <f t="array" ref="Q114">Q$106+IF($C114&lt;&gt;0,SUMPRODUCT((Q$107:Q$108)*TRANSPOSE(($D114:$E114))),0)</f>
        <v>-84412.14593663947</v>
      </c>
      <c r="R114" s="30" cm="1">
        <f t="array" ref="R114">R$106+IF($C114&lt;&gt;0,SUMPRODUCT((R$107:R$108)*TRANSPOSE(($D114:$E114))),0)</f>
        <v>-77194.892807421245</v>
      </c>
      <c r="S114" s="30" cm="1">
        <f t="array" ref="S114">S$106+IF($C114&lt;&gt;0,SUMPRODUCT((S$107:S$108)*TRANSPOSE(($D114:$E114))),0)</f>
        <v>-67745.203745932347</v>
      </c>
      <c r="T114" s="30" cm="1">
        <f t="array" ref="T114">T$106+IF($C114&lt;&gt;0,SUMPRODUCT((T$107:T$108)*TRANSPOSE(($D114:$E114))),0)</f>
        <v>-55377.14505363637</v>
      </c>
      <c r="U114" s="30" cm="1">
        <f t="array" ref="U114">U$106+IF($C114&lt;&gt;0,SUMPRODUCT((U$107:U$108)*TRANSPOSE(($D114:$E114))),0)</f>
        <v>-39148.263948594154</v>
      </c>
      <c r="V114" s="30" cm="1">
        <f t="array" ref="V114">V$106+IF($C114&lt;&gt;0,SUMPRODUCT((V$107:V$108)*TRANSPOSE(($D114:$E114))),0)</f>
        <v>-17715.277084761503</v>
      </c>
      <c r="W114" s="30" cm="1">
        <f t="array" ref="W114">W$106+IF($C114&lt;&gt;0,SUMPRODUCT((W$107:W$108)*TRANSPOSE(($D114:$E114))),0)</f>
        <v>10712.775150939226</v>
      </c>
      <c r="X114" s="30" cm="1">
        <f t="array" ref="X114">X$106+IF($C114&lt;&gt;0,SUMPRODUCT((X$107:X$108)*TRANSPOSE(($D114:$E114))),0)</f>
        <v>48585.630706154909</v>
      </c>
      <c r="Y114" s="30" cm="1">
        <f t="array" ref="Y114">Y$106+IF($C114&lt;&gt;0,SUMPRODUCT((Y$107:Y$108)*TRANSPOSE(($D114:$E114))),0)</f>
        <v>88195.225717416572</v>
      </c>
      <c r="Z114" s="30" cm="1">
        <f t="array" ref="Z114">Z$106+IF($C114&lt;&gt;0,SUMPRODUCT((Z$107:Z$108)*TRANSPOSE(($D114:$E114))),0)</f>
        <v>119774.4962439884</v>
      </c>
      <c r="AA114" s="30" cm="1">
        <f t="array" ref="AA114">AA$106+IF($C114&lt;&gt;0,SUMPRODUCT((AA$107:AA$108)*TRANSPOSE(($D114:$E114))),0)</f>
        <v>100813.56884007555</v>
      </c>
      <c r="AB114" s="30" cm="1">
        <f t="array" ref="AB114">AB$106+IF($C114&lt;&gt;0,SUMPRODUCT((AB$107:AB$108)*TRANSPOSE(($D114:$E114))),0)</f>
        <v>60190.94081330613</v>
      </c>
      <c r="AC114" s="30" cm="1">
        <f t="array" ref="AC114">AC$106+IF($C114&lt;&gt;0,SUMPRODUCT((AC$107:AC$108)*TRANSPOSE(($D114:$E114))),0)</f>
        <v>61521.966237944202</v>
      </c>
      <c r="AD114" s="30" cm="1">
        <f t="array" ref="AD114">AD$106+IF($C114&lt;&gt;0,SUMPRODUCT((AD$107:AD$108)*TRANSPOSE(($D114:$E114))),0)</f>
        <v>40280.199901486892</v>
      </c>
      <c r="AE114" s="30" cm="1">
        <f t="array" ref="AE114">AE$106+IF($C114&lt;&gt;0,SUMPRODUCT((AE$107:AE$108)*TRANSPOSE(($D114:$E114))),0)</f>
        <v>14334.735205820471</v>
      </c>
      <c r="AF114" s="30" cm="1">
        <f t="array" ref="AF114">AF$106+IF($C114&lt;&gt;0,SUMPRODUCT((AF$107:AF$108)*TRANSPOSE(($D114:$E114))),0)</f>
        <v>13536.751993696584</v>
      </c>
      <c r="AG114" s="30" cm="1">
        <f t="array" ref="AG114">AG$106+IF($C114&lt;&gt;0,SUMPRODUCT((AG$107:AG$108)*TRANSPOSE(($D114:$E114))),0)</f>
        <v>12385.49301423521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7" t="str">
        <f t="shared" si="20"/>
        <v>Option 3sens</v>
      </c>
      <c r="I115" s="30" cm="1">
        <f t="array" ref="I115">I$106+IF($C115&lt;&gt;0,SUMPRODUCT((I$107:I$108)*TRANSPOSE(($D115:$E115))),0)</f>
        <v>0</v>
      </c>
      <c r="J115" s="30" cm="1">
        <f t="array" ref="J115">J$106+IF($C115&lt;&gt;0,SUMPRODUCT((J$107:J$108)*TRANSPOSE(($D115:$E115))),0)</f>
        <v>-78890.509754587692</v>
      </c>
      <c r="K115" s="30" cm="1">
        <f t="array" ref="K115">K$106+IF($C115&lt;&gt;0,SUMPRODUCT((K$107:K$108)*TRANSPOSE(($D115:$E115))),0)</f>
        <v>-76186.488813995122</v>
      </c>
      <c r="L115" s="30" cm="1">
        <f t="array" ref="L115">L$106+IF($C115&lt;&gt;0,SUMPRODUCT((L$107:L$108)*TRANSPOSE(($D115:$E115))),0)</f>
        <v>-73834.103809481298</v>
      </c>
      <c r="M115" s="30" cm="1">
        <f t="array" ref="M115">M$106+IF($C115&lt;&gt;0,SUMPRODUCT((M$107:M$108)*TRANSPOSE(($D115:$E115))),0)</f>
        <v>-71355.481512651691</v>
      </c>
      <c r="N115" s="30" cm="1">
        <f t="array" ref="N115">N$106+IF($C115&lt;&gt;0,SUMPRODUCT((N$107:N$108)*TRANSPOSE(($D115:$E115))),0)</f>
        <v>-68261.564685175719</v>
      </c>
      <c r="O115" s="30" cm="1">
        <f t="array" ref="O115">O$106+IF($C115&lt;&gt;0,SUMPRODUCT((O$107:O$108)*TRANSPOSE(($D115:$E115))),0)</f>
        <v>-63891.83240996649</v>
      </c>
      <c r="P115" s="30" cm="1">
        <f t="array" ref="P115">P$106+IF($C115&lt;&gt;0,SUMPRODUCT((P$107:P$108)*TRANSPOSE(($D115:$E115))),0)</f>
        <v>-58199.476522053796</v>
      </c>
      <c r="Q115" s="30" cm="1">
        <f t="array" ref="Q115">Q$106+IF($C115&lt;&gt;0,SUMPRODUCT((Q$107:Q$108)*TRANSPOSE(($D115:$E115))),0)</f>
        <v>-52104.979464530275</v>
      </c>
      <c r="R115" s="30" cm="1">
        <f t="array" ref="R115">R$106+IF($C115&lt;&gt;0,SUMPRODUCT((R$107:R$108)*TRANSPOSE(($D115:$E115))),0)</f>
        <v>-44085.80932095446</v>
      </c>
      <c r="S115" s="30" cm="1">
        <f t="array" ref="S115">S$106+IF($C115&lt;&gt;0,SUMPRODUCT((S$107:S$108)*TRANSPOSE(($D115:$E115))),0)</f>
        <v>-33586.154808189021</v>
      </c>
      <c r="T115" s="30" cm="1">
        <f t="array" ref="T115">T$106+IF($C115&lt;&gt;0,SUMPRODUCT((T$107:T$108)*TRANSPOSE(($D115:$E115))),0)</f>
        <v>-19843.867372304609</v>
      </c>
      <c r="U115" s="30" cm="1">
        <f t="array" ref="U115">U$106+IF($C115&lt;&gt;0,SUMPRODUCT((U$107:U$108)*TRANSPOSE(($D115:$E115))),0)</f>
        <v>-1811.7772555910342</v>
      </c>
      <c r="V115" s="30" cm="1">
        <f t="array" ref="V115">V$106+IF($C115&lt;&gt;0,SUMPRODUCT((V$107:V$108)*TRANSPOSE(($D115:$E115))),0)</f>
        <v>22002.65259311191</v>
      </c>
      <c r="W115" s="30" cm="1">
        <f t="array" ref="W115">W$106+IF($C115&lt;&gt;0,SUMPRODUCT((W$107:W$108)*TRANSPOSE(($D115:$E115))),0)</f>
        <v>53589.37729944606</v>
      </c>
      <c r="X115" s="30" cm="1">
        <f t="array" ref="X115">X$106+IF($C115&lt;&gt;0,SUMPRODUCT((X$107:X$108)*TRANSPOSE(($D115:$E115))),0)</f>
        <v>95670.327916352369</v>
      </c>
      <c r="Y115" s="30" cm="1">
        <f t="array" ref="Y115">Y$106+IF($C115&lt;&gt;0,SUMPRODUCT((Y$107:Y$108)*TRANSPOSE(($D115:$E115))),0)</f>
        <v>139680.98903997644</v>
      </c>
      <c r="Z115" s="30" cm="1">
        <f t="array" ref="Z115">Z$106+IF($C115&lt;&gt;0,SUMPRODUCT((Z$107:Z$108)*TRANSPOSE(($D115:$E115))),0)</f>
        <v>174769.06740283401</v>
      </c>
      <c r="AA115" s="30" cm="1">
        <f t="array" ref="AA115">AA$106+IF($C115&lt;&gt;0,SUMPRODUCT((AA$107:AA$108)*TRANSPOSE(($D115:$E115))),0)</f>
        <v>153701.37028737529</v>
      </c>
      <c r="AB115" s="30" cm="1">
        <f t="array" ref="AB115">AB$106+IF($C115&lt;&gt;0,SUMPRODUCT((AB$107:AB$108)*TRANSPOSE(($D115:$E115))),0)</f>
        <v>108565.11692429817</v>
      </c>
      <c r="AC115" s="30" cm="1">
        <f t="array" ref="AC115">AC$106+IF($C115&lt;&gt;0,SUMPRODUCT((AC$107:AC$108)*TRANSPOSE(($D115:$E115))),0)</f>
        <v>110044.03406278492</v>
      </c>
      <c r="AD115" s="30" cm="1">
        <f t="array" ref="AD115">AD$106+IF($C115&lt;&gt;0,SUMPRODUCT((AD$107:AD$108)*TRANSPOSE(($D115:$E115))),0)</f>
        <v>86442.071466721245</v>
      </c>
      <c r="AE115" s="30" cm="1">
        <f t="array" ref="AE115">AE$106+IF($C115&lt;&gt;0,SUMPRODUCT((AE$107:AE$108)*TRANSPOSE(($D115:$E115))),0)</f>
        <v>57613.777360425214</v>
      </c>
      <c r="AF115" s="30" cm="1">
        <f t="array" ref="AF115">AF$106+IF($C115&lt;&gt;0,SUMPRODUCT((AF$107:AF$108)*TRANSPOSE(($D115:$E115))),0)</f>
        <v>56727.129346954229</v>
      </c>
      <c r="AG115" s="30" cm="1">
        <f t="array" ref="AG115">AG$106+IF($C115&lt;&gt;0,SUMPRODUCT((AG$107:AG$108)*TRANSPOSE(($D115:$E115))),0)</f>
        <v>55447.952703108254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7" t="str">
        <f t="shared" si="20"/>
        <v>Option 3sens</v>
      </c>
      <c r="I116" s="30" cm="1">
        <f t="array" ref="I116">I$106+IF($C116&lt;&gt;0,SUMPRODUCT((I$107:I$108)*TRANSPOSE(($D116:$E116))),0)</f>
        <v>0</v>
      </c>
      <c r="J116" s="30" cm="1">
        <f t="array" ref="J116">J$106+IF($C116&lt;&gt;0,SUMPRODUCT((J$107:J$108)*TRANSPOSE(($D116:$E116))),0)</f>
        <v>-78890.509754587692</v>
      </c>
      <c r="K116" s="30" cm="1">
        <f t="array" ref="K116">K$106+IF($C116&lt;&gt;0,SUMPRODUCT((K$107:K$108)*TRANSPOSE(($D116:$E116))),0)</f>
        <v>-76186.488813995122</v>
      </c>
      <c r="L116" s="30" cm="1">
        <f t="array" ref="L116">L$106+IF($C116&lt;&gt;0,SUMPRODUCT((L$107:L$108)*TRANSPOSE(($D116:$E116))),0)</f>
        <v>-73834.103809481298</v>
      </c>
      <c r="M116" s="30" cm="1">
        <f t="array" ref="M116">M$106+IF($C116&lt;&gt;0,SUMPRODUCT((M$107:M$108)*TRANSPOSE(($D116:$E116))),0)</f>
        <v>-71355.481512651691</v>
      </c>
      <c r="N116" s="30" cm="1">
        <f t="array" ref="N116">N$106+IF($C116&lt;&gt;0,SUMPRODUCT((N$107:N$108)*TRANSPOSE(($D116:$E116))),0)</f>
        <v>-68261.564685175719</v>
      </c>
      <c r="O116" s="30" cm="1">
        <f t="array" ref="O116">O$106+IF($C116&lt;&gt;0,SUMPRODUCT((O$107:O$108)*TRANSPOSE(($D116:$E116))),0)</f>
        <v>-63891.83240996649</v>
      </c>
      <c r="P116" s="30" cm="1">
        <f t="array" ref="P116">P$106+IF($C116&lt;&gt;0,SUMPRODUCT((P$107:P$108)*TRANSPOSE(($D116:$E116))),0)</f>
        <v>-58199.476522053796</v>
      </c>
      <c r="Q116" s="30" cm="1">
        <f t="array" ref="Q116">Q$106+IF($C116&lt;&gt;0,SUMPRODUCT((Q$107:Q$108)*TRANSPOSE(($D116:$E116))),0)</f>
        <v>-52104.979464530275</v>
      </c>
      <c r="R116" s="30" cm="1">
        <f t="array" ref="R116">R$106+IF($C116&lt;&gt;0,SUMPRODUCT((R$107:R$108)*TRANSPOSE(($D116:$E116))),0)</f>
        <v>-44085.80932095446</v>
      </c>
      <c r="S116" s="30" cm="1">
        <f t="array" ref="S116">S$106+IF($C116&lt;&gt;0,SUMPRODUCT((S$107:S$108)*TRANSPOSE(($D116:$E116))),0)</f>
        <v>-33586.154808189021</v>
      </c>
      <c r="T116" s="30" cm="1">
        <f t="array" ref="T116">T$106+IF($C116&lt;&gt;0,SUMPRODUCT((T$107:T$108)*TRANSPOSE(($D116:$E116))),0)</f>
        <v>-19843.867372304609</v>
      </c>
      <c r="U116" s="30" cm="1">
        <f t="array" ref="U116">U$106+IF($C116&lt;&gt;0,SUMPRODUCT((U$107:U$108)*TRANSPOSE(($D116:$E116))),0)</f>
        <v>-1811.7772555910342</v>
      </c>
      <c r="V116" s="30" cm="1">
        <f t="array" ref="V116">V$106+IF($C116&lt;&gt;0,SUMPRODUCT((V$107:V$108)*TRANSPOSE(($D116:$E116))),0)</f>
        <v>22002.65259311191</v>
      </c>
      <c r="W116" s="30" cm="1">
        <f t="array" ref="W116">W$106+IF($C116&lt;&gt;0,SUMPRODUCT((W$107:W$108)*TRANSPOSE(($D116:$E116))),0)</f>
        <v>53589.37729944606</v>
      </c>
      <c r="X116" s="30" cm="1">
        <f t="array" ref="X116">X$106+IF($C116&lt;&gt;0,SUMPRODUCT((X$107:X$108)*TRANSPOSE(($D116:$E116))),0)</f>
        <v>95670.327916352369</v>
      </c>
      <c r="Y116" s="30" cm="1">
        <f t="array" ref="Y116">Y$106+IF($C116&lt;&gt;0,SUMPRODUCT((Y$107:Y$108)*TRANSPOSE(($D116:$E116))),0)</f>
        <v>139680.98903997644</v>
      </c>
      <c r="Z116" s="30" cm="1">
        <f t="array" ref="Z116">Z$106+IF($C116&lt;&gt;0,SUMPRODUCT((Z$107:Z$108)*TRANSPOSE(($D116:$E116))),0)</f>
        <v>174769.06740283401</v>
      </c>
      <c r="AA116" s="30" cm="1">
        <f t="array" ref="AA116">AA$106+IF($C116&lt;&gt;0,SUMPRODUCT((AA$107:AA$108)*TRANSPOSE(($D116:$E116))),0)</f>
        <v>153701.37028737529</v>
      </c>
      <c r="AB116" s="30" cm="1">
        <f t="array" ref="AB116">AB$106+IF($C116&lt;&gt;0,SUMPRODUCT((AB$107:AB$108)*TRANSPOSE(($D116:$E116))),0)</f>
        <v>108565.11692429817</v>
      </c>
      <c r="AC116" s="30" cm="1">
        <f t="array" ref="AC116">AC$106+IF($C116&lt;&gt;0,SUMPRODUCT((AC$107:AC$108)*TRANSPOSE(($D116:$E116))),0)</f>
        <v>110044.03406278492</v>
      </c>
      <c r="AD116" s="30" cm="1">
        <f t="array" ref="AD116">AD$106+IF($C116&lt;&gt;0,SUMPRODUCT((AD$107:AD$108)*TRANSPOSE(($D116:$E116))),0)</f>
        <v>86442.071466721245</v>
      </c>
      <c r="AE116" s="30" cm="1">
        <f t="array" ref="AE116">AE$106+IF($C116&lt;&gt;0,SUMPRODUCT((AE$107:AE$108)*TRANSPOSE(($D116:$E116))),0)</f>
        <v>57613.777360425214</v>
      </c>
      <c r="AF116" s="30" cm="1">
        <f t="array" ref="AF116">AF$106+IF($C116&lt;&gt;0,SUMPRODUCT((AF$107:AF$108)*TRANSPOSE(($D116:$E116))),0)</f>
        <v>56727.129346954229</v>
      </c>
      <c r="AG116" s="30" cm="1">
        <f t="array" ref="AG116">AG$106+IF($C116&lt;&gt;0,SUMPRODUCT((AG$107:AG$108)*TRANSPOSE(($D116:$E116))),0)</f>
        <v>55447.952703108254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7" t="str">
        <f t="shared" si="20"/>
        <v>Option 3sens</v>
      </c>
      <c r="I117" s="30" cm="1">
        <f t="array" ref="I117">I$106+IF($C117&lt;&gt;0,SUMPRODUCT((I$107:I$108)*TRANSPOSE(($D117:$E117))),0)</f>
        <v>0</v>
      </c>
      <c r="J117" s="30" cm="1">
        <f t="array" ref="J117">J$106+IF($C117&lt;&gt;0,SUMPRODUCT((J$107:J$108)*TRANSPOSE(($D117:$E117))),0)</f>
        <v>-78890.509754587692</v>
      </c>
      <c r="K117" s="30" cm="1">
        <f t="array" ref="K117">K$106+IF($C117&lt;&gt;0,SUMPRODUCT((K$107:K$108)*TRANSPOSE(($D117:$E117))),0)</f>
        <v>-76186.488813995122</v>
      </c>
      <c r="L117" s="30" cm="1">
        <f t="array" ref="L117">L$106+IF($C117&lt;&gt;0,SUMPRODUCT((L$107:L$108)*TRANSPOSE(($D117:$E117))),0)</f>
        <v>-73834.103809481298</v>
      </c>
      <c r="M117" s="30" cm="1">
        <f t="array" ref="M117">M$106+IF($C117&lt;&gt;0,SUMPRODUCT((M$107:M$108)*TRANSPOSE(($D117:$E117))),0)</f>
        <v>-71355.481512651691</v>
      </c>
      <c r="N117" s="30" cm="1">
        <f t="array" ref="N117">N$106+IF($C117&lt;&gt;0,SUMPRODUCT((N$107:N$108)*TRANSPOSE(($D117:$E117))),0)</f>
        <v>-68261.564685175719</v>
      </c>
      <c r="O117" s="30" cm="1">
        <f t="array" ref="O117">O$106+IF($C117&lt;&gt;0,SUMPRODUCT((O$107:O$108)*TRANSPOSE(($D117:$E117))),0)</f>
        <v>-63891.83240996649</v>
      </c>
      <c r="P117" s="30" cm="1">
        <f t="array" ref="P117">P$106+IF($C117&lt;&gt;0,SUMPRODUCT((P$107:P$108)*TRANSPOSE(($D117:$E117))),0)</f>
        <v>-58199.476522053796</v>
      </c>
      <c r="Q117" s="30" cm="1">
        <f t="array" ref="Q117">Q$106+IF($C117&lt;&gt;0,SUMPRODUCT((Q$107:Q$108)*TRANSPOSE(($D117:$E117))),0)</f>
        <v>-52104.979464530275</v>
      </c>
      <c r="R117" s="30" cm="1">
        <f t="array" ref="R117">R$106+IF($C117&lt;&gt;0,SUMPRODUCT((R$107:R$108)*TRANSPOSE(($D117:$E117))),0)</f>
        <v>-44085.80932095446</v>
      </c>
      <c r="S117" s="30" cm="1">
        <f t="array" ref="S117">S$106+IF($C117&lt;&gt;0,SUMPRODUCT((S$107:S$108)*TRANSPOSE(($D117:$E117))),0)</f>
        <v>-33586.154808189021</v>
      </c>
      <c r="T117" s="30" cm="1">
        <f t="array" ref="T117">T$106+IF($C117&lt;&gt;0,SUMPRODUCT((T$107:T$108)*TRANSPOSE(($D117:$E117))),0)</f>
        <v>-19843.867372304609</v>
      </c>
      <c r="U117" s="30" cm="1">
        <f t="array" ref="U117">U$106+IF($C117&lt;&gt;0,SUMPRODUCT((U$107:U$108)*TRANSPOSE(($D117:$E117))),0)</f>
        <v>-1811.7772555910342</v>
      </c>
      <c r="V117" s="30" cm="1">
        <f t="array" ref="V117">V$106+IF($C117&lt;&gt;0,SUMPRODUCT((V$107:V$108)*TRANSPOSE(($D117:$E117))),0)</f>
        <v>22002.65259311191</v>
      </c>
      <c r="W117" s="30" cm="1">
        <f t="array" ref="W117">W$106+IF($C117&lt;&gt;0,SUMPRODUCT((W$107:W$108)*TRANSPOSE(($D117:$E117))),0)</f>
        <v>53589.37729944606</v>
      </c>
      <c r="X117" s="30" cm="1">
        <f t="array" ref="X117">X$106+IF($C117&lt;&gt;0,SUMPRODUCT((X$107:X$108)*TRANSPOSE(($D117:$E117))),0)</f>
        <v>95670.327916352369</v>
      </c>
      <c r="Y117" s="30" cm="1">
        <f t="array" ref="Y117">Y$106+IF($C117&lt;&gt;0,SUMPRODUCT((Y$107:Y$108)*TRANSPOSE(($D117:$E117))),0)</f>
        <v>139680.98903997644</v>
      </c>
      <c r="Z117" s="30" cm="1">
        <f t="array" ref="Z117">Z$106+IF($C117&lt;&gt;0,SUMPRODUCT((Z$107:Z$108)*TRANSPOSE(($D117:$E117))),0)</f>
        <v>174769.06740283401</v>
      </c>
      <c r="AA117" s="30" cm="1">
        <f t="array" ref="AA117">AA$106+IF($C117&lt;&gt;0,SUMPRODUCT((AA$107:AA$108)*TRANSPOSE(($D117:$E117))),0)</f>
        <v>153701.37028737529</v>
      </c>
      <c r="AB117" s="30" cm="1">
        <f t="array" ref="AB117">AB$106+IF($C117&lt;&gt;0,SUMPRODUCT((AB$107:AB$108)*TRANSPOSE(($D117:$E117))),0)</f>
        <v>108565.11692429817</v>
      </c>
      <c r="AC117" s="30" cm="1">
        <f t="array" ref="AC117">AC$106+IF($C117&lt;&gt;0,SUMPRODUCT((AC$107:AC$108)*TRANSPOSE(($D117:$E117))),0)</f>
        <v>110044.03406278492</v>
      </c>
      <c r="AD117" s="30" cm="1">
        <f t="array" ref="AD117">AD$106+IF($C117&lt;&gt;0,SUMPRODUCT((AD$107:AD$108)*TRANSPOSE(($D117:$E117))),0)</f>
        <v>86442.071466721245</v>
      </c>
      <c r="AE117" s="30" cm="1">
        <f t="array" ref="AE117">AE$106+IF($C117&lt;&gt;0,SUMPRODUCT((AE$107:AE$108)*TRANSPOSE(($D117:$E117))),0)</f>
        <v>57613.777360425214</v>
      </c>
      <c r="AF117" s="30" cm="1">
        <f t="array" ref="AF117">AF$106+IF($C117&lt;&gt;0,SUMPRODUCT((AF$107:AF$108)*TRANSPOSE(($D117:$E117))),0)</f>
        <v>56727.129346954229</v>
      </c>
      <c r="AG117" s="30" cm="1">
        <f t="array" ref="AG117">AG$106+IF($C117&lt;&gt;0,SUMPRODUCT((AG$107:AG$108)*TRANSPOSE(($D117:$E117))),0)</f>
        <v>55447.952703108254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94"/>
      <c r="AI1" s="394"/>
      <c r="AJ1" s="394"/>
    </row>
    <row r="2" spans="1:43" ht="18.75" x14ac:dyDescent="0.3">
      <c r="A2" s="55" t="str">
        <f>proj</f>
        <v>R switchboard and relay retirement</v>
      </c>
      <c r="B2" s="5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94"/>
      <c r="AI2" s="394"/>
      <c r="AJ2" s="394"/>
    </row>
    <row r="3" spans="1:43" ht="15.75" x14ac:dyDescent="0.25">
      <c r="A3" s="202" t="s">
        <v>134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7"/>
      <c r="B9" s="17"/>
      <c r="C9" s="17"/>
      <c r="D9" s="17"/>
      <c r="E9" s="17"/>
      <c r="F9" s="141"/>
      <c r="G9" s="17" t="s">
        <v>25</v>
      </c>
      <c r="H9" s="219"/>
      <c r="I9" s="16" t="str">
        <f>'Option1 (base case)'!I9</f>
        <v>2026-27</v>
      </c>
      <c r="J9" s="16" t="str">
        <f>'Option1 (base case)'!J9</f>
        <v>2027-28</v>
      </c>
      <c r="K9" s="16" t="str">
        <f>'Option1 (base case)'!K9</f>
        <v>2028-29</v>
      </c>
      <c r="L9" s="16" t="str">
        <f>'Option1 (base case)'!L9</f>
        <v>2029-30</v>
      </c>
      <c r="M9" s="16" t="str">
        <f>'Option1 (base case)'!M9</f>
        <v>2030-31</v>
      </c>
      <c r="N9" s="16" t="str">
        <f>'Option1 (base case)'!N9</f>
        <v>2031-32</v>
      </c>
      <c r="O9" s="16" t="str">
        <f>'Option1 (base case)'!O9</f>
        <v>2032-33</v>
      </c>
      <c r="P9" s="16" t="str">
        <f>'Option1 (base case)'!P9</f>
        <v>2033-34</v>
      </c>
      <c r="Q9" s="16" t="str">
        <f>'Option1 (base case)'!Q9</f>
        <v>2034-35</v>
      </c>
      <c r="R9" s="16" t="str">
        <f>'Option1 (base case)'!R9</f>
        <v>2035-36</v>
      </c>
      <c r="S9" s="16" t="str">
        <f>'Option1 (base case)'!S9</f>
        <v>2036-37</v>
      </c>
      <c r="T9" s="16" t="str">
        <f>'Option1 (base case)'!T9</f>
        <v>2037-38</v>
      </c>
      <c r="U9" s="16" t="str">
        <f>'Option1 (base case)'!U9</f>
        <v>2038-39</v>
      </c>
      <c r="V9" s="16" t="str">
        <f>'Option1 (base case)'!V9</f>
        <v>2039-40</v>
      </c>
      <c r="W9" s="16" t="str">
        <f>'Option1 (base case)'!W9</f>
        <v>2040-41</v>
      </c>
      <c r="X9" s="16" t="str">
        <f>'Option1 (base case)'!X9</f>
        <v>2041-42</v>
      </c>
      <c r="Y9" s="16" t="str">
        <f>'Option1 (base case)'!Y9</f>
        <v>2042-43</v>
      </c>
      <c r="Z9" s="16" t="str">
        <f>'Option1 (base case)'!Z9</f>
        <v>2043-44</v>
      </c>
      <c r="AA9" s="16" t="str">
        <f>'Option1 (base case)'!AA9</f>
        <v>2044-45</v>
      </c>
      <c r="AB9" s="16" t="str">
        <f>'Option1 (base case)'!AB9</f>
        <v>2045-46</v>
      </c>
      <c r="AC9" s="16" t="str">
        <f>'Option1 (base case)'!AC9</f>
        <v>2046-47</v>
      </c>
      <c r="AD9" s="16" t="str">
        <f>'Option1 (base case)'!AD9</f>
        <v>2047-48</v>
      </c>
      <c r="AE9" s="16" t="str">
        <f>'Option1 (base case)'!AE9</f>
        <v>2048-49</v>
      </c>
      <c r="AF9" s="16" t="str">
        <f>'Option1 (base case)'!AF9</f>
        <v>2049-50</v>
      </c>
      <c r="AG9" s="16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8" t="s">
        <v>120</v>
      </c>
      <c r="B11" s="88"/>
      <c r="C11" s="89"/>
      <c r="D11" s="89"/>
      <c r="E11" s="89"/>
      <c r="F11" s="89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6" t="s">
        <v>57</v>
      </c>
      <c r="D14"/>
      <c r="E14" s="147">
        <v>0</v>
      </c>
      <c r="G14" s="206">
        <f>input_dollars</f>
        <v>45291</v>
      </c>
      <c r="H14" s="148"/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6" t="s">
        <v>57</v>
      </c>
      <c r="D15"/>
      <c r="E15" s="147">
        <v>0</v>
      </c>
      <c r="G15" s="206">
        <f>input_dollars</f>
        <v>45291</v>
      </c>
      <c r="H15" s="2"/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6" t="s">
        <v>57</v>
      </c>
      <c r="D16"/>
      <c r="E16" s="147">
        <v>0</v>
      </c>
      <c r="G16" s="206">
        <f>input_dollars</f>
        <v>45291</v>
      </c>
      <c r="H16" s="2"/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8" t="s">
        <v>150</v>
      </c>
      <c r="B22" s="88"/>
      <c r="C22" s="88"/>
      <c r="D22" s="88"/>
      <c r="E22" s="88"/>
      <c r="F22" s="88"/>
      <c r="G22" s="203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50104.893056593428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8" t="s">
        <v>56</v>
      </c>
      <c r="B38" s="88"/>
      <c r="C38" s="88"/>
      <c r="D38" s="88"/>
      <c r="E38" s="88"/>
      <c r="F38" s="88"/>
      <c r="G38" s="203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</row>
    <row r="42" spans="1:16372" ht="13.5" x14ac:dyDescent="0.25">
      <c r="C42" s="1" t="s">
        <v>129</v>
      </c>
      <c r="G42" s="204" t="s">
        <v>104</v>
      </c>
      <c r="I42" s="84">
        <f t="shared" ref="I42:AG42" si="4">I41*I7</f>
        <v>0</v>
      </c>
      <c r="J42" s="84">
        <f t="shared" si="4"/>
        <v>0</v>
      </c>
      <c r="K42" s="84">
        <f t="shared" si="4"/>
        <v>0</v>
      </c>
      <c r="L42" s="84">
        <f t="shared" si="4"/>
        <v>0</v>
      </c>
      <c r="M42" s="84">
        <f t="shared" si="4"/>
        <v>0</v>
      </c>
      <c r="N42" s="84">
        <f t="shared" si="4"/>
        <v>0</v>
      </c>
      <c r="O42" s="84">
        <f t="shared" si="4"/>
        <v>0</v>
      </c>
      <c r="P42" s="84">
        <f t="shared" si="4"/>
        <v>0</v>
      </c>
      <c r="Q42" s="84">
        <f t="shared" si="4"/>
        <v>0</v>
      </c>
      <c r="R42" s="84">
        <f t="shared" si="4"/>
        <v>0</v>
      </c>
      <c r="S42" s="84">
        <f t="shared" si="4"/>
        <v>0</v>
      </c>
      <c r="T42" s="84">
        <f t="shared" si="4"/>
        <v>0</v>
      </c>
      <c r="U42" s="84">
        <f t="shared" si="4"/>
        <v>0</v>
      </c>
      <c r="V42" s="84">
        <f t="shared" si="4"/>
        <v>0</v>
      </c>
      <c r="W42" s="84">
        <f t="shared" si="4"/>
        <v>0</v>
      </c>
      <c r="X42" s="84">
        <f t="shared" si="4"/>
        <v>0</v>
      </c>
      <c r="Y42" s="84">
        <f t="shared" si="4"/>
        <v>0</v>
      </c>
      <c r="Z42" s="84">
        <f t="shared" si="4"/>
        <v>0</v>
      </c>
      <c r="AA42" s="84">
        <f t="shared" si="4"/>
        <v>0</v>
      </c>
      <c r="AB42" s="84">
        <f t="shared" si="4"/>
        <v>0</v>
      </c>
      <c r="AC42" s="84">
        <f t="shared" si="4"/>
        <v>0</v>
      </c>
      <c r="AD42" s="84">
        <f t="shared" si="4"/>
        <v>0</v>
      </c>
      <c r="AE42" s="84">
        <f t="shared" si="4"/>
        <v>0</v>
      </c>
      <c r="AF42" s="84">
        <f t="shared" si="4"/>
        <v>0</v>
      </c>
      <c r="AG42" s="84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43" x14ac:dyDescent="0.2">
      <c r="D53" s="204"/>
      <c r="G53" s="206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</row>
    <row r="54" spans="1:43" x14ac:dyDescent="0.2">
      <c r="C54" s="1" t="s">
        <v>117</v>
      </c>
      <c r="D54" s="204"/>
      <c r="G54" s="206">
        <f>input_dollars</f>
        <v>45291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6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43" x14ac:dyDescent="0.2">
      <c r="G59" s="204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43" ht="15" x14ac:dyDescent="0.2">
      <c r="A60" s="88" t="s">
        <v>16</v>
      </c>
      <c r="B60" s="88"/>
      <c r="C60" s="88"/>
      <c r="D60" s="88"/>
      <c r="E60" s="88"/>
      <c r="F60" s="88"/>
      <c r="G60" s="203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7"/>
      <c r="F66" s="96"/>
      <c r="G66" s="212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x14ac:dyDescent="0.2">
      <c r="A67" s="8"/>
      <c r="B67" s="8"/>
      <c r="C67" s="4" t="str">
        <f>C14</f>
        <v>&lt; Enter description &gt;</v>
      </c>
      <c r="D67" s="37"/>
      <c r="F67" s="96"/>
      <c r="G67" s="209">
        <f>input_dollars</f>
        <v>45291</v>
      </c>
      <c r="H67" s="30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7"/>
      <c r="F68" s="96"/>
      <c r="G68" s="209">
        <f>input_dollars</f>
        <v>45291</v>
      </c>
      <c r="H68" s="30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7"/>
      <c r="F69" s="96"/>
      <c r="G69" s="209">
        <f>input_dollars</f>
        <v>45291</v>
      </c>
      <c r="H69" s="30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7"/>
      <c r="F70" s="96"/>
      <c r="G70" s="213"/>
      <c r="H70" s="30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7"/>
      <c r="F71" s="96"/>
      <c r="G71" s="212"/>
      <c r="H71" s="30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7"/>
      <c r="F72" s="96"/>
      <c r="G72" s="209">
        <f>input_dollars</f>
        <v>45291</v>
      </c>
      <c r="H72" s="30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7"/>
      <c r="F73" s="96"/>
      <c r="G73" s="209">
        <f>input_dollars</f>
        <v>45291</v>
      </c>
      <c r="H73" s="30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7"/>
      <c r="F74" s="96"/>
      <c r="G74" s="209">
        <f>input_dollars</f>
        <v>45291</v>
      </c>
      <c r="H74" s="30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7"/>
      <c r="F75" s="96"/>
      <c r="G75" s="213"/>
      <c r="H75" s="30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7"/>
      <c r="F76" s="96"/>
      <c r="G76" s="212"/>
      <c r="H76" s="30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7"/>
      <c r="F77" s="96"/>
      <c r="G77" s="209">
        <f>input_dollars</f>
        <v>45291</v>
      </c>
      <c r="H77" s="30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7"/>
      <c r="F78" s="96"/>
      <c r="G78" s="209">
        <f>input_dollars</f>
        <v>45291</v>
      </c>
      <c r="H78" s="30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7"/>
      <c r="F79" s="96"/>
      <c r="G79" s="209">
        <f>input_dollars</f>
        <v>45291</v>
      </c>
      <c r="H79" s="30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4"/>
      <c r="D81" s="37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7"/>
      <c r="F82" s="96"/>
      <c r="G82" s="209">
        <f t="shared" ref="G82:G87" si="12">input_dollars</f>
        <v>45291</v>
      </c>
      <c r="H82" s="30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7"/>
      <c r="F83" s="96"/>
      <c r="G83" s="209">
        <f t="shared" si="12"/>
        <v>45291</v>
      </c>
      <c r="H83" s="30"/>
      <c r="I83" s="30">
        <f t="shared" ref="I83:AG83" si="14">-I19</f>
        <v>0</v>
      </c>
      <c r="J83" s="30">
        <f t="shared" si="14"/>
        <v>0</v>
      </c>
      <c r="K83" s="30">
        <f t="shared" si="14"/>
        <v>0</v>
      </c>
      <c r="L83" s="30">
        <f t="shared" si="14"/>
        <v>0</v>
      </c>
      <c r="M83" s="30">
        <f t="shared" si="14"/>
        <v>0</v>
      </c>
      <c r="N83" s="30">
        <f t="shared" si="14"/>
        <v>0</v>
      </c>
      <c r="O83" s="30">
        <f t="shared" si="14"/>
        <v>0</v>
      </c>
      <c r="P83" s="30">
        <f t="shared" si="14"/>
        <v>0</v>
      </c>
      <c r="Q83" s="30">
        <f t="shared" si="14"/>
        <v>0</v>
      </c>
      <c r="R83" s="30">
        <f t="shared" si="14"/>
        <v>0</v>
      </c>
      <c r="S83" s="30">
        <f t="shared" si="14"/>
        <v>0</v>
      </c>
      <c r="T83" s="30">
        <f t="shared" si="14"/>
        <v>0</v>
      </c>
      <c r="U83" s="30">
        <f t="shared" si="14"/>
        <v>0</v>
      </c>
      <c r="V83" s="30">
        <f t="shared" si="14"/>
        <v>0</v>
      </c>
      <c r="W83" s="30">
        <f t="shared" si="14"/>
        <v>0</v>
      </c>
      <c r="X83" s="30">
        <f t="shared" si="14"/>
        <v>0</v>
      </c>
      <c r="Y83" s="30">
        <f t="shared" si="14"/>
        <v>0</v>
      </c>
      <c r="Z83" s="30">
        <f t="shared" si="14"/>
        <v>0</v>
      </c>
      <c r="AA83" s="30">
        <f t="shared" si="14"/>
        <v>0</v>
      </c>
      <c r="AB83" s="30">
        <f t="shared" si="14"/>
        <v>0</v>
      </c>
      <c r="AC83" s="30">
        <f t="shared" si="14"/>
        <v>0</v>
      </c>
      <c r="AD83" s="30">
        <f t="shared" si="14"/>
        <v>0</v>
      </c>
      <c r="AE83" s="30">
        <f t="shared" si="14"/>
        <v>0</v>
      </c>
      <c r="AF83" s="30">
        <f t="shared" si="14"/>
        <v>0</v>
      </c>
      <c r="AG83" s="30">
        <f t="shared" si="14"/>
        <v>0</v>
      </c>
    </row>
    <row r="84" spans="1:33" x14ac:dyDescent="0.2">
      <c r="A84" s="8"/>
      <c r="B84" s="8"/>
      <c r="C84" s="4" t="s">
        <v>140</v>
      </c>
      <c r="D84" s="37"/>
      <c r="F84" s="96"/>
      <c r="G84" s="209">
        <f t="shared" si="12"/>
        <v>45291</v>
      </c>
      <c r="H84" s="30"/>
      <c r="I84" s="30">
        <f>I64</f>
        <v>0</v>
      </c>
      <c r="J84" s="30">
        <f t="shared" ref="J84:AB84" si="15">J64</f>
        <v>0</v>
      </c>
      <c r="K84" s="30">
        <f t="shared" si="15"/>
        <v>0</v>
      </c>
      <c r="L84" s="30">
        <f t="shared" si="15"/>
        <v>0</v>
      </c>
      <c r="M84" s="30">
        <f t="shared" si="15"/>
        <v>0</v>
      </c>
      <c r="N84" s="30">
        <f t="shared" si="15"/>
        <v>0</v>
      </c>
      <c r="O84" s="30">
        <f t="shared" si="15"/>
        <v>0</v>
      </c>
      <c r="P84" s="30">
        <f t="shared" si="15"/>
        <v>0</v>
      </c>
      <c r="Q84" s="30">
        <f t="shared" si="15"/>
        <v>0</v>
      </c>
      <c r="R84" s="30">
        <f t="shared" si="15"/>
        <v>0</v>
      </c>
      <c r="S84" s="30">
        <f t="shared" si="15"/>
        <v>0</v>
      </c>
      <c r="T84" s="30">
        <f t="shared" si="15"/>
        <v>0</v>
      </c>
      <c r="U84" s="30">
        <f t="shared" si="15"/>
        <v>0</v>
      </c>
      <c r="V84" s="30">
        <f t="shared" si="15"/>
        <v>0</v>
      </c>
      <c r="W84" s="30">
        <f t="shared" si="15"/>
        <v>0</v>
      </c>
      <c r="X84" s="30">
        <f t="shared" si="15"/>
        <v>0</v>
      </c>
      <c r="Y84" s="30">
        <f t="shared" si="15"/>
        <v>0</v>
      </c>
      <c r="Z84" s="30">
        <f t="shared" si="15"/>
        <v>0</v>
      </c>
      <c r="AA84" s="30">
        <f t="shared" si="15"/>
        <v>0</v>
      </c>
      <c r="AB84" s="30">
        <f t="shared" si="15"/>
        <v>0</v>
      </c>
      <c r="AC84" s="30">
        <f>AC64</f>
        <v>0</v>
      </c>
      <c r="AD84" s="30">
        <f>AD64</f>
        <v>0</v>
      </c>
      <c r="AE84" s="30">
        <f>AE64</f>
        <v>0</v>
      </c>
      <c r="AF84" s="30">
        <f>AF64</f>
        <v>0</v>
      </c>
      <c r="AG84" s="30">
        <f>AG64</f>
        <v>0</v>
      </c>
    </row>
    <row r="85" spans="1:33" x14ac:dyDescent="0.2">
      <c r="A85" s="8"/>
      <c r="B85" s="8"/>
      <c r="C85" s="4" t="s">
        <v>122</v>
      </c>
      <c r="D85" s="37"/>
      <c r="F85" s="96"/>
      <c r="G85" s="209">
        <f t="shared" si="12"/>
        <v>45291</v>
      </c>
      <c r="H85" s="30"/>
      <c r="I85" s="30">
        <f t="shared" ref="I85:AG85" si="16">I57</f>
        <v>0</v>
      </c>
      <c r="J85" s="30">
        <f t="shared" si="16"/>
        <v>0</v>
      </c>
      <c r="K85" s="30">
        <f t="shared" si="16"/>
        <v>0</v>
      </c>
      <c r="L85" s="30">
        <f t="shared" si="16"/>
        <v>0</v>
      </c>
      <c r="M85" s="30">
        <f t="shared" si="16"/>
        <v>0</v>
      </c>
      <c r="N85" s="30">
        <f t="shared" si="16"/>
        <v>0</v>
      </c>
      <c r="O85" s="30">
        <f t="shared" si="16"/>
        <v>0</v>
      </c>
      <c r="P85" s="30">
        <f t="shared" si="16"/>
        <v>0</v>
      </c>
      <c r="Q85" s="30">
        <f t="shared" si="16"/>
        <v>0</v>
      </c>
      <c r="R85" s="30">
        <f t="shared" si="16"/>
        <v>0</v>
      </c>
      <c r="S85" s="30">
        <f t="shared" si="16"/>
        <v>0</v>
      </c>
      <c r="T85" s="30">
        <f t="shared" si="16"/>
        <v>0</v>
      </c>
      <c r="U85" s="30">
        <f t="shared" si="16"/>
        <v>0</v>
      </c>
      <c r="V85" s="30">
        <f t="shared" si="16"/>
        <v>0</v>
      </c>
      <c r="W85" s="30">
        <f t="shared" si="16"/>
        <v>0</v>
      </c>
      <c r="X85" s="30">
        <f t="shared" si="16"/>
        <v>0</v>
      </c>
      <c r="Y85" s="30">
        <f t="shared" si="16"/>
        <v>0</v>
      </c>
      <c r="Z85" s="30">
        <f t="shared" si="16"/>
        <v>0</v>
      </c>
      <c r="AA85" s="30">
        <f t="shared" si="16"/>
        <v>0</v>
      </c>
      <c r="AB85" s="30">
        <f t="shared" si="16"/>
        <v>0</v>
      </c>
      <c r="AC85" s="30">
        <f t="shared" si="16"/>
        <v>0</v>
      </c>
      <c r="AD85" s="30">
        <f t="shared" si="16"/>
        <v>0</v>
      </c>
      <c r="AE85" s="30">
        <f t="shared" si="16"/>
        <v>0</v>
      </c>
      <c r="AF85" s="30">
        <f t="shared" si="16"/>
        <v>0</v>
      </c>
      <c r="AG85" s="30">
        <f t="shared" si="16"/>
        <v>0</v>
      </c>
    </row>
    <row r="86" spans="1:33" x14ac:dyDescent="0.2">
      <c r="A86" s="8"/>
      <c r="B86" s="8"/>
      <c r="C86" s="4"/>
      <c r="D86" s="37"/>
      <c r="F86" s="30"/>
      <c r="G86" s="209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4"/>
      <c r="D88" s="137"/>
      <c r="E88" s="63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4"/>
      <c r="D89" s="137"/>
      <c r="E89" s="63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1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1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1"/>
    </row>
    <row r="102" spans="1:43" ht="15" x14ac:dyDescent="0.2">
      <c r="A102" s="88" t="s">
        <v>216</v>
      </c>
      <c r="B102" s="88"/>
      <c r="C102" s="88"/>
      <c r="D102" s="88"/>
      <c r="E102" s="88"/>
      <c r="F102" s="88"/>
      <c r="G102" s="203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7" t="str">
        <f>PROPER($A$3)&amp;A106</f>
        <v>Option 4NPV</v>
      </c>
      <c r="I106" s="30">
        <f>I87</f>
        <v>0</v>
      </c>
      <c r="J106" s="30">
        <f t="shared" ref="J106:AG106" si="18">J87</f>
        <v>0</v>
      </c>
      <c r="K106" s="30">
        <f t="shared" si="18"/>
        <v>0</v>
      </c>
      <c r="L106" s="30">
        <f t="shared" si="18"/>
        <v>0</v>
      </c>
      <c r="M106" s="30">
        <f t="shared" si="18"/>
        <v>0</v>
      </c>
      <c r="N106" s="30">
        <f t="shared" si="18"/>
        <v>0</v>
      </c>
      <c r="O106" s="30">
        <f t="shared" si="18"/>
        <v>0</v>
      </c>
      <c r="P106" s="30">
        <f t="shared" si="18"/>
        <v>0</v>
      </c>
      <c r="Q106" s="30">
        <f t="shared" si="18"/>
        <v>0</v>
      </c>
      <c r="R106" s="30">
        <f t="shared" si="18"/>
        <v>0</v>
      </c>
      <c r="S106" s="30">
        <f t="shared" si="18"/>
        <v>0</v>
      </c>
      <c r="T106" s="30">
        <f t="shared" si="18"/>
        <v>0</v>
      </c>
      <c r="U106" s="30">
        <f t="shared" si="18"/>
        <v>0</v>
      </c>
      <c r="V106" s="30">
        <f t="shared" si="18"/>
        <v>0</v>
      </c>
      <c r="W106" s="30">
        <f t="shared" si="18"/>
        <v>0</v>
      </c>
      <c r="X106" s="30">
        <f t="shared" si="18"/>
        <v>0</v>
      </c>
      <c r="Y106" s="30">
        <f t="shared" si="18"/>
        <v>0</v>
      </c>
      <c r="Z106" s="30">
        <f t="shared" si="18"/>
        <v>0</v>
      </c>
      <c r="AA106" s="30">
        <f t="shared" si="18"/>
        <v>0</v>
      </c>
      <c r="AB106" s="30">
        <f t="shared" si="18"/>
        <v>0</v>
      </c>
      <c r="AC106" s="30">
        <f t="shared" si="18"/>
        <v>0</v>
      </c>
      <c r="AD106" s="30">
        <f t="shared" si="18"/>
        <v>0</v>
      </c>
      <c r="AE106" s="30">
        <f t="shared" si="18"/>
        <v>0</v>
      </c>
      <c r="AF106" s="30">
        <f t="shared" si="18"/>
        <v>0</v>
      </c>
      <c r="AG106" s="30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0">
        <f>I82</f>
        <v>0</v>
      </c>
      <c r="J107" s="30">
        <f t="shared" ref="J107:AG107" si="19">J82</f>
        <v>0</v>
      </c>
      <c r="K107" s="30">
        <f t="shared" si="19"/>
        <v>0</v>
      </c>
      <c r="L107" s="30">
        <f t="shared" si="19"/>
        <v>0</v>
      </c>
      <c r="M107" s="30">
        <f t="shared" si="19"/>
        <v>0</v>
      </c>
      <c r="N107" s="30">
        <f t="shared" si="19"/>
        <v>0</v>
      </c>
      <c r="O107" s="30">
        <f t="shared" si="19"/>
        <v>0</v>
      </c>
      <c r="P107" s="30">
        <f t="shared" si="19"/>
        <v>0</v>
      </c>
      <c r="Q107" s="30">
        <f t="shared" si="19"/>
        <v>0</v>
      </c>
      <c r="R107" s="30">
        <f t="shared" si="19"/>
        <v>0</v>
      </c>
      <c r="S107" s="30">
        <f t="shared" si="19"/>
        <v>0</v>
      </c>
      <c r="T107" s="30">
        <f t="shared" si="19"/>
        <v>0</v>
      </c>
      <c r="U107" s="30">
        <f t="shared" si="19"/>
        <v>0</v>
      </c>
      <c r="V107" s="30">
        <f t="shared" si="19"/>
        <v>0</v>
      </c>
      <c r="W107" s="30">
        <f t="shared" si="19"/>
        <v>0</v>
      </c>
      <c r="X107" s="30">
        <f t="shared" si="19"/>
        <v>0</v>
      </c>
      <c r="Y107" s="30">
        <f t="shared" si="19"/>
        <v>0</v>
      </c>
      <c r="Z107" s="30">
        <f t="shared" si="19"/>
        <v>0</v>
      </c>
      <c r="AA107" s="30">
        <f t="shared" si="19"/>
        <v>0</v>
      </c>
      <c r="AB107" s="30">
        <f t="shared" si="19"/>
        <v>0</v>
      </c>
      <c r="AC107" s="30">
        <f t="shared" si="19"/>
        <v>0</v>
      </c>
      <c r="AD107" s="30">
        <f t="shared" si="19"/>
        <v>0</v>
      </c>
      <c r="AE107" s="30">
        <f t="shared" si="19"/>
        <v>0</v>
      </c>
      <c r="AF107" s="30">
        <f t="shared" si="19"/>
        <v>0</v>
      </c>
      <c r="AG107" s="30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0">
        <f>SUM(I84:I85)</f>
        <v>0</v>
      </c>
      <c r="J108" s="30">
        <f t="shared" ref="J108:AG108" si="20">SUM(J84:J85)</f>
        <v>0</v>
      </c>
      <c r="K108" s="30">
        <f t="shared" si="20"/>
        <v>0</v>
      </c>
      <c r="L108" s="30">
        <f t="shared" si="20"/>
        <v>0</v>
      </c>
      <c r="M108" s="30">
        <f t="shared" si="20"/>
        <v>0</v>
      </c>
      <c r="N108" s="30">
        <f t="shared" si="20"/>
        <v>0</v>
      </c>
      <c r="O108" s="30">
        <f t="shared" si="20"/>
        <v>0</v>
      </c>
      <c r="P108" s="30">
        <f t="shared" si="20"/>
        <v>0</v>
      </c>
      <c r="Q108" s="30">
        <f t="shared" si="20"/>
        <v>0</v>
      </c>
      <c r="R108" s="30">
        <f t="shared" si="20"/>
        <v>0</v>
      </c>
      <c r="S108" s="30">
        <f t="shared" si="20"/>
        <v>0</v>
      </c>
      <c r="T108" s="30">
        <f t="shared" si="20"/>
        <v>0</v>
      </c>
      <c r="U108" s="30">
        <f t="shared" si="20"/>
        <v>0</v>
      </c>
      <c r="V108" s="30">
        <f t="shared" si="20"/>
        <v>0</v>
      </c>
      <c r="W108" s="30">
        <f t="shared" si="20"/>
        <v>0</v>
      </c>
      <c r="X108" s="30">
        <f t="shared" si="20"/>
        <v>0</v>
      </c>
      <c r="Y108" s="30">
        <f t="shared" si="20"/>
        <v>0</v>
      </c>
      <c r="Z108" s="30">
        <f t="shared" si="20"/>
        <v>0</v>
      </c>
      <c r="AA108" s="30">
        <f t="shared" si="20"/>
        <v>0</v>
      </c>
      <c r="AB108" s="30">
        <f t="shared" si="20"/>
        <v>0</v>
      </c>
      <c r="AC108" s="30">
        <f t="shared" si="20"/>
        <v>0</v>
      </c>
      <c r="AD108" s="30">
        <f t="shared" si="20"/>
        <v>0</v>
      </c>
      <c r="AE108" s="30">
        <f t="shared" si="20"/>
        <v>0</v>
      </c>
      <c r="AF108" s="30">
        <f t="shared" si="20"/>
        <v>0</v>
      </c>
      <c r="AG108" s="30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7" t="str">
        <f>PROPER($A$3)&amp;A110</f>
        <v>Option 4sens1</v>
      </c>
      <c r="I110" s="30" cm="1">
        <f t="array" ref="I110">I$106+IF($C110&lt;&gt;0,SUMPRODUCT((I$107:I$108)*TRANSPOSE(($D110:$E110))),0)</f>
        <v>0</v>
      </c>
      <c r="J110" s="30" cm="1">
        <f t="array" ref="J110">J$106+IF($C110&lt;&gt;0,SUMPRODUCT((J$107:J$108)*TRANSPOSE(($D110:$E110))),0)</f>
        <v>0</v>
      </c>
      <c r="K110" s="30" cm="1">
        <f t="array" ref="K110">K$106+IF($C110&lt;&gt;0,SUMPRODUCT((K$107:K$108)*TRANSPOSE(($D110:$E110))),0)</f>
        <v>0</v>
      </c>
      <c r="L110" s="30" cm="1">
        <f t="array" ref="L110">L$106+IF($C110&lt;&gt;0,SUMPRODUCT((L$107:L$108)*TRANSPOSE(($D110:$E110))),0)</f>
        <v>0</v>
      </c>
      <c r="M110" s="30" cm="1">
        <f t="array" ref="M110">M$106+IF($C110&lt;&gt;0,SUMPRODUCT((M$107:M$108)*TRANSPOSE(($D110:$E110))),0)</f>
        <v>0</v>
      </c>
      <c r="N110" s="30" cm="1">
        <f t="array" ref="N110">N$106+IF($C110&lt;&gt;0,SUMPRODUCT((N$107:N$108)*TRANSPOSE(($D110:$E110))),0)</f>
        <v>0</v>
      </c>
      <c r="O110" s="30" cm="1">
        <f t="array" ref="O110">O$106+IF($C110&lt;&gt;0,SUMPRODUCT((O$107:O$108)*TRANSPOSE(($D110:$E110))),0)</f>
        <v>0</v>
      </c>
      <c r="P110" s="30" cm="1">
        <f t="array" ref="P110">P$106+IF($C110&lt;&gt;0,SUMPRODUCT((P$107:P$108)*TRANSPOSE(($D110:$E110))),0)</f>
        <v>0</v>
      </c>
      <c r="Q110" s="30" cm="1">
        <f t="array" ref="Q110">Q$106+IF($C110&lt;&gt;0,SUMPRODUCT((Q$107:Q$108)*TRANSPOSE(($D110:$E110))),0)</f>
        <v>0</v>
      </c>
      <c r="R110" s="30" cm="1">
        <f t="array" ref="R110">R$106+IF($C110&lt;&gt;0,SUMPRODUCT((R$107:R$108)*TRANSPOSE(($D110:$E110))),0)</f>
        <v>0</v>
      </c>
      <c r="S110" s="30" cm="1">
        <f t="array" ref="S110">S$106+IF($C110&lt;&gt;0,SUMPRODUCT((S$107:S$108)*TRANSPOSE(($D110:$E110))),0)</f>
        <v>0</v>
      </c>
      <c r="T110" s="30" cm="1">
        <f t="array" ref="T110">T$106+IF($C110&lt;&gt;0,SUMPRODUCT((T$107:T$108)*TRANSPOSE(($D110:$E110))),0)</f>
        <v>0</v>
      </c>
      <c r="U110" s="30" cm="1">
        <f t="array" ref="U110">U$106+IF($C110&lt;&gt;0,SUMPRODUCT((U$107:U$108)*TRANSPOSE(($D110:$E110))),0)</f>
        <v>0</v>
      </c>
      <c r="V110" s="30" cm="1">
        <f t="array" ref="V110">V$106+IF($C110&lt;&gt;0,SUMPRODUCT((V$107:V$108)*TRANSPOSE(($D110:$E110))),0)</f>
        <v>0</v>
      </c>
      <c r="W110" s="30" cm="1">
        <f t="array" ref="W110">W$106+IF($C110&lt;&gt;0,SUMPRODUCT((W$107:W$108)*TRANSPOSE(($D110:$E110))),0)</f>
        <v>0</v>
      </c>
      <c r="X110" s="30" cm="1">
        <f t="array" ref="X110">X$106+IF($C110&lt;&gt;0,SUMPRODUCT((X$107:X$108)*TRANSPOSE(($D110:$E110))),0)</f>
        <v>0</v>
      </c>
      <c r="Y110" s="30" cm="1">
        <f t="array" ref="Y110">Y$106+IF($C110&lt;&gt;0,SUMPRODUCT((Y$107:Y$108)*TRANSPOSE(($D110:$E110))),0)</f>
        <v>0</v>
      </c>
      <c r="Z110" s="30" cm="1">
        <f t="array" ref="Z110">Z$106+IF($C110&lt;&gt;0,SUMPRODUCT((Z$107:Z$108)*TRANSPOSE(($D110:$E110))),0)</f>
        <v>0</v>
      </c>
      <c r="AA110" s="30" cm="1">
        <f t="array" ref="AA110">AA$106+IF($C110&lt;&gt;0,SUMPRODUCT((AA$107:AA$108)*TRANSPOSE(($D110:$E110))),0)</f>
        <v>0</v>
      </c>
      <c r="AB110" s="30" cm="1">
        <f t="array" ref="AB110">AB$106+IF($C110&lt;&gt;0,SUMPRODUCT((AB$107:AB$108)*TRANSPOSE(($D110:$E110))),0)</f>
        <v>0</v>
      </c>
      <c r="AC110" s="30" cm="1">
        <f t="array" ref="AC110">AC$106+IF($C110&lt;&gt;0,SUMPRODUCT((AC$107:AC$108)*TRANSPOSE(($D110:$E110))),0)</f>
        <v>0</v>
      </c>
      <c r="AD110" s="30" cm="1">
        <f t="array" ref="AD110">AD$106+IF($C110&lt;&gt;0,SUMPRODUCT((AD$107:AD$108)*TRANSPOSE(($D110:$E110))),0)</f>
        <v>0</v>
      </c>
      <c r="AE110" s="30" cm="1">
        <f t="array" ref="AE110">AE$106+IF($C110&lt;&gt;0,SUMPRODUCT((AE$107:AE$108)*TRANSPOSE(($D110:$E110))),0)</f>
        <v>0</v>
      </c>
      <c r="AF110" s="30" cm="1">
        <f t="array" ref="AF110">AF$106+IF($C110&lt;&gt;0,SUMPRODUCT((AF$107:AF$108)*TRANSPOSE(($D110:$E110))),0)</f>
        <v>0</v>
      </c>
      <c r="AG110" s="30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7" t="str">
        <f t="shared" ref="G111:G117" si="21">PROPER($A$3)&amp;A111</f>
        <v>Option 4sens2</v>
      </c>
      <c r="I111" s="30" cm="1">
        <f t="array" ref="I111">I$106+IF($C111&lt;&gt;0,SUMPRODUCT((I$107:I$108)*TRANSPOSE(($D111:$E111))),0)</f>
        <v>0</v>
      </c>
      <c r="J111" s="30" cm="1">
        <f t="array" ref="J111">J$106+IF($C111&lt;&gt;0,SUMPRODUCT((J$107:J$108)*TRANSPOSE(($D111:$E111))),0)</f>
        <v>0</v>
      </c>
      <c r="K111" s="30" cm="1">
        <f t="array" ref="K111">K$106+IF($C111&lt;&gt;0,SUMPRODUCT((K$107:K$108)*TRANSPOSE(($D111:$E111))),0)</f>
        <v>0</v>
      </c>
      <c r="L111" s="30" cm="1">
        <f t="array" ref="L111">L$106+IF($C111&lt;&gt;0,SUMPRODUCT((L$107:L$108)*TRANSPOSE(($D111:$E111))),0)</f>
        <v>0</v>
      </c>
      <c r="M111" s="30" cm="1">
        <f t="array" ref="M111">M$106+IF($C111&lt;&gt;0,SUMPRODUCT((M$107:M$108)*TRANSPOSE(($D111:$E111))),0)</f>
        <v>0</v>
      </c>
      <c r="N111" s="30" cm="1">
        <f t="array" ref="N111">N$106+IF($C111&lt;&gt;0,SUMPRODUCT((N$107:N$108)*TRANSPOSE(($D111:$E111))),0)</f>
        <v>0</v>
      </c>
      <c r="O111" s="30" cm="1">
        <f t="array" ref="O111">O$106+IF($C111&lt;&gt;0,SUMPRODUCT((O$107:O$108)*TRANSPOSE(($D111:$E111))),0)</f>
        <v>0</v>
      </c>
      <c r="P111" s="30" cm="1">
        <f t="array" ref="P111">P$106+IF($C111&lt;&gt;0,SUMPRODUCT((P$107:P$108)*TRANSPOSE(($D111:$E111))),0)</f>
        <v>0</v>
      </c>
      <c r="Q111" s="30" cm="1">
        <f t="array" ref="Q111">Q$106+IF($C111&lt;&gt;0,SUMPRODUCT((Q$107:Q$108)*TRANSPOSE(($D111:$E111))),0)</f>
        <v>0</v>
      </c>
      <c r="R111" s="30" cm="1">
        <f t="array" ref="R111">R$106+IF($C111&lt;&gt;0,SUMPRODUCT((R$107:R$108)*TRANSPOSE(($D111:$E111))),0)</f>
        <v>0</v>
      </c>
      <c r="S111" s="30" cm="1">
        <f t="array" ref="S111">S$106+IF($C111&lt;&gt;0,SUMPRODUCT((S$107:S$108)*TRANSPOSE(($D111:$E111))),0)</f>
        <v>0</v>
      </c>
      <c r="T111" s="30" cm="1">
        <f t="array" ref="T111">T$106+IF($C111&lt;&gt;0,SUMPRODUCT((T$107:T$108)*TRANSPOSE(($D111:$E111))),0)</f>
        <v>0</v>
      </c>
      <c r="U111" s="30" cm="1">
        <f t="array" ref="U111">U$106+IF($C111&lt;&gt;0,SUMPRODUCT((U$107:U$108)*TRANSPOSE(($D111:$E111))),0)</f>
        <v>0</v>
      </c>
      <c r="V111" s="30" cm="1">
        <f t="array" ref="V111">V$106+IF($C111&lt;&gt;0,SUMPRODUCT((V$107:V$108)*TRANSPOSE(($D111:$E111))),0)</f>
        <v>0</v>
      </c>
      <c r="W111" s="30" cm="1">
        <f t="array" ref="W111">W$106+IF($C111&lt;&gt;0,SUMPRODUCT((W$107:W$108)*TRANSPOSE(($D111:$E111))),0)</f>
        <v>0</v>
      </c>
      <c r="X111" s="30" cm="1">
        <f t="array" ref="X111">X$106+IF($C111&lt;&gt;0,SUMPRODUCT((X$107:X$108)*TRANSPOSE(($D111:$E111))),0)</f>
        <v>0</v>
      </c>
      <c r="Y111" s="30" cm="1">
        <f t="array" ref="Y111">Y$106+IF($C111&lt;&gt;0,SUMPRODUCT((Y$107:Y$108)*TRANSPOSE(($D111:$E111))),0)</f>
        <v>0</v>
      </c>
      <c r="Z111" s="30" cm="1">
        <f t="array" ref="Z111">Z$106+IF($C111&lt;&gt;0,SUMPRODUCT((Z$107:Z$108)*TRANSPOSE(($D111:$E111))),0)</f>
        <v>0</v>
      </c>
      <c r="AA111" s="30" cm="1">
        <f t="array" ref="AA111">AA$106+IF($C111&lt;&gt;0,SUMPRODUCT((AA$107:AA$108)*TRANSPOSE(($D111:$E111))),0)</f>
        <v>0</v>
      </c>
      <c r="AB111" s="30" cm="1">
        <f t="array" ref="AB111">AB$106+IF($C111&lt;&gt;0,SUMPRODUCT((AB$107:AB$108)*TRANSPOSE(($D111:$E111))),0)</f>
        <v>0</v>
      </c>
      <c r="AC111" s="30" cm="1">
        <f t="array" ref="AC111">AC$106+IF($C111&lt;&gt;0,SUMPRODUCT((AC$107:AC$108)*TRANSPOSE(($D111:$E111))),0)</f>
        <v>0</v>
      </c>
      <c r="AD111" s="30" cm="1">
        <f t="array" ref="AD111">AD$106+IF($C111&lt;&gt;0,SUMPRODUCT((AD$107:AD$108)*TRANSPOSE(($D111:$E111))),0)</f>
        <v>0</v>
      </c>
      <c r="AE111" s="30" cm="1">
        <f t="array" ref="AE111">AE$106+IF($C111&lt;&gt;0,SUMPRODUCT((AE$107:AE$108)*TRANSPOSE(($D111:$E111))),0)</f>
        <v>0</v>
      </c>
      <c r="AF111" s="30" cm="1">
        <f t="array" ref="AF111">AF$106+IF($C111&lt;&gt;0,SUMPRODUCT((AF$107:AF$108)*TRANSPOSE(($D111:$E111))),0)</f>
        <v>0</v>
      </c>
      <c r="AG111" s="30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7" t="str">
        <f t="shared" si="21"/>
        <v>Option 4sens3</v>
      </c>
      <c r="I112" s="30" cm="1">
        <f t="array" ref="I112">I$106+IF($C112&lt;&gt;0,SUMPRODUCT((I$107:I$108)*TRANSPOSE(($D112:$E112))),0)</f>
        <v>0</v>
      </c>
      <c r="J112" s="30" cm="1">
        <f t="array" ref="J112">J$106+IF($C112&lt;&gt;0,SUMPRODUCT((J$107:J$108)*TRANSPOSE(($D112:$E112))),0)</f>
        <v>0</v>
      </c>
      <c r="K112" s="30" cm="1">
        <f t="array" ref="K112">K$106+IF($C112&lt;&gt;0,SUMPRODUCT((K$107:K$108)*TRANSPOSE(($D112:$E112))),0)</f>
        <v>0</v>
      </c>
      <c r="L112" s="30" cm="1">
        <f t="array" ref="L112">L$106+IF($C112&lt;&gt;0,SUMPRODUCT((L$107:L$108)*TRANSPOSE(($D112:$E112))),0)</f>
        <v>0</v>
      </c>
      <c r="M112" s="30" cm="1">
        <f t="array" ref="M112">M$106+IF($C112&lt;&gt;0,SUMPRODUCT((M$107:M$108)*TRANSPOSE(($D112:$E112))),0)</f>
        <v>0</v>
      </c>
      <c r="N112" s="30" cm="1">
        <f t="array" ref="N112">N$106+IF($C112&lt;&gt;0,SUMPRODUCT((N$107:N$108)*TRANSPOSE(($D112:$E112))),0)</f>
        <v>0</v>
      </c>
      <c r="O112" s="30" cm="1">
        <f t="array" ref="O112">O$106+IF($C112&lt;&gt;0,SUMPRODUCT((O$107:O$108)*TRANSPOSE(($D112:$E112))),0)</f>
        <v>0</v>
      </c>
      <c r="P112" s="30" cm="1">
        <f t="array" ref="P112">P$106+IF($C112&lt;&gt;0,SUMPRODUCT((P$107:P$108)*TRANSPOSE(($D112:$E112))),0)</f>
        <v>0</v>
      </c>
      <c r="Q112" s="30" cm="1">
        <f t="array" ref="Q112">Q$106+IF($C112&lt;&gt;0,SUMPRODUCT((Q$107:Q$108)*TRANSPOSE(($D112:$E112))),0)</f>
        <v>0</v>
      </c>
      <c r="R112" s="30" cm="1">
        <f t="array" ref="R112">R$106+IF($C112&lt;&gt;0,SUMPRODUCT((R$107:R$108)*TRANSPOSE(($D112:$E112))),0)</f>
        <v>0</v>
      </c>
      <c r="S112" s="30" cm="1">
        <f t="array" ref="S112">S$106+IF($C112&lt;&gt;0,SUMPRODUCT((S$107:S$108)*TRANSPOSE(($D112:$E112))),0)</f>
        <v>0</v>
      </c>
      <c r="T112" s="30" cm="1">
        <f t="array" ref="T112">T$106+IF($C112&lt;&gt;0,SUMPRODUCT((T$107:T$108)*TRANSPOSE(($D112:$E112))),0)</f>
        <v>0</v>
      </c>
      <c r="U112" s="30" cm="1">
        <f t="array" ref="U112">U$106+IF($C112&lt;&gt;0,SUMPRODUCT((U$107:U$108)*TRANSPOSE(($D112:$E112))),0)</f>
        <v>0</v>
      </c>
      <c r="V112" s="30" cm="1">
        <f t="array" ref="V112">V$106+IF($C112&lt;&gt;0,SUMPRODUCT((V$107:V$108)*TRANSPOSE(($D112:$E112))),0)</f>
        <v>0</v>
      </c>
      <c r="W112" s="30" cm="1">
        <f t="array" ref="W112">W$106+IF($C112&lt;&gt;0,SUMPRODUCT((W$107:W$108)*TRANSPOSE(($D112:$E112))),0)</f>
        <v>0</v>
      </c>
      <c r="X112" s="30" cm="1">
        <f t="array" ref="X112">X$106+IF($C112&lt;&gt;0,SUMPRODUCT((X$107:X$108)*TRANSPOSE(($D112:$E112))),0)</f>
        <v>0</v>
      </c>
      <c r="Y112" s="30" cm="1">
        <f t="array" ref="Y112">Y$106+IF($C112&lt;&gt;0,SUMPRODUCT((Y$107:Y$108)*TRANSPOSE(($D112:$E112))),0)</f>
        <v>0</v>
      </c>
      <c r="Z112" s="30" cm="1">
        <f t="array" ref="Z112">Z$106+IF($C112&lt;&gt;0,SUMPRODUCT((Z$107:Z$108)*TRANSPOSE(($D112:$E112))),0)</f>
        <v>0</v>
      </c>
      <c r="AA112" s="30" cm="1">
        <f t="array" ref="AA112">AA$106+IF($C112&lt;&gt;0,SUMPRODUCT((AA$107:AA$108)*TRANSPOSE(($D112:$E112))),0)</f>
        <v>0</v>
      </c>
      <c r="AB112" s="30" cm="1">
        <f t="array" ref="AB112">AB$106+IF($C112&lt;&gt;0,SUMPRODUCT((AB$107:AB$108)*TRANSPOSE(($D112:$E112))),0)</f>
        <v>0</v>
      </c>
      <c r="AC112" s="30" cm="1">
        <f t="array" ref="AC112">AC$106+IF($C112&lt;&gt;0,SUMPRODUCT((AC$107:AC$108)*TRANSPOSE(($D112:$E112))),0)</f>
        <v>0</v>
      </c>
      <c r="AD112" s="30" cm="1">
        <f t="array" ref="AD112">AD$106+IF($C112&lt;&gt;0,SUMPRODUCT((AD$107:AD$108)*TRANSPOSE(($D112:$E112))),0)</f>
        <v>0</v>
      </c>
      <c r="AE112" s="30" cm="1">
        <f t="array" ref="AE112">AE$106+IF($C112&lt;&gt;0,SUMPRODUCT((AE$107:AE$108)*TRANSPOSE(($D112:$E112))),0)</f>
        <v>0</v>
      </c>
      <c r="AF112" s="30" cm="1">
        <f t="array" ref="AF112">AF$106+IF($C112&lt;&gt;0,SUMPRODUCT((AF$107:AF$108)*TRANSPOSE(($D112:$E112))),0)</f>
        <v>0</v>
      </c>
      <c r="AG112" s="30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7" t="str">
        <f t="shared" si="21"/>
        <v>Option 4sens4</v>
      </c>
      <c r="I113" s="30" cm="1">
        <f t="array" ref="I113">I$106+IF($C113&lt;&gt;0,SUMPRODUCT((I$107:I$108)*TRANSPOSE(($D113:$E113))),0)</f>
        <v>0</v>
      </c>
      <c r="J113" s="30" cm="1">
        <f t="array" ref="J113">J$106+IF($C113&lt;&gt;0,SUMPRODUCT((J$107:J$108)*TRANSPOSE(($D113:$E113))),0)</f>
        <v>0</v>
      </c>
      <c r="K113" s="30" cm="1">
        <f t="array" ref="K113">K$106+IF($C113&lt;&gt;0,SUMPRODUCT((K$107:K$108)*TRANSPOSE(($D113:$E113))),0)</f>
        <v>0</v>
      </c>
      <c r="L113" s="30" cm="1">
        <f t="array" ref="L113">L$106+IF($C113&lt;&gt;0,SUMPRODUCT((L$107:L$108)*TRANSPOSE(($D113:$E113))),0)</f>
        <v>0</v>
      </c>
      <c r="M113" s="30" cm="1">
        <f t="array" ref="M113">M$106+IF($C113&lt;&gt;0,SUMPRODUCT((M$107:M$108)*TRANSPOSE(($D113:$E113))),0)</f>
        <v>0</v>
      </c>
      <c r="N113" s="30" cm="1">
        <f t="array" ref="N113">N$106+IF($C113&lt;&gt;0,SUMPRODUCT((N$107:N$108)*TRANSPOSE(($D113:$E113))),0)</f>
        <v>0</v>
      </c>
      <c r="O113" s="30" cm="1">
        <f t="array" ref="O113">O$106+IF($C113&lt;&gt;0,SUMPRODUCT((O$107:O$108)*TRANSPOSE(($D113:$E113))),0)</f>
        <v>0</v>
      </c>
      <c r="P113" s="30" cm="1">
        <f t="array" ref="P113">P$106+IF($C113&lt;&gt;0,SUMPRODUCT((P$107:P$108)*TRANSPOSE(($D113:$E113))),0)</f>
        <v>0</v>
      </c>
      <c r="Q113" s="30" cm="1">
        <f t="array" ref="Q113">Q$106+IF($C113&lt;&gt;0,SUMPRODUCT((Q$107:Q$108)*TRANSPOSE(($D113:$E113))),0)</f>
        <v>0</v>
      </c>
      <c r="R113" s="30" cm="1">
        <f t="array" ref="R113">R$106+IF($C113&lt;&gt;0,SUMPRODUCT((R$107:R$108)*TRANSPOSE(($D113:$E113))),0)</f>
        <v>0</v>
      </c>
      <c r="S113" s="30" cm="1">
        <f t="array" ref="S113">S$106+IF($C113&lt;&gt;0,SUMPRODUCT((S$107:S$108)*TRANSPOSE(($D113:$E113))),0)</f>
        <v>0</v>
      </c>
      <c r="T113" s="30" cm="1">
        <f t="array" ref="T113">T$106+IF($C113&lt;&gt;0,SUMPRODUCT((T$107:T$108)*TRANSPOSE(($D113:$E113))),0)</f>
        <v>0</v>
      </c>
      <c r="U113" s="30" cm="1">
        <f t="array" ref="U113">U$106+IF($C113&lt;&gt;0,SUMPRODUCT((U$107:U$108)*TRANSPOSE(($D113:$E113))),0)</f>
        <v>0</v>
      </c>
      <c r="V113" s="30" cm="1">
        <f t="array" ref="V113">V$106+IF($C113&lt;&gt;0,SUMPRODUCT((V$107:V$108)*TRANSPOSE(($D113:$E113))),0)</f>
        <v>0</v>
      </c>
      <c r="W113" s="30" cm="1">
        <f t="array" ref="W113">W$106+IF($C113&lt;&gt;0,SUMPRODUCT((W$107:W$108)*TRANSPOSE(($D113:$E113))),0)</f>
        <v>0</v>
      </c>
      <c r="X113" s="30" cm="1">
        <f t="array" ref="X113">X$106+IF($C113&lt;&gt;0,SUMPRODUCT((X$107:X$108)*TRANSPOSE(($D113:$E113))),0)</f>
        <v>0</v>
      </c>
      <c r="Y113" s="30" cm="1">
        <f t="array" ref="Y113">Y$106+IF($C113&lt;&gt;0,SUMPRODUCT((Y$107:Y$108)*TRANSPOSE(($D113:$E113))),0)</f>
        <v>0</v>
      </c>
      <c r="Z113" s="30" cm="1">
        <f t="array" ref="Z113">Z$106+IF($C113&lt;&gt;0,SUMPRODUCT((Z$107:Z$108)*TRANSPOSE(($D113:$E113))),0)</f>
        <v>0</v>
      </c>
      <c r="AA113" s="30" cm="1">
        <f t="array" ref="AA113">AA$106+IF($C113&lt;&gt;0,SUMPRODUCT((AA$107:AA$108)*TRANSPOSE(($D113:$E113))),0)</f>
        <v>0</v>
      </c>
      <c r="AB113" s="30" cm="1">
        <f t="array" ref="AB113">AB$106+IF($C113&lt;&gt;0,SUMPRODUCT((AB$107:AB$108)*TRANSPOSE(($D113:$E113))),0)</f>
        <v>0</v>
      </c>
      <c r="AC113" s="30" cm="1">
        <f t="array" ref="AC113">AC$106+IF($C113&lt;&gt;0,SUMPRODUCT((AC$107:AC$108)*TRANSPOSE(($D113:$E113))),0)</f>
        <v>0</v>
      </c>
      <c r="AD113" s="30" cm="1">
        <f t="array" ref="AD113">AD$106+IF($C113&lt;&gt;0,SUMPRODUCT((AD$107:AD$108)*TRANSPOSE(($D113:$E113))),0)</f>
        <v>0</v>
      </c>
      <c r="AE113" s="30" cm="1">
        <f t="array" ref="AE113">AE$106+IF($C113&lt;&gt;0,SUMPRODUCT((AE$107:AE$108)*TRANSPOSE(($D113:$E113))),0)</f>
        <v>0</v>
      </c>
      <c r="AF113" s="30" cm="1">
        <f t="array" ref="AF113">AF$106+IF($C113&lt;&gt;0,SUMPRODUCT((AF$107:AF$108)*TRANSPOSE(($D113:$E113))),0)</f>
        <v>0</v>
      </c>
      <c r="AG113" s="30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7" t="str">
        <f t="shared" si="21"/>
        <v>Option 4sens5</v>
      </c>
      <c r="I114" s="30" cm="1">
        <f t="array" ref="I114">I$106+IF($C114&lt;&gt;0,SUMPRODUCT((I$107:I$108)*TRANSPOSE(($D114:$E114))),0)</f>
        <v>0</v>
      </c>
      <c r="J114" s="30" cm="1">
        <f t="array" ref="J114">J$106+IF($C114&lt;&gt;0,SUMPRODUCT((J$107:J$108)*TRANSPOSE(($D114:$E114))),0)</f>
        <v>0</v>
      </c>
      <c r="K114" s="30" cm="1">
        <f t="array" ref="K114">K$106+IF($C114&lt;&gt;0,SUMPRODUCT((K$107:K$108)*TRANSPOSE(($D114:$E114))),0)</f>
        <v>0</v>
      </c>
      <c r="L114" s="30" cm="1">
        <f t="array" ref="L114">L$106+IF($C114&lt;&gt;0,SUMPRODUCT((L$107:L$108)*TRANSPOSE(($D114:$E114))),0)</f>
        <v>0</v>
      </c>
      <c r="M114" s="30" cm="1">
        <f t="array" ref="M114">M$106+IF($C114&lt;&gt;0,SUMPRODUCT((M$107:M$108)*TRANSPOSE(($D114:$E114))),0)</f>
        <v>0</v>
      </c>
      <c r="N114" s="30" cm="1">
        <f t="array" ref="N114">N$106+IF($C114&lt;&gt;0,SUMPRODUCT((N$107:N$108)*TRANSPOSE(($D114:$E114))),0)</f>
        <v>0</v>
      </c>
      <c r="O114" s="30" cm="1">
        <f t="array" ref="O114">O$106+IF($C114&lt;&gt;0,SUMPRODUCT((O$107:O$108)*TRANSPOSE(($D114:$E114))),0)</f>
        <v>0</v>
      </c>
      <c r="P114" s="30" cm="1">
        <f t="array" ref="P114">P$106+IF($C114&lt;&gt;0,SUMPRODUCT((P$107:P$108)*TRANSPOSE(($D114:$E114))),0)</f>
        <v>0</v>
      </c>
      <c r="Q114" s="30" cm="1">
        <f t="array" ref="Q114">Q$106+IF($C114&lt;&gt;0,SUMPRODUCT((Q$107:Q$108)*TRANSPOSE(($D114:$E114))),0)</f>
        <v>0</v>
      </c>
      <c r="R114" s="30" cm="1">
        <f t="array" ref="R114">R$106+IF($C114&lt;&gt;0,SUMPRODUCT((R$107:R$108)*TRANSPOSE(($D114:$E114))),0)</f>
        <v>0</v>
      </c>
      <c r="S114" s="30" cm="1">
        <f t="array" ref="S114">S$106+IF($C114&lt;&gt;0,SUMPRODUCT((S$107:S$108)*TRANSPOSE(($D114:$E114))),0)</f>
        <v>0</v>
      </c>
      <c r="T114" s="30" cm="1">
        <f t="array" ref="T114">T$106+IF($C114&lt;&gt;0,SUMPRODUCT((T$107:T$108)*TRANSPOSE(($D114:$E114))),0)</f>
        <v>0</v>
      </c>
      <c r="U114" s="30" cm="1">
        <f t="array" ref="U114">U$106+IF($C114&lt;&gt;0,SUMPRODUCT((U$107:U$108)*TRANSPOSE(($D114:$E114))),0)</f>
        <v>0</v>
      </c>
      <c r="V114" s="30" cm="1">
        <f t="array" ref="V114">V$106+IF($C114&lt;&gt;0,SUMPRODUCT((V$107:V$108)*TRANSPOSE(($D114:$E114))),0)</f>
        <v>0</v>
      </c>
      <c r="W114" s="30" cm="1">
        <f t="array" ref="W114">W$106+IF($C114&lt;&gt;0,SUMPRODUCT((W$107:W$108)*TRANSPOSE(($D114:$E114))),0)</f>
        <v>0</v>
      </c>
      <c r="X114" s="30" cm="1">
        <f t="array" ref="X114">X$106+IF($C114&lt;&gt;0,SUMPRODUCT((X$107:X$108)*TRANSPOSE(($D114:$E114))),0)</f>
        <v>0</v>
      </c>
      <c r="Y114" s="30" cm="1">
        <f t="array" ref="Y114">Y$106+IF($C114&lt;&gt;0,SUMPRODUCT((Y$107:Y$108)*TRANSPOSE(($D114:$E114))),0)</f>
        <v>0</v>
      </c>
      <c r="Z114" s="30" cm="1">
        <f t="array" ref="Z114">Z$106+IF($C114&lt;&gt;0,SUMPRODUCT((Z$107:Z$108)*TRANSPOSE(($D114:$E114))),0)</f>
        <v>0</v>
      </c>
      <c r="AA114" s="30" cm="1">
        <f t="array" ref="AA114">AA$106+IF($C114&lt;&gt;0,SUMPRODUCT((AA$107:AA$108)*TRANSPOSE(($D114:$E114))),0)</f>
        <v>0</v>
      </c>
      <c r="AB114" s="30" cm="1">
        <f t="array" ref="AB114">AB$106+IF($C114&lt;&gt;0,SUMPRODUCT((AB$107:AB$108)*TRANSPOSE(($D114:$E114))),0)</f>
        <v>0</v>
      </c>
      <c r="AC114" s="30" cm="1">
        <f t="array" ref="AC114">AC$106+IF($C114&lt;&gt;0,SUMPRODUCT((AC$107:AC$108)*TRANSPOSE(($D114:$E114))),0)</f>
        <v>0</v>
      </c>
      <c r="AD114" s="30" cm="1">
        <f t="array" ref="AD114">AD$106+IF($C114&lt;&gt;0,SUMPRODUCT((AD$107:AD$108)*TRANSPOSE(($D114:$E114))),0)</f>
        <v>0</v>
      </c>
      <c r="AE114" s="30" cm="1">
        <f t="array" ref="AE114">AE$106+IF($C114&lt;&gt;0,SUMPRODUCT((AE$107:AE$108)*TRANSPOSE(($D114:$E114))),0)</f>
        <v>0</v>
      </c>
      <c r="AF114" s="30" cm="1">
        <f t="array" ref="AF114">AF$106+IF($C114&lt;&gt;0,SUMPRODUCT((AF$107:AF$108)*TRANSPOSE(($D114:$E114))),0)</f>
        <v>0</v>
      </c>
      <c r="AG114" s="30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7" t="str">
        <f t="shared" si="21"/>
        <v>Option 4sens</v>
      </c>
      <c r="I115" s="30" cm="1">
        <f t="array" ref="I115">I$106+IF($C115&lt;&gt;0,SUMPRODUCT((I$107:I$108)*TRANSPOSE(($D115:$E115))),0)</f>
        <v>0</v>
      </c>
      <c r="J115" s="30" cm="1">
        <f t="array" ref="J115">J$106+IF($C115&lt;&gt;0,SUMPRODUCT((J$107:J$108)*TRANSPOSE(($D115:$E115))),0)</f>
        <v>0</v>
      </c>
      <c r="K115" s="30" cm="1">
        <f t="array" ref="K115">K$106+IF($C115&lt;&gt;0,SUMPRODUCT((K$107:K$108)*TRANSPOSE(($D115:$E115))),0)</f>
        <v>0</v>
      </c>
      <c r="L115" s="30" cm="1">
        <f t="array" ref="L115">L$106+IF($C115&lt;&gt;0,SUMPRODUCT((L$107:L$108)*TRANSPOSE(($D115:$E115))),0)</f>
        <v>0</v>
      </c>
      <c r="M115" s="30" cm="1">
        <f t="array" ref="M115">M$106+IF($C115&lt;&gt;0,SUMPRODUCT((M$107:M$108)*TRANSPOSE(($D115:$E115))),0)</f>
        <v>0</v>
      </c>
      <c r="N115" s="30" cm="1">
        <f t="array" ref="N115">N$106+IF($C115&lt;&gt;0,SUMPRODUCT((N$107:N$108)*TRANSPOSE(($D115:$E115))),0)</f>
        <v>0</v>
      </c>
      <c r="O115" s="30" cm="1">
        <f t="array" ref="O115">O$106+IF($C115&lt;&gt;0,SUMPRODUCT((O$107:O$108)*TRANSPOSE(($D115:$E115))),0)</f>
        <v>0</v>
      </c>
      <c r="P115" s="30" cm="1">
        <f t="array" ref="P115">P$106+IF($C115&lt;&gt;0,SUMPRODUCT((P$107:P$108)*TRANSPOSE(($D115:$E115))),0)</f>
        <v>0</v>
      </c>
      <c r="Q115" s="30" cm="1">
        <f t="array" ref="Q115">Q$106+IF($C115&lt;&gt;0,SUMPRODUCT((Q$107:Q$108)*TRANSPOSE(($D115:$E115))),0)</f>
        <v>0</v>
      </c>
      <c r="R115" s="30" cm="1">
        <f t="array" ref="R115">R$106+IF($C115&lt;&gt;0,SUMPRODUCT((R$107:R$108)*TRANSPOSE(($D115:$E115))),0)</f>
        <v>0</v>
      </c>
      <c r="S115" s="30" cm="1">
        <f t="array" ref="S115">S$106+IF($C115&lt;&gt;0,SUMPRODUCT((S$107:S$108)*TRANSPOSE(($D115:$E115))),0)</f>
        <v>0</v>
      </c>
      <c r="T115" s="30" cm="1">
        <f t="array" ref="T115">T$106+IF($C115&lt;&gt;0,SUMPRODUCT((T$107:T$108)*TRANSPOSE(($D115:$E115))),0)</f>
        <v>0</v>
      </c>
      <c r="U115" s="30" cm="1">
        <f t="array" ref="U115">U$106+IF($C115&lt;&gt;0,SUMPRODUCT((U$107:U$108)*TRANSPOSE(($D115:$E115))),0)</f>
        <v>0</v>
      </c>
      <c r="V115" s="30" cm="1">
        <f t="array" ref="V115">V$106+IF($C115&lt;&gt;0,SUMPRODUCT((V$107:V$108)*TRANSPOSE(($D115:$E115))),0)</f>
        <v>0</v>
      </c>
      <c r="W115" s="30" cm="1">
        <f t="array" ref="W115">W$106+IF($C115&lt;&gt;0,SUMPRODUCT((W$107:W$108)*TRANSPOSE(($D115:$E115))),0)</f>
        <v>0</v>
      </c>
      <c r="X115" s="30" cm="1">
        <f t="array" ref="X115">X$106+IF($C115&lt;&gt;0,SUMPRODUCT((X$107:X$108)*TRANSPOSE(($D115:$E115))),0)</f>
        <v>0</v>
      </c>
      <c r="Y115" s="30" cm="1">
        <f t="array" ref="Y115">Y$106+IF($C115&lt;&gt;0,SUMPRODUCT((Y$107:Y$108)*TRANSPOSE(($D115:$E115))),0)</f>
        <v>0</v>
      </c>
      <c r="Z115" s="30" cm="1">
        <f t="array" ref="Z115">Z$106+IF($C115&lt;&gt;0,SUMPRODUCT((Z$107:Z$108)*TRANSPOSE(($D115:$E115))),0)</f>
        <v>0</v>
      </c>
      <c r="AA115" s="30" cm="1">
        <f t="array" ref="AA115">AA$106+IF($C115&lt;&gt;0,SUMPRODUCT((AA$107:AA$108)*TRANSPOSE(($D115:$E115))),0)</f>
        <v>0</v>
      </c>
      <c r="AB115" s="30" cm="1">
        <f t="array" ref="AB115">AB$106+IF($C115&lt;&gt;0,SUMPRODUCT((AB$107:AB$108)*TRANSPOSE(($D115:$E115))),0)</f>
        <v>0</v>
      </c>
      <c r="AC115" s="30" cm="1">
        <f t="array" ref="AC115">AC$106+IF($C115&lt;&gt;0,SUMPRODUCT((AC$107:AC$108)*TRANSPOSE(($D115:$E115))),0)</f>
        <v>0</v>
      </c>
      <c r="AD115" s="30" cm="1">
        <f t="array" ref="AD115">AD$106+IF($C115&lt;&gt;0,SUMPRODUCT((AD$107:AD$108)*TRANSPOSE(($D115:$E115))),0)</f>
        <v>0</v>
      </c>
      <c r="AE115" s="30" cm="1">
        <f t="array" ref="AE115">AE$106+IF($C115&lt;&gt;0,SUMPRODUCT((AE$107:AE$108)*TRANSPOSE(($D115:$E115))),0)</f>
        <v>0</v>
      </c>
      <c r="AF115" s="30" cm="1">
        <f t="array" ref="AF115">AF$106+IF($C115&lt;&gt;0,SUMPRODUCT((AF$107:AF$108)*TRANSPOSE(($D115:$E115))),0)</f>
        <v>0</v>
      </c>
      <c r="AG115" s="30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7" t="str">
        <f t="shared" si="21"/>
        <v>Option 4sens</v>
      </c>
      <c r="I116" s="30" cm="1">
        <f t="array" ref="I116">I$106+IF($C116&lt;&gt;0,SUMPRODUCT((I$107:I$108)*TRANSPOSE(($D116:$E116))),0)</f>
        <v>0</v>
      </c>
      <c r="J116" s="30" cm="1">
        <f t="array" ref="J116">J$106+IF($C116&lt;&gt;0,SUMPRODUCT((J$107:J$108)*TRANSPOSE(($D116:$E116))),0)</f>
        <v>0</v>
      </c>
      <c r="K116" s="30" cm="1">
        <f t="array" ref="K116">K$106+IF($C116&lt;&gt;0,SUMPRODUCT((K$107:K$108)*TRANSPOSE(($D116:$E116))),0)</f>
        <v>0</v>
      </c>
      <c r="L116" s="30" cm="1">
        <f t="array" ref="L116">L$106+IF($C116&lt;&gt;0,SUMPRODUCT((L$107:L$108)*TRANSPOSE(($D116:$E116))),0)</f>
        <v>0</v>
      </c>
      <c r="M116" s="30" cm="1">
        <f t="array" ref="M116">M$106+IF($C116&lt;&gt;0,SUMPRODUCT((M$107:M$108)*TRANSPOSE(($D116:$E116))),0)</f>
        <v>0</v>
      </c>
      <c r="N116" s="30" cm="1">
        <f t="array" ref="N116">N$106+IF($C116&lt;&gt;0,SUMPRODUCT((N$107:N$108)*TRANSPOSE(($D116:$E116))),0)</f>
        <v>0</v>
      </c>
      <c r="O116" s="30" cm="1">
        <f t="array" ref="O116">O$106+IF($C116&lt;&gt;0,SUMPRODUCT((O$107:O$108)*TRANSPOSE(($D116:$E116))),0)</f>
        <v>0</v>
      </c>
      <c r="P116" s="30" cm="1">
        <f t="array" ref="P116">P$106+IF($C116&lt;&gt;0,SUMPRODUCT((P$107:P$108)*TRANSPOSE(($D116:$E116))),0)</f>
        <v>0</v>
      </c>
      <c r="Q116" s="30" cm="1">
        <f t="array" ref="Q116">Q$106+IF($C116&lt;&gt;0,SUMPRODUCT((Q$107:Q$108)*TRANSPOSE(($D116:$E116))),0)</f>
        <v>0</v>
      </c>
      <c r="R116" s="30" cm="1">
        <f t="array" ref="R116">R$106+IF($C116&lt;&gt;0,SUMPRODUCT((R$107:R$108)*TRANSPOSE(($D116:$E116))),0)</f>
        <v>0</v>
      </c>
      <c r="S116" s="30" cm="1">
        <f t="array" ref="S116">S$106+IF($C116&lt;&gt;0,SUMPRODUCT((S$107:S$108)*TRANSPOSE(($D116:$E116))),0)</f>
        <v>0</v>
      </c>
      <c r="T116" s="30" cm="1">
        <f t="array" ref="T116">T$106+IF($C116&lt;&gt;0,SUMPRODUCT((T$107:T$108)*TRANSPOSE(($D116:$E116))),0)</f>
        <v>0</v>
      </c>
      <c r="U116" s="30" cm="1">
        <f t="array" ref="U116">U$106+IF($C116&lt;&gt;0,SUMPRODUCT((U$107:U$108)*TRANSPOSE(($D116:$E116))),0)</f>
        <v>0</v>
      </c>
      <c r="V116" s="30" cm="1">
        <f t="array" ref="V116">V$106+IF($C116&lt;&gt;0,SUMPRODUCT((V$107:V$108)*TRANSPOSE(($D116:$E116))),0)</f>
        <v>0</v>
      </c>
      <c r="W116" s="30" cm="1">
        <f t="array" ref="W116">W$106+IF($C116&lt;&gt;0,SUMPRODUCT((W$107:W$108)*TRANSPOSE(($D116:$E116))),0)</f>
        <v>0</v>
      </c>
      <c r="X116" s="30" cm="1">
        <f t="array" ref="X116">X$106+IF($C116&lt;&gt;0,SUMPRODUCT((X$107:X$108)*TRANSPOSE(($D116:$E116))),0)</f>
        <v>0</v>
      </c>
      <c r="Y116" s="30" cm="1">
        <f t="array" ref="Y116">Y$106+IF($C116&lt;&gt;0,SUMPRODUCT((Y$107:Y$108)*TRANSPOSE(($D116:$E116))),0)</f>
        <v>0</v>
      </c>
      <c r="Z116" s="30" cm="1">
        <f t="array" ref="Z116">Z$106+IF($C116&lt;&gt;0,SUMPRODUCT((Z$107:Z$108)*TRANSPOSE(($D116:$E116))),0)</f>
        <v>0</v>
      </c>
      <c r="AA116" s="30" cm="1">
        <f t="array" ref="AA116">AA$106+IF($C116&lt;&gt;0,SUMPRODUCT((AA$107:AA$108)*TRANSPOSE(($D116:$E116))),0)</f>
        <v>0</v>
      </c>
      <c r="AB116" s="30" cm="1">
        <f t="array" ref="AB116">AB$106+IF($C116&lt;&gt;0,SUMPRODUCT((AB$107:AB$108)*TRANSPOSE(($D116:$E116))),0)</f>
        <v>0</v>
      </c>
      <c r="AC116" s="30" cm="1">
        <f t="array" ref="AC116">AC$106+IF($C116&lt;&gt;0,SUMPRODUCT((AC$107:AC$108)*TRANSPOSE(($D116:$E116))),0)</f>
        <v>0</v>
      </c>
      <c r="AD116" s="30" cm="1">
        <f t="array" ref="AD116">AD$106+IF($C116&lt;&gt;0,SUMPRODUCT((AD$107:AD$108)*TRANSPOSE(($D116:$E116))),0)</f>
        <v>0</v>
      </c>
      <c r="AE116" s="30" cm="1">
        <f t="array" ref="AE116">AE$106+IF($C116&lt;&gt;0,SUMPRODUCT((AE$107:AE$108)*TRANSPOSE(($D116:$E116))),0)</f>
        <v>0</v>
      </c>
      <c r="AF116" s="30" cm="1">
        <f t="array" ref="AF116">AF$106+IF($C116&lt;&gt;0,SUMPRODUCT((AF$107:AF$108)*TRANSPOSE(($D116:$E116))),0)</f>
        <v>0</v>
      </c>
      <c r="AG116" s="30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7" t="str">
        <f t="shared" si="21"/>
        <v>Option 4sens</v>
      </c>
      <c r="I117" s="30" cm="1">
        <f t="array" ref="I117">I$106+IF($C117&lt;&gt;0,SUMPRODUCT((I$107:I$108)*TRANSPOSE(($D117:$E117))),0)</f>
        <v>0</v>
      </c>
      <c r="J117" s="30" cm="1">
        <f t="array" ref="J117">J$106+IF($C117&lt;&gt;0,SUMPRODUCT((J$107:J$108)*TRANSPOSE(($D117:$E117))),0)</f>
        <v>0</v>
      </c>
      <c r="K117" s="30" cm="1">
        <f t="array" ref="K117">K$106+IF($C117&lt;&gt;0,SUMPRODUCT((K$107:K$108)*TRANSPOSE(($D117:$E117))),0)</f>
        <v>0</v>
      </c>
      <c r="L117" s="30" cm="1">
        <f t="array" ref="L117">L$106+IF($C117&lt;&gt;0,SUMPRODUCT((L$107:L$108)*TRANSPOSE(($D117:$E117))),0)</f>
        <v>0</v>
      </c>
      <c r="M117" s="30" cm="1">
        <f t="array" ref="M117">M$106+IF($C117&lt;&gt;0,SUMPRODUCT((M$107:M$108)*TRANSPOSE(($D117:$E117))),0)</f>
        <v>0</v>
      </c>
      <c r="N117" s="30" cm="1">
        <f t="array" ref="N117">N$106+IF($C117&lt;&gt;0,SUMPRODUCT((N$107:N$108)*TRANSPOSE(($D117:$E117))),0)</f>
        <v>0</v>
      </c>
      <c r="O117" s="30" cm="1">
        <f t="array" ref="O117">O$106+IF($C117&lt;&gt;0,SUMPRODUCT((O$107:O$108)*TRANSPOSE(($D117:$E117))),0)</f>
        <v>0</v>
      </c>
      <c r="P117" s="30" cm="1">
        <f t="array" ref="P117">P$106+IF($C117&lt;&gt;0,SUMPRODUCT((P$107:P$108)*TRANSPOSE(($D117:$E117))),0)</f>
        <v>0</v>
      </c>
      <c r="Q117" s="30" cm="1">
        <f t="array" ref="Q117">Q$106+IF($C117&lt;&gt;0,SUMPRODUCT((Q$107:Q$108)*TRANSPOSE(($D117:$E117))),0)</f>
        <v>0</v>
      </c>
      <c r="R117" s="30" cm="1">
        <f t="array" ref="R117">R$106+IF($C117&lt;&gt;0,SUMPRODUCT((R$107:R$108)*TRANSPOSE(($D117:$E117))),0)</f>
        <v>0</v>
      </c>
      <c r="S117" s="30" cm="1">
        <f t="array" ref="S117">S$106+IF($C117&lt;&gt;0,SUMPRODUCT((S$107:S$108)*TRANSPOSE(($D117:$E117))),0)</f>
        <v>0</v>
      </c>
      <c r="T117" s="30" cm="1">
        <f t="array" ref="T117">T$106+IF($C117&lt;&gt;0,SUMPRODUCT((T$107:T$108)*TRANSPOSE(($D117:$E117))),0)</f>
        <v>0</v>
      </c>
      <c r="U117" s="30" cm="1">
        <f t="array" ref="U117">U$106+IF($C117&lt;&gt;0,SUMPRODUCT((U$107:U$108)*TRANSPOSE(($D117:$E117))),0)</f>
        <v>0</v>
      </c>
      <c r="V117" s="30" cm="1">
        <f t="array" ref="V117">V$106+IF($C117&lt;&gt;0,SUMPRODUCT((V$107:V$108)*TRANSPOSE(($D117:$E117))),0)</f>
        <v>0</v>
      </c>
      <c r="W117" s="30" cm="1">
        <f t="array" ref="W117">W$106+IF($C117&lt;&gt;0,SUMPRODUCT((W$107:W$108)*TRANSPOSE(($D117:$E117))),0)</f>
        <v>0</v>
      </c>
      <c r="X117" s="30" cm="1">
        <f t="array" ref="X117">X$106+IF($C117&lt;&gt;0,SUMPRODUCT((X$107:X$108)*TRANSPOSE(($D117:$E117))),0)</f>
        <v>0</v>
      </c>
      <c r="Y117" s="30" cm="1">
        <f t="array" ref="Y117">Y$106+IF($C117&lt;&gt;0,SUMPRODUCT((Y$107:Y$108)*TRANSPOSE(($D117:$E117))),0)</f>
        <v>0</v>
      </c>
      <c r="Z117" s="30" cm="1">
        <f t="array" ref="Z117">Z$106+IF($C117&lt;&gt;0,SUMPRODUCT((Z$107:Z$108)*TRANSPOSE(($D117:$E117))),0)</f>
        <v>0</v>
      </c>
      <c r="AA117" s="30" cm="1">
        <f t="array" ref="AA117">AA$106+IF($C117&lt;&gt;0,SUMPRODUCT((AA$107:AA$108)*TRANSPOSE(($D117:$E117))),0)</f>
        <v>0</v>
      </c>
      <c r="AB117" s="30" cm="1">
        <f t="array" ref="AB117">AB$106+IF($C117&lt;&gt;0,SUMPRODUCT((AB$107:AB$108)*TRANSPOSE(($D117:$E117))),0)</f>
        <v>0</v>
      </c>
      <c r="AC117" s="30" cm="1">
        <f t="array" ref="AC117">AC$106+IF($C117&lt;&gt;0,SUMPRODUCT((AC$107:AC$108)*TRANSPOSE(($D117:$E117))),0)</f>
        <v>0</v>
      </c>
      <c r="AD117" s="30" cm="1">
        <f t="array" ref="AD117">AD$106+IF($C117&lt;&gt;0,SUMPRODUCT((AD$107:AD$108)*TRANSPOSE(($D117:$E117))),0)</f>
        <v>0</v>
      </c>
      <c r="AE117" s="30" cm="1">
        <f t="array" ref="AE117">AE$106+IF($C117&lt;&gt;0,SUMPRODUCT((AE$107:AE$108)*TRANSPOSE(($D117:$E117))),0)</f>
        <v>0</v>
      </c>
      <c r="AF117" s="30" cm="1">
        <f t="array" ref="AF117">AF$106+IF($C117&lt;&gt;0,SUMPRODUCT((AF$107:AF$108)*TRANSPOSE(($D117:$E117))),0)</f>
        <v>0</v>
      </c>
      <c r="AG117" s="30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94"/>
      <c r="AI1" s="394"/>
      <c r="AJ1" s="394"/>
    </row>
    <row r="2" spans="1:43" ht="18.75" x14ac:dyDescent="0.3">
      <c r="A2" s="55" t="str">
        <f>proj</f>
        <v>R switchboard and relay retirement</v>
      </c>
      <c r="B2" s="5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94"/>
      <c r="AI2" s="394"/>
      <c r="AJ2" s="394"/>
    </row>
    <row r="3" spans="1:43" ht="15.75" x14ac:dyDescent="0.25">
      <c r="A3" s="202" t="s">
        <v>185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7"/>
      <c r="B9" s="17"/>
      <c r="C9" s="17"/>
      <c r="D9" s="17"/>
      <c r="E9" s="17"/>
      <c r="F9" s="141"/>
      <c r="G9" s="17" t="s">
        <v>25</v>
      </c>
      <c r="H9" s="219"/>
      <c r="I9" s="16" t="str">
        <f>'Option1 (base case)'!I9</f>
        <v>2026-27</v>
      </c>
      <c r="J9" s="16" t="str">
        <f>'Option1 (base case)'!J9</f>
        <v>2027-28</v>
      </c>
      <c r="K9" s="16" t="str">
        <f>'Option1 (base case)'!K9</f>
        <v>2028-29</v>
      </c>
      <c r="L9" s="16" t="str">
        <f>'Option1 (base case)'!L9</f>
        <v>2029-30</v>
      </c>
      <c r="M9" s="16" t="str">
        <f>'Option1 (base case)'!M9</f>
        <v>2030-31</v>
      </c>
      <c r="N9" s="16" t="str">
        <f>'Option1 (base case)'!N9</f>
        <v>2031-32</v>
      </c>
      <c r="O9" s="16" t="str">
        <f>'Option1 (base case)'!O9</f>
        <v>2032-33</v>
      </c>
      <c r="P9" s="16" t="str">
        <f>'Option1 (base case)'!P9</f>
        <v>2033-34</v>
      </c>
      <c r="Q9" s="16" t="str">
        <f>'Option1 (base case)'!Q9</f>
        <v>2034-35</v>
      </c>
      <c r="R9" s="16" t="str">
        <f>'Option1 (base case)'!R9</f>
        <v>2035-36</v>
      </c>
      <c r="S9" s="16" t="str">
        <f>'Option1 (base case)'!S9</f>
        <v>2036-37</v>
      </c>
      <c r="T9" s="16" t="str">
        <f>'Option1 (base case)'!T9</f>
        <v>2037-38</v>
      </c>
      <c r="U9" s="16" t="str">
        <f>'Option1 (base case)'!U9</f>
        <v>2038-39</v>
      </c>
      <c r="V9" s="16" t="str">
        <f>'Option1 (base case)'!V9</f>
        <v>2039-40</v>
      </c>
      <c r="W9" s="16" t="str">
        <f>'Option1 (base case)'!W9</f>
        <v>2040-41</v>
      </c>
      <c r="X9" s="16" t="str">
        <f>'Option1 (base case)'!X9</f>
        <v>2041-42</v>
      </c>
      <c r="Y9" s="16" t="str">
        <f>'Option1 (base case)'!Y9</f>
        <v>2042-43</v>
      </c>
      <c r="Z9" s="16" t="str">
        <f>'Option1 (base case)'!Z9</f>
        <v>2043-44</v>
      </c>
      <c r="AA9" s="16" t="str">
        <f>'Option1 (base case)'!AA9</f>
        <v>2044-45</v>
      </c>
      <c r="AB9" s="16" t="str">
        <f>'Option1 (base case)'!AB9</f>
        <v>2045-46</v>
      </c>
      <c r="AC9" s="16" t="str">
        <f>'Option1 (base case)'!AC9</f>
        <v>2046-47</v>
      </c>
      <c r="AD9" s="16" t="str">
        <f>'Option1 (base case)'!AD9</f>
        <v>2047-48</v>
      </c>
      <c r="AE9" s="16" t="str">
        <f>'Option1 (base case)'!AE9</f>
        <v>2048-49</v>
      </c>
      <c r="AF9" s="16" t="str">
        <f>'Option1 (base case)'!AF9</f>
        <v>2049-50</v>
      </c>
      <c r="AG9" s="16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8" t="s">
        <v>120</v>
      </c>
      <c r="B11" s="88"/>
      <c r="C11" s="89"/>
      <c r="D11" s="89"/>
      <c r="E11" s="89"/>
      <c r="F11" s="89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6" t="s">
        <v>57</v>
      </c>
      <c r="D14"/>
      <c r="E14" s="147">
        <v>0</v>
      </c>
      <c r="G14" s="206">
        <f>input_dollars</f>
        <v>45291</v>
      </c>
      <c r="H14" s="148"/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6" t="s">
        <v>57</v>
      </c>
      <c r="D15"/>
      <c r="E15" s="147">
        <v>0</v>
      </c>
      <c r="G15" s="206">
        <f>input_dollars</f>
        <v>45291</v>
      </c>
      <c r="H15" s="2"/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6" t="s">
        <v>57</v>
      </c>
      <c r="D16"/>
      <c r="E16" s="147">
        <v>0</v>
      </c>
      <c r="G16" s="206">
        <f>input_dollars</f>
        <v>45291</v>
      </c>
      <c r="H16" s="2"/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>SUM(K14:K16)</f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8" t="s">
        <v>150</v>
      </c>
      <c r="B22" s="88"/>
      <c r="C22" s="88"/>
      <c r="D22" s="88"/>
      <c r="E22" s="88"/>
      <c r="F22" s="88"/>
      <c r="G22" s="203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50104.893056593428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8" t="s">
        <v>56</v>
      </c>
      <c r="B38" s="88"/>
      <c r="C38" s="88"/>
      <c r="D38" s="88"/>
      <c r="E38" s="88"/>
      <c r="F38" s="88"/>
      <c r="G38" s="203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4">
        <f t="shared" ref="I42:AG42" si="4">I41*I7</f>
        <v>0</v>
      </c>
      <c r="J42" s="84">
        <f t="shared" si="4"/>
        <v>0</v>
      </c>
      <c r="K42" s="84">
        <f t="shared" si="4"/>
        <v>0</v>
      </c>
      <c r="L42" s="84">
        <f t="shared" si="4"/>
        <v>0</v>
      </c>
      <c r="M42" s="84">
        <f t="shared" si="4"/>
        <v>0</v>
      </c>
      <c r="N42" s="84">
        <f t="shared" si="4"/>
        <v>0</v>
      </c>
      <c r="O42" s="84">
        <f t="shared" si="4"/>
        <v>0</v>
      </c>
      <c r="P42" s="84">
        <f t="shared" si="4"/>
        <v>0</v>
      </c>
      <c r="Q42" s="84">
        <f t="shared" si="4"/>
        <v>0</v>
      </c>
      <c r="R42" s="84">
        <f t="shared" si="4"/>
        <v>0</v>
      </c>
      <c r="S42" s="84">
        <f t="shared" si="4"/>
        <v>0</v>
      </c>
      <c r="T42" s="84">
        <f t="shared" si="4"/>
        <v>0</v>
      </c>
      <c r="U42" s="84">
        <f t="shared" si="4"/>
        <v>0</v>
      </c>
      <c r="V42" s="84">
        <f t="shared" si="4"/>
        <v>0</v>
      </c>
      <c r="W42" s="84">
        <f t="shared" si="4"/>
        <v>0</v>
      </c>
      <c r="X42" s="84">
        <f t="shared" si="4"/>
        <v>0</v>
      </c>
      <c r="Y42" s="84">
        <f t="shared" si="4"/>
        <v>0</v>
      </c>
      <c r="Z42" s="84">
        <f t="shared" si="4"/>
        <v>0</v>
      </c>
      <c r="AA42" s="84">
        <f t="shared" si="4"/>
        <v>0</v>
      </c>
      <c r="AB42" s="84">
        <f t="shared" si="4"/>
        <v>0</v>
      </c>
      <c r="AC42" s="84">
        <f t="shared" si="4"/>
        <v>0</v>
      </c>
      <c r="AD42" s="84">
        <f t="shared" si="4"/>
        <v>0</v>
      </c>
      <c r="AE42" s="84">
        <f t="shared" si="4"/>
        <v>0</v>
      </c>
      <c r="AF42" s="84">
        <f t="shared" si="4"/>
        <v>0</v>
      </c>
      <c r="AG42" s="84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</row>
    <row r="53" spans="1:43" x14ac:dyDescent="0.2">
      <c r="D53" s="204"/>
      <c r="G53" s="206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</row>
    <row r="54" spans="1:43" x14ac:dyDescent="0.2">
      <c r="C54" s="1" t="s">
        <v>117</v>
      </c>
      <c r="D54" s="204"/>
      <c r="G54" s="206">
        <f>input_dollars</f>
        <v>45291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43" x14ac:dyDescent="0.2">
      <c r="G59" s="204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43" ht="15" x14ac:dyDescent="0.2">
      <c r="A60" s="88" t="s">
        <v>16</v>
      </c>
      <c r="B60" s="88"/>
      <c r="C60" s="88"/>
      <c r="D60" s="88"/>
      <c r="E60" s="88"/>
      <c r="F60" s="88"/>
      <c r="G60" s="203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7"/>
      <c r="F66" s="96"/>
      <c r="G66" s="212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x14ac:dyDescent="0.2">
      <c r="A67" s="8"/>
      <c r="B67" s="8"/>
      <c r="C67" s="4" t="str">
        <f>C14</f>
        <v>&lt; Enter description &gt;</v>
      </c>
      <c r="D67" s="37"/>
      <c r="F67" s="96"/>
      <c r="G67" s="209">
        <f>input_dollars</f>
        <v>45291</v>
      </c>
      <c r="H67" s="30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7"/>
      <c r="F68" s="96"/>
      <c r="G68" s="209">
        <f>input_dollars</f>
        <v>45291</v>
      </c>
      <c r="H68" s="30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7"/>
      <c r="F69" s="96"/>
      <c r="G69" s="209">
        <f>input_dollars</f>
        <v>45291</v>
      </c>
      <c r="H69" s="30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7"/>
      <c r="F70" s="96"/>
      <c r="G70" s="213"/>
      <c r="H70" s="30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7"/>
      <c r="F71" s="96"/>
      <c r="G71" s="212"/>
      <c r="H71" s="30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7"/>
      <c r="F72" s="96"/>
      <c r="G72" s="209">
        <f>input_dollars</f>
        <v>45291</v>
      </c>
      <c r="H72" s="30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7"/>
      <c r="F73" s="96"/>
      <c r="G73" s="209">
        <f>input_dollars</f>
        <v>45291</v>
      </c>
      <c r="H73" s="30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7"/>
      <c r="F74" s="96"/>
      <c r="G74" s="209">
        <f>input_dollars</f>
        <v>45291</v>
      </c>
      <c r="H74" s="30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7"/>
      <c r="F75" s="96"/>
      <c r="G75" s="213"/>
      <c r="H75" s="30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7"/>
      <c r="F76" s="96"/>
      <c r="G76" s="212"/>
      <c r="H76" s="30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7"/>
      <c r="F77" s="96"/>
      <c r="G77" s="209">
        <f>input_dollars</f>
        <v>45291</v>
      </c>
      <c r="H77" s="30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7"/>
      <c r="F78" s="96"/>
      <c r="G78" s="209">
        <f>input_dollars</f>
        <v>45291</v>
      </c>
      <c r="H78" s="30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7"/>
      <c r="F79" s="96"/>
      <c r="G79" s="209">
        <f>input_dollars</f>
        <v>45291</v>
      </c>
      <c r="H79" s="30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4"/>
      <c r="D81" s="37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7"/>
      <c r="F82" s="96"/>
      <c r="G82" s="209">
        <f t="shared" ref="G82:G87" si="12">input_dollars</f>
        <v>45291</v>
      </c>
      <c r="H82" s="30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7"/>
      <c r="F83" s="96"/>
      <c r="G83" s="209">
        <f t="shared" si="12"/>
        <v>45291</v>
      </c>
      <c r="H83" s="30"/>
      <c r="I83" s="30">
        <f t="shared" ref="I83:AG83" si="14">-I19</f>
        <v>0</v>
      </c>
      <c r="J83" s="30">
        <f t="shared" si="14"/>
        <v>0</v>
      </c>
      <c r="K83" s="30">
        <f t="shared" si="14"/>
        <v>0</v>
      </c>
      <c r="L83" s="30">
        <f t="shared" si="14"/>
        <v>0</v>
      </c>
      <c r="M83" s="30">
        <f t="shared" si="14"/>
        <v>0</v>
      </c>
      <c r="N83" s="30">
        <f t="shared" si="14"/>
        <v>0</v>
      </c>
      <c r="O83" s="30">
        <f t="shared" si="14"/>
        <v>0</v>
      </c>
      <c r="P83" s="30">
        <f t="shared" si="14"/>
        <v>0</v>
      </c>
      <c r="Q83" s="30">
        <f t="shared" si="14"/>
        <v>0</v>
      </c>
      <c r="R83" s="30">
        <f t="shared" si="14"/>
        <v>0</v>
      </c>
      <c r="S83" s="30">
        <f t="shared" si="14"/>
        <v>0</v>
      </c>
      <c r="T83" s="30">
        <f t="shared" si="14"/>
        <v>0</v>
      </c>
      <c r="U83" s="30">
        <f t="shared" si="14"/>
        <v>0</v>
      </c>
      <c r="V83" s="30">
        <f t="shared" si="14"/>
        <v>0</v>
      </c>
      <c r="W83" s="30">
        <f t="shared" si="14"/>
        <v>0</v>
      </c>
      <c r="X83" s="30">
        <f t="shared" si="14"/>
        <v>0</v>
      </c>
      <c r="Y83" s="30">
        <f t="shared" si="14"/>
        <v>0</v>
      </c>
      <c r="Z83" s="30">
        <f t="shared" si="14"/>
        <v>0</v>
      </c>
      <c r="AA83" s="30">
        <f t="shared" si="14"/>
        <v>0</v>
      </c>
      <c r="AB83" s="30">
        <f t="shared" si="14"/>
        <v>0</v>
      </c>
      <c r="AC83" s="30">
        <f t="shared" si="14"/>
        <v>0</v>
      </c>
      <c r="AD83" s="30">
        <f t="shared" si="14"/>
        <v>0</v>
      </c>
      <c r="AE83" s="30">
        <f t="shared" si="14"/>
        <v>0</v>
      </c>
      <c r="AF83" s="30">
        <f t="shared" si="14"/>
        <v>0</v>
      </c>
      <c r="AG83" s="30">
        <f t="shared" si="14"/>
        <v>0</v>
      </c>
    </row>
    <row r="84" spans="1:33" x14ac:dyDescent="0.2">
      <c r="A84" s="8"/>
      <c r="B84" s="8"/>
      <c r="C84" s="4" t="s">
        <v>140</v>
      </c>
      <c r="D84" s="37"/>
      <c r="F84" s="96"/>
      <c r="G84" s="209">
        <f t="shared" si="12"/>
        <v>45291</v>
      </c>
      <c r="H84" s="30"/>
      <c r="I84" s="30">
        <f>I64</f>
        <v>0</v>
      </c>
      <c r="J84" s="30">
        <f t="shared" ref="J84:AB84" si="15">J64</f>
        <v>0</v>
      </c>
      <c r="K84" s="30">
        <f t="shared" si="15"/>
        <v>0</v>
      </c>
      <c r="L84" s="30">
        <f t="shared" si="15"/>
        <v>0</v>
      </c>
      <c r="M84" s="30">
        <f t="shared" si="15"/>
        <v>0</v>
      </c>
      <c r="N84" s="30">
        <f t="shared" si="15"/>
        <v>0</v>
      </c>
      <c r="O84" s="30">
        <f t="shared" si="15"/>
        <v>0</v>
      </c>
      <c r="P84" s="30">
        <f t="shared" si="15"/>
        <v>0</v>
      </c>
      <c r="Q84" s="30">
        <f t="shared" si="15"/>
        <v>0</v>
      </c>
      <c r="R84" s="30">
        <f t="shared" si="15"/>
        <v>0</v>
      </c>
      <c r="S84" s="30">
        <f t="shared" si="15"/>
        <v>0</v>
      </c>
      <c r="T84" s="30">
        <f t="shared" si="15"/>
        <v>0</v>
      </c>
      <c r="U84" s="30">
        <f t="shared" si="15"/>
        <v>0</v>
      </c>
      <c r="V84" s="30">
        <f t="shared" si="15"/>
        <v>0</v>
      </c>
      <c r="W84" s="30">
        <f t="shared" si="15"/>
        <v>0</v>
      </c>
      <c r="X84" s="30">
        <f t="shared" si="15"/>
        <v>0</v>
      </c>
      <c r="Y84" s="30">
        <f t="shared" si="15"/>
        <v>0</v>
      </c>
      <c r="Z84" s="30">
        <f t="shared" si="15"/>
        <v>0</v>
      </c>
      <c r="AA84" s="30">
        <f t="shared" si="15"/>
        <v>0</v>
      </c>
      <c r="AB84" s="30">
        <f t="shared" si="15"/>
        <v>0</v>
      </c>
      <c r="AC84" s="30">
        <f>AC64</f>
        <v>0</v>
      </c>
      <c r="AD84" s="30">
        <f>AD64</f>
        <v>0</v>
      </c>
      <c r="AE84" s="30">
        <f>AE64</f>
        <v>0</v>
      </c>
      <c r="AF84" s="30">
        <f>AF64</f>
        <v>0</v>
      </c>
      <c r="AG84" s="30">
        <f>AG64</f>
        <v>0</v>
      </c>
    </row>
    <row r="85" spans="1:33" x14ac:dyDescent="0.2">
      <c r="A85" s="8"/>
      <c r="B85" s="8"/>
      <c r="C85" s="4" t="s">
        <v>122</v>
      </c>
      <c r="D85" s="37"/>
      <c r="F85" s="96"/>
      <c r="G85" s="209">
        <f t="shared" si="12"/>
        <v>45291</v>
      </c>
      <c r="H85" s="30"/>
      <c r="I85" s="30">
        <f t="shared" ref="I85:AG85" si="16">I57</f>
        <v>0</v>
      </c>
      <c r="J85" s="30">
        <f t="shared" si="16"/>
        <v>0</v>
      </c>
      <c r="K85" s="30">
        <f t="shared" si="16"/>
        <v>0</v>
      </c>
      <c r="L85" s="30">
        <f t="shared" si="16"/>
        <v>0</v>
      </c>
      <c r="M85" s="30">
        <f t="shared" si="16"/>
        <v>0</v>
      </c>
      <c r="N85" s="30">
        <f t="shared" si="16"/>
        <v>0</v>
      </c>
      <c r="O85" s="30">
        <f t="shared" si="16"/>
        <v>0</v>
      </c>
      <c r="P85" s="30">
        <f t="shared" si="16"/>
        <v>0</v>
      </c>
      <c r="Q85" s="30">
        <f t="shared" si="16"/>
        <v>0</v>
      </c>
      <c r="R85" s="30">
        <f t="shared" si="16"/>
        <v>0</v>
      </c>
      <c r="S85" s="30">
        <f t="shared" si="16"/>
        <v>0</v>
      </c>
      <c r="T85" s="30">
        <f t="shared" si="16"/>
        <v>0</v>
      </c>
      <c r="U85" s="30">
        <f t="shared" si="16"/>
        <v>0</v>
      </c>
      <c r="V85" s="30">
        <f t="shared" si="16"/>
        <v>0</v>
      </c>
      <c r="W85" s="30">
        <f t="shared" si="16"/>
        <v>0</v>
      </c>
      <c r="X85" s="30">
        <f t="shared" si="16"/>
        <v>0</v>
      </c>
      <c r="Y85" s="30">
        <f t="shared" si="16"/>
        <v>0</v>
      </c>
      <c r="Z85" s="30">
        <f t="shared" si="16"/>
        <v>0</v>
      </c>
      <c r="AA85" s="30">
        <f t="shared" si="16"/>
        <v>0</v>
      </c>
      <c r="AB85" s="30">
        <f t="shared" si="16"/>
        <v>0</v>
      </c>
      <c r="AC85" s="30">
        <f t="shared" si="16"/>
        <v>0</v>
      </c>
      <c r="AD85" s="30">
        <f t="shared" si="16"/>
        <v>0</v>
      </c>
      <c r="AE85" s="30">
        <f t="shared" si="16"/>
        <v>0</v>
      </c>
      <c r="AF85" s="30">
        <f t="shared" si="16"/>
        <v>0</v>
      </c>
      <c r="AG85" s="30">
        <f t="shared" si="16"/>
        <v>0</v>
      </c>
    </row>
    <row r="86" spans="1:33" x14ac:dyDescent="0.2">
      <c r="A86" s="8"/>
      <c r="B86" s="8"/>
      <c r="C86" s="4"/>
      <c r="D86" s="37"/>
      <c r="F86" s="30"/>
      <c r="G86" s="209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4"/>
      <c r="D88" s="137"/>
      <c r="E88" s="63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4"/>
      <c r="D89" s="137"/>
      <c r="E89" s="63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1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1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1"/>
    </row>
    <row r="102" spans="1:43" ht="15" x14ac:dyDescent="0.2">
      <c r="A102" s="88" t="s">
        <v>216</v>
      </c>
      <c r="B102" s="88"/>
      <c r="C102" s="88"/>
      <c r="D102" s="88"/>
      <c r="E102" s="88"/>
      <c r="F102" s="88"/>
      <c r="G102" s="203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7" t="str">
        <f>PROPER($A$3)&amp;A106</f>
        <v>Option 5NPV</v>
      </c>
      <c r="I106" s="30">
        <f>I87</f>
        <v>0</v>
      </c>
      <c r="J106" s="30">
        <f t="shared" ref="J106:AG106" si="18">J87</f>
        <v>0</v>
      </c>
      <c r="K106" s="30">
        <f t="shared" si="18"/>
        <v>0</v>
      </c>
      <c r="L106" s="30">
        <f t="shared" si="18"/>
        <v>0</v>
      </c>
      <c r="M106" s="30">
        <f t="shared" si="18"/>
        <v>0</v>
      </c>
      <c r="N106" s="30">
        <f t="shared" si="18"/>
        <v>0</v>
      </c>
      <c r="O106" s="30">
        <f t="shared" si="18"/>
        <v>0</v>
      </c>
      <c r="P106" s="30">
        <f t="shared" si="18"/>
        <v>0</v>
      </c>
      <c r="Q106" s="30">
        <f t="shared" si="18"/>
        <v>0</v>
      </c>
      <c r="R106" s="30">
        <f t="shared" si="18"/>
        <v>0</v>
      </c>
      <c r="S106" s="30">
        <f t="shared" si="18"/>
        <v>0</v>
      </c>
      <c r="T106" s="30">
        <f t="shared" si="18"/>
        <v>0</v>
      </c>
      <c r="U106" s="30">
        <f t="shared" si="18"/>
        <v>0</v>
      </c>
      <c r="V106" s="30">
        <f t="shared" si="18"/>
        <v>0</v>
      </c>
      <c r="W106" s="30">
        <f t="shared" si="18"/>
        <v>0</v>
      </c>
      <c r="X106" s="30">
        <f t="shared" si="18"/>
        <v>0</v>
      </c>
      <c r="Y106" s="30">
        <f t="shared" si="18"/>
        <v>0</v>
      </c>
      <c r="Z106" s="30">
        <f t="shared" si="18"/>
        <v>0</v>
      </c>
      <c r="AA106" s="30">
        <f t="shared" si="18"/>
        <v>0</v>
      </c>
      <c r="AB106" s="30">
        <f t="shared" si="18"/>
        <v>0</v>
      </c>
      <c r="AC106" s="30">
        <f t="shared" si="18"/>
        <v>0</v>
      </c>
      <c r="AD106" s="30">
        <f t="shared" si="18"/>
        <v>0</v>
      </c>
      <c r="AE106" s="30">
        <f t="shared" si="18"/>
        <v>0</v>
      </c>
      <c r="AF106" s="30">
        <f t="shared" si="18"/>
        <v>0</v>
      </c>
      <c r="AG106" s="30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0">
        <f>I82</f>
        <v>0</v>
      </c>
      <c r="J107" s="30">
        <f t="shared" ref="J107:AG107" si="19">J82</f>
        <v>0</v>
      </c>
      <c r="K107" s="30">
        <f t="shared" si="19"/>
        <v>0</v>
      </c>
      <c r="L107" s="30">
        <f t="shared" si="19"/>
        <v>0</v>
      </c>
      <c r="M107" s="30">
        <f t="shared" si="19"/>
        <v>0</v>
      </c>
      <c r="N107" s="30">
        <f t="shared" si="19"/>
        <v>0</v>
      </c>
      <c r="O107" s="30">
        <f t="shared" si="19"/>
        <v>0</v>
      </c>
      <c r="P107" s="30">
        <f t="shared" si="19"/>
        <v>0</v>
      </c>
      <c r="Q107" s="30">
        <f t="shared" si="19"/>
        <v>0</v>
      </c>
      <c r="R107" s="30">
        <f t="shared" si="19"/>
        <v>0</v>
      </c>
      <c r="S107" s="30">
        <f t="shared" si="19"/>
        <v>0</v>
      </c>
      <c r="T107" s="30">
        <f t="shared" si="19"/>
        <v>0</v>
      </c>
      <c r="U107" s="30">
        <f t="shared" si="19"/>
        <v>0</v>
      </c>
      <c r="V107" s="30">
        <f t="shared" si="19"/>
        <v>0</v>
      </c>
      <c r="W107" s="30">
        <f t="shared" si="19"/>
        <v>0</v>
      </c>
      <c r="X107" s="30">
        <f t="shared" si="19"/>
        <v>0</v>
      </c>
      <c r="Y107" s="30">
        <f t="shared" si="19"/>
        <v>0</v>
      </c>
      <c r="Z107" s="30">
        <f t="shared" si="19"/>
        <v>0</v>
      </c>
      <c r="AA107" s="30">
        <f t="shared" si="19"/>
        <v>0</v>
      </c>
      <c r="AB107" s="30">
        <f t="shared" si="19"/>
        <v>0</v>
      </c>
      <c r="AC107" s="30">
        <f t="shared" si="19"/>
        <v>0</v>
      </c>
      <c r="AD107" s="30">
        <f t="shared" si="19"/>
        <v>0</v>
      </c>
      <c r="AE107" s="30">
        <f t="shared" si="19"/>
        <v>0</v>
      </c>
      <c r="AF107" s="30">
        <f t="shared" si="19"/>
        <v>0</v>
      </c>
      <c r="AG107" s="30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0">
        <f>SUM(I84:I85)</f>
        <v>0</v>
      </c>
      <c r="J108" s="30">
        <f t="shared" ref="J108:AG108" si="20">SUM(J84:J85)</f>
        <v>0</v>
      </c>
      <c r="K108" s="30">
        <f t="shared" si="20"/>
        <v>0</v>
      </c>
      <c r="L108" s="30">
        <f t="shared" si="20"/>
        <v>0</v>
      </c>
      <c r="M108" s="30">
        <f t="shared" si="20"/>
        <v>0</v>
      </c>
      <c r="N108" s="30">
        <f t="shared" si="20"/>
        <v>0</v>
      </c>
      <c r="O108" s="30">
        <f t="shared" si="20"/>
        <v>0</v>
      </c>
      <c r="P108" s="30">
        <f t="shared" si="20"/>
        <v>0</v>
      </c>
      <c r="Q108" s="30">
        <f t="shared" si="20"/>
        <v>0</v>
      </c>
      <c r="R108" s="30">
        <f t="shared" si="20"/>
        <v>0</v>
      </c>
      <c r="S108" s="30">
        <f t="shared" si="20"/>
        <v>0</v>
      </c>
      <c r="T108" s="30">
        <f t="shared" si="20"/>
        <v>0</v>
      </c>
      <c r="U108" s="30">
        <f t="shared" si="20"/>
        <v>0</v>
      </c>
      <c r="V108" s="30">
        <f t="shared" si="20"/>
        <v>0</v>
      </c>
      <c r="W108" s="30">
        <f t="shared" si="20"/>
        <v>0</v>
      </c>
      <c r="X108" s="30">
        <f t="shared" si="20"/>
        <v>0</v>
      </c>
      <c r="Y108" s="30">
        <f t="shared" si="20"/>
        <v>0</v>
      </c>
      <c r="Z108" s="30">
        <f t="shared" si="20"/>
        <v>0</v>
      </c>
      <c r="AA108" s="30">
        <f t="shared" si="20"/>
        <v>0</v>
      </c>
      <c r="AB108" s="30">
        <f t="shared" si="20"/>
        <v>0</v>
      </c>
      <c r="AC108" s="30">
        <f t="shared" si="20"/>
        <v>0</v>
      </c>
      <c r="AD108" s="30">
        <f t="shared" si="20"/>
        <v>0</v>
      </c>
      <c r="AE108" s="30">
        <f t="shared" si="20"/>
        <v>0</v>
      </c>
      <c r="AF108" s="30">
        <f t="shared" si="20"/>
        <v>0</v>
      </c>
      <c r="AG108" s="30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7" t="str">
        <f>PROPER($A$3)&amp;A110</f>
        <v>Option 5sens1</v>
      </c>
      <c r="I110" s="30" cm="1">
        <f t="array" ref="I110">I$106+IF($C110&lt;&gt;0,SUMPRODUCT((I$107:I$108)*TRANSPOSE(($D110:$E110))),0)</f>
        <v>0</v>
      </c>
      <c r="J110" s="30" cm="1">
        <f t="array" ref="J110">J$106+IF($C110&lt;&gt;0,SUMPRODUCT((J$107:J$108)*TRANSPOSE(($D110:$E110))),0)</f>
        <v>0</v>
      </c>
      <c r="K110" s="30" cm="1">
        <f t="array" ref="K110">K$106+IF($C110&lt;&gt;0,SUMPRODUCT((K$107:K$108)*TRANSPOSE(($D110:$E110))),0)</f>
        <v>0</v>
      </c>
      <c r="L110" s="30" cm="1">
        <f t="array" ref="L110">L$106+IF($C110&lt;&gt;0,SUMPRODUCT((L$107:L$108)*TRANSPOSE(($D110:$E110))),0)</f>
        <v>0</v>
      </c>
      <c r="M110" s="30" cm="1">
        <f t="array" ref="M110">M$106+IF($C110&lt;&gt;0,SUMPRODUCT((M$107:M$108)*TRANSPOSE(($D110:$E110))),0)</f>
        <v>0</v>
      </c>
      <c r="N110" s="30" cm="1">
        <f t="array" ref="N110">N$106+IF($C110&lt;&gt;0,SUMPRODUCT((N$107:N$108)*TRANSPOSE(($D110:$E110))),0)</f>
        <v>0</v>
      </c>
      <c r="O110" s="30" cm="1">
        <f t="array" ref="O110">O$106+IF($C110&lt;&gt;0,SUMPRODUCT((O$107:O$108)*TRANSPOSE(($D110:$E110))),0)</f>
        <v>0</v>
      </c>
      <c r="P110" s="30" cm="1">
        <f t="array" ref="P110">P$106+IF($C110&lt;&gt;0,SUMPRODUCT((P$107:P$108)*TRANSPOSE(($D110:$E110))),0)</f>
        <v>0</v>
      </c>
      <c r="Q110" s="30" cm="1">
        <f t="array" ref="Q110">Q$106+IF($C110&lt;&gt;0,SUMPRODUCT((Q$107:Q$108)*TRANSPOSE(($D110:$E110))),0)</f>
        <v>0</v>
      </c>
      <c r="R110" s="30" cm="1">
        <f t="array" ref="R110">R$106+IF($C110&lt;&gt;0,SUMPRODUCT((R$107:R$108)*TRANSPOSE(($D110:$E110))),0)</f>
        <v>0</v>
      </c>
      <c r="S110" s="30" cm="1">
        <f t="array" ref="S110">S$106+IF($C110&lt;&gt;0,SUMPRODUCT((S$107:S$108)*TRANSPOSE(($D110:$E110))),0)</f>
        <v>0</v>
      </c>
      <c r="T110" s="30" cm="1">
        <f t="array" ref="T110">T$106+IF($C110&lt;&gt;0,SUMPRODUCT((T$107:T$108)*TRANSPOSE(($D110:$E110))),0)</f>
        <v>0</v>
      </c>
      <c r="U110" s="30" cm="1">
        <f t="array" ref="U110">U$106+IF($C110&lt;&gt;0,SUMPRODUCT((U$107:U$108)*TRANSPOSE(($D110:$E110))),0)</f>
        <v>0</v>
      </c>
      <c r="V110" s="30" cm="1">
        <f t="array" ref="V110">V$106+IF($C110&lt;&gt;0,SUMPRODUCT((V$107:V$108)*TRANSPOSE(($D110:$E110))),0)</f>
        <v>0</v>
      </c>
      <c r="W110" s="30" cm="1">
        <f t="array" ref="W110">W$106+IF($C110&lt;&gt;0,SUMPRODUCT((W$107:W$108)*TRANSPOSE(($D110:$E110))),0)</f>
        <v>0</v>
      </c>
      <c r="X110" s="30" cm="1">
        <f t="array" ref="X110">X$106+IF($C110&lt;&gt;0,SUMPRODUCT((X$107:X$108)*TRANSPOSE(($D110:$E110))),0)</f>
        <v>0</v>
      </c>
      <c r="Y110" s="30" cm="1">
        <f t="array" ref="Y110">Y$106+IF($C110&lt;&gt;0,SUMPRODUCT((Y$107:Y$108)*TRANSPOSE(($D110:$E110))),0)</f>
        <v>0</v>
      </c>
      <c r="Z110" s="30" cm="1">
        <f t="array" ref="Z110">Z$106+IF($C110&lt;&gt;0,SUMPRODUCT((Z$107:Z$108)*TRANSPOSE(($D110:$E110))),0)</f>
        <v>0</v>
      </c>
      <c r="AA110" s="30" cm="1">
        <f t="array" ref="AA110">AA$106+IF($C110&lt;&gt;0,SUMPRODUCT((AA$107:AA$108)*TRANSPOSE(($D110:$E110))),0)</f>
        <v>0</v>
      </c>
      <c r="AB110" s="30" cm="1">
        <f t="array" ref="AB110">AB$106+IF($C110&lt;&gt;0,SUMPRODUCT((AB$107:AB$108)*TRANSPOSE(($D110:$E110))),0)</f>
        <v>0</v>
      </c>
      <c r="AC110" s="30" cm="1">
        <f t="array" ref="AC110">AC$106+IF($C110&lt;&gt;0,SUMPRODUCT((AC$107:AC$108)*TRANSPOSE(($D110:$E110))),0)</f>
        <v>0</v>
      </c>
      <c r="AD110" s="30" cm="1">
        <f t="array" ref="AD110">AD$106+IF($C110&lt;&gt;0,SUMPRODUCT((AD$107:AD$108)*TRANSPOSE(($D110:$E110))),0)</f>
        <v>0</v>
      </c>
      <c r="AE110" s="30" cm="1">
        <f t="array" ref="AE110">AE$106+IF($C110&lt;&gt;0,SUMPRODUCT((AE$107:AE$108)*TRANSPOSE(($D110:$E110))),0)</f>
        <v>0</v>
      </c>
      <c r="AF110" s="30" cm="1">
        <f t="array" ref="AF110">AF$106+IF($C110&lt;&gt;0,SUMPRODUCT((AF$107:AF$108)*TRANSPOSE(($D110:$E110))),0)</f>
        <v>0</v>
      </c>
      <c r="AG110" s="30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7" t="str">
        <f t="shared" ref="G111:G117" si="21">PROPER($A$3)&amp;A111</f>
        <v>Option 5sens2</v>
      </c>
      <c r="I111" s="30" cm="1">
        <f t="array" ref="I111">I$106+IF($C111&lt;&gt;0,SUMPRODUCT((I$107:I$108)*TRANSPOSE(($D111:$E111))),0)</f>
        <v>0</v>
      </c>
      <c r="J111" s="30" cm="1">
        <f t="array" ref="J111">J$106+IF($C111&lt;&gt;0,SUMPRODUCT((J$107:J$108)*TRANSPOSE(($D111:$E111))),0)</f>
        <v>0</v>
      </c>
      <c r="K111" s="30" cm="1">
        <f t="array" ref="K111">K$106+IF($C111&lt;&gt;0,SUMPRODUCT((K$107:K$108)*TRANSPOSE(($D111:$E111))),0)</f>
        <v>0</v>
      </c>
      <c r="L111" s="30" cm="1">
        <f t="array" ref="L111">L$106+IF($C111&lt;&gt;0,SUMPRODUCT((L$107:L$108)*TRANSPOSE(($D111:$E111))),0)</f>
        <v>0</v>
      </c>
      <c r="M111" s="30" cm="1">
        <f t="array" ref="M111">M$106+IF($C111&lt;&gt;0,SUMPRODUCT((M$107:M$108)*TRANSPOSE(($D111:$E111))),0)</f>
        <v>0</v>
      </c>
      <c r="N111" s="30" cm="1">
        <f t="array" ref="N111">N$106+IF($C111&lt;&gt;0,SUMPRODUCT((N$107:N$108)*TRANSPOSE(($D111:$E111))),0)</f>
        <v>0</v>
      </c>
      <c r="O111" s="30" cm="1">
        <f t="array" ref="O111">O$106+IF($C111&lt;&gt;0,SUMPRODUCT((O$107:O$108)*TRANSPOSE(($D111:$E111))),0)</f>
        <v>0</v>
      </c>
      <c r="P111" s="30" cm="1">
        <f t="array" ref="P111">P$106+IF($C111&lt;&gt;0,SUMPRODUCT((P$107:P$108)*TRANSPOSE(($D111:$E111))),0)</f>
        <v>0</v>
      </c>
      <c r="Q111" s="30" cm="1">
        <f t="array" ref="Q111">Q$106+IF($C111&lt;&gt;0,SUMPRODUCT((Q$107:Q$108)*TRANSPOSE(($D111:$E111))),0)</f>
        <v>0</v>
      </c>
      <c r="R111" s="30" cm="1">
        <f t="array" ref="R111">R$106+IF($C111&lt;&gt;0,SUMPRODUCT((R$107:R$108)*TRANSPOSE(($D111:$E111))),0)</f>
        <v>0</v>
      </c>
      <c r="S111" s="30" cm="1">
        <f t="array" ref="S111">S$106+IF($C111&lt;&gt;0,SUMPRODUCT((S$107:S$108)*TRANSPOSE(($D111:$E111))),0)</f>
        <v>0</v>
      </c>
      <c r="T111" s="30" cm="1">
        <f t="array" ref="T111">T$106+IF($C111&lt;&gt;0,SUMPRODUCT((T$107:T$108)*TRANSPOSE(($D111:$E111))),0)</f>
        <v>0</v>
      </c>
      <c r="U111" s="30" cm="1">
        <f t="array" ref="U111">U$106+IF($C111&lt;&gt;0,SUMPRODUCT((U$107:U$108)*TRANSPOSE(($D111:$E111))),0)</f>
        <v>0</v>
      </c>
      <c r="V111" s="30" cm="1">
        <f t="array" ref="V111">V$106+IF($C111&lt;&gt;0,SUMPRODUCT((V$107:V$108)*TRANSPOSE(($D111:$E111))),0)</f>
        <v>0</v>
      </c>
      <c r="W111" s="30" cm="1">
        <f t="array" ref="W111">W$106+IF($C111&lt;&gt;0,SUMPRODUCT((W$107:W$108)*TRANSPOSE(($D111:$E111))),0)</f>
        <v>0</v>
      </c>
      <c r="X111" s="30" cm="1">
        <f t="array" ref="X111">X$106+IF($C111&lt;&gt;0,SUMPRODUCT((X$107:X$108)*TRANSPOSE(($D111:$E111))),0)</f>
        <v>0</v>
      </c>
      <c r="Y111" s="30" cm="1">
        <f t="array" ref="Y111">Y$106+IF($C111&lt;&gt;0,SUMPRODUCT((Y$107:Y$108)*TRANSPOSE(($D111:$E111))),0)</f>
        <v>0</v>
      </c>
      <c r="Z111" s="30" cm="1">
        <f t="array" ref="Z111">Z$106+IF($C111&lt;&gt;0,SUMPRODUCT((Z$107:Z$108)*TRANSPOSE(($D111:$E111))),0)</f>
        <v>0</v>
      </c>
      <c r="AA111" s="30" cm="1">
        <f t="array" ref="AA111">AA$106+IF($C111&lt;&gt;0,SUMPRODUCT((AA$107:AA$108)*TRANSPOSE(($D111:$E111))),0)</f>
        <v>0</v>
      </c>
      <c r="AB111" s="30" cm="1">
        <f t="array" ref="AB111">AB$106+IF($C111&lt;&gt;0,SUMPRODUCT((AB$107:AB$108)*TRANSPOSE(($D111:$E111))),0)</f>
        <v>0</v>
      </c>
      <c r="AC111" s="30" cm="1">
        <f t="array" ref="AC111">AC$106+IF($C111&lt;&gt;0,SUMPRODUCT((AC$107:AC$108)*TRANSPOSE(($D111:$E111))),0)</f>
        <v>0</v>
      </c>
      <c r="AD111" s="30" cm="1">
        <f t="array" ref="AD111">AD$106+IF($C111&lt;&gt;0,SUMPRODUCT((AD$107:AD$108)*TRANSPOSE(($D111:$E111))),0)</f>
        <v>0</v>
      </c>
      <c r="AE111" s="30" cm="1">
        <f t="array" ref="AE111">AE$106+IF($C111&lt;&gt;0,SUMPRODUCT((AE$107:AE$108)*TRANSPOSE(($D111:$E111))),0)</f>
        <v>0</v>
      </c>
      <c r="AF111" s="30" cm="1">
        <f t="array" ref="AF111">AF$106+IF($C111&lt;&gt;0,SUMPRODUCT((AF$107:AF$108)*TRANSPOSE(($D111:$E111))),0)</f>
        <v>0</v>
      </c>
      <c r="AG111" s="30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7" t="str">
        <f t="shared" si="21"/>
        <v>Option 5sens3</v>
      </c>
      <c r="I112" s="30" cm="1">
        <f t="array" ref="I112">I$106+IF($C112&lt;&gt;0,SUMPRODUCT((I$107:I$108)*TRANSPOSE(($D112:$E112))),0)</f>
        <v>0</v>
      </c>
      <c r="J112" s="30" cm="1">
        <f t="array" ref="J112">J$106+IF($C112&lt;&gt;0,SUMPRODUCT((J$107:J$108)*TRANSPOSE(($D112:$E112))),0)</f>
        <v>0</v>
      </c>
      <c r="K112" s="30" cm="1">
        <f t="array" ref="K112">K$106+IF($C112&lt;&gt;0,SUMPRODUCT((K$107:K$108)*TRANSPOSE(($D112:$E112))),0)</f>
        <v>0</v>
      </c>
      <c r="L112" s="30" cm="1">
        <f t="array" ref="L112">L$106+IF($C112&lt;&gt;0,SUMPRODUCT((L$107:L$108)*TRANSPOSE(($D112:$E112))),0)</f>
        <v>0</v>
      </c>
      <c r="M112" s="30" cm="1">
        <f t="array" ref="M112">M$106+IF($C112&lt;&gt;0,SUMPRODUCT((M$107:M$108)*TRANSPOSE(($D112:$E112))),0)</f>
        <v>0</v>
      </c>
      <c r="N112" s="30" cm="1">
        <f t="array" ref="N112">N$106+IF($C112&lt;&gt;0,SUMPRODUCT((N$107:N$108)*TRANSPOSE(($D112:$E112))),0)</f>
        <v>0</v>
      </c>
      <c r="O112" s="30" cm="1">
        <f t="array" ref="O112">O$106+IF($C112&lt;&gt;0,SUMPRODUCT((O$107:O$108)*TRANSPOSE(($D112:$E112))),0)</f>
        <v>0</v>
      </c>
      <c r="P112" s="30" cm="1">
        <f t="array" ref="P112">P$106+IF($C112&lt;&gt;0,SUMPRODUCT((P$107:P$108)*TRANSPOSE(($D112:$E112))),0)</f>
        <v>0</v>
      </c>
      <c r="Q112" s="30" cm="1">
        <f t="array" ref="Q112">Q$106+IF($C112&lt;&gt;0,SUMPRODUCT((Q$107:Q$108)*TRANSPOSE(($D112:$E112))),0)</f>
        <v>0</v>
      </c>
      <c r="R112" s="30" cm="1">
        <f t="array" ref="R112">R$106+IF($C112&lt;&gt;0,SUMPRODUCT((R$107:R$108)*TRANSPOSE(($D112:$E112))),0)</f>
        <v>0</v>
      </c>
      <c r="S112" s="30" cm="1">
        <f t="array" ref="S112">S$106+IF($C112&lt;&gt;0,SUMPRODUCT((S$107:S$108)*TRANSPOSE(($D112:$E112))),0)</f>
        <v>0</v>
      </c>
      <c r="T112" s="30" cm="1">
        <f t="array" ref="T112">T$106+IF($C112&lt;&gt;0,SUMPRODUCT((T$107:T$108)*TRANSPOSE(($D112:$E112))),0)</f>
        <v>0</v>
      </c>
      <c r="U112" s="30" cm="1">
        <f t="array" ref="U112">U$106+IF($C112&lt;&gt;0,SUMPRODUCT((U$107:U$108)*TRANSPOSE(($D112:$E112))),0)</f>
        <v>0</v>
      </c>
      <c r="V112" s="30" cm="1">
        <f t="array" ref="V112">V$106+IF($C112&lt;&gt;0,SUMPRODUCT((V$107:V$108)*TRANSPOSE(($D112:$E112))),0)</f>
        <v>0</v>
      </c>
      <c r="W112" s="30" cm="1">
        <f t="array" ref="W112">W$106+IF($C112&lt;&gt;0,SUMPRODUCT((W$107:W$108)*TRANSPOSE(($D112:$E112))),0)</f>
        <v>0</v>
      </c>
      <c r="X112" s="30" cm="1">
        <f t="array" ref="X112">X$106+IF($C112&lt;&gt;0,SUMPRODUCT((X$107:X$108)*TRANSPOSE(($D112:$E112))),0)</f>
        <v>0</v>
      </c>
      <c r="Y112" s="30" cm="1">
        <f t="array" ref="Y112">Y$106+IF($C112&lt;&gt;0,SUMPRODUCT((Y$107:Y$108)*TRANSPOSE(($D112:$E112))),0)</f>
        <v>0</v>
      </c>
      <c r="Z112" s="30" cm="1">
        <f t="array" ref="Z112">Z$106+IF($C112&lt;&gt;0,SUMPRODUCT((Z$107:Z$108)*TRANSPOSE(($D112:$E112))),0)</f>
        <v>0</v>
      </c>
      <c r="AA112" s="30" cm="1">
        <f t="array" ref="AA112">AA$106+IF($C112&lt;&gt;0,SUMPRODUCT((AA$107:AA$108)*TRANSPOSE(($D112:$E112))),0)</f>
        <v>0</v>
      </c>
      <c r="AB112" s="30" cm="1">
        <f t="array" ref="AB112">AB$106+IF($C112&lt;&gt;0,SUMPRODUCT((AB$107:AB$108)*TRANSPOSE(($D112:$E112))),0)</f>
        <v>0</v>
      </c>
      <c r="AC112" s="30" cm="1">
        <f t="array" ref="AC112">AC$106+IF($C112&lt;&gt;0,SUMPRODUCT((AC$107:AC$108)*TRANSPOSE(($D112:$E112))),0)</f>
        <v>0</v>
      </c>
      <c r="AD112" s="30" cm="1">
        <f t="array" ref="AD112">AD$106+IF($C112&lt;&gt;0,SUMPRODUCT((AD$107:AD$108)*TRANSPOSE(($D112:$E112))),0)</f>
        <v>0</v>
      </c>
      <c r="AE112" s="30" cm="1">
        <f t="array" ref="AE112">AE$106+IF($C112&lt;&gt;0,SUMPRODUCT((AE$107:AE$108)*TRANSPOSE(($D112:$E112))),0)</f>
        <v>0</v>
      </c>
      <c r="AF112" s="30" cm="1">
        <f t="array" ref="AF112">AF$106+IF($C112&lt;&gt;0,SUMPRODUCT((AF$107:AF$108)*TRANSPOSE(($D112:$E112))),0)</f>
        <v>0</v>
      </c>
      <c r="AG112" s="30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7" t="str">
        <f t="shared" si="21"/>
        <v>Option 5sens4</v>
      </c>
      <c r="I113" s="30" cm="1">
        <f t="array" ref="I113">I$106+IF($C113&lt;&gt;0,SUMPRODUCT((I$107:I$108)*TRANSPOSE(($D113:$E113))),0)</f>
        <v>0</v>
      </c>
      <c r="J113" s="30" cm="1">
        <f t="array" ref="J113">J$106+IF($C113&lt;&gt;0,SUMPRODUCT((J$107:J$108)*TRANSPOSE(($D113:$E113))),0)</f>
        <v>0</v>
      </c>
      <c r="K113" s="30" cm="1">
        <f t="array" ref="K113">K$106+IF($C113&lt;&gt;0,SUMPRODUCT((K$107:K$108)*TRANSPOSE(($D113:$E113))),0)</f>
        <v>0</v>
      </c>
      <c r="L113" s="30" cm="1">
        <f t="array" ref="L113">L$106+IF($C113&lt;&gt;0,SUMPRODUCT((L$107:L$108)*TRANSPOSE(($D113:$E113))),0)</f>
        <v>0</v>
      </c>
      <c r="M113" s="30" cm="1">
        <f t="array" ref="M113">M$106+IF($C113&lt;&gt;0,SUMPRODUCT((M$107:M$108)*TRANSPOSE(($D113:$E113))),0)</f>
        <v>0</v>
      </c>
      <c r="N113" s="30" cm="1">
        <f t="array" ref="N113">N$106+IF($C113&lt;&gt;0,SUMPRODUCT((N$107:N$108)*TRANSPOSE(($D113:$E113))),0)</f>
        <v>0</v>
      </c>
      <c r="O113" s="30" cm="1">
        <f t="array" ref="O113">O$106+IF($C113&lt;&gt;0,SUMPRODUCT((O$107:O$108)*TRANSPOSE(($D113:$E113))),0)</f>
        <v>0</v>
      </c>
      <c r="P113" s="30" cm="1">
        <f t="array" ref="P113">P$106+IF($C113&lt;&gt;0,SUMPRODUCT((P$107:P$108)*TRANSPOSE(($D113:$E113))),0)</f>
        <v>0</v>
      </c>
      <c r="Q113" s="30" cm="1">
        <f t="array" ref="Q113">Q$106+IF($C113&lt;&gt;0,SUMPRODUCT((Q$107:Q$108)*TRANSPOSE(($D113:$E113))),0)</f>
        <v>0</v>
      </c>
      <c r="R113" s="30" cm="1">
        <f t="array" ref="R113">R$106+IF($C113&lt;&gt;0,SUMPRODUCT((R$107:R$108)*TRANSPOSE(($D113:$E113))),0)</f>
        <v>0</v>
      </c>
      <c r="S113" s="30" cm="1">
        <f t="array" ref="S113">S$106+IF($C113&lt;&gt;0,SUMPRODUCT((S$107:S$108)*TRANSPOSE(($D113:$E113))),0)</f>
        <v>0</v>
      </c>
      <c r="T113" s="30" cm="1">
        <f t="array" ref="T113">T$106+IF($C113&lt;&gt;0,SUMPRODUCT((T$107:T$108)*TRANSPOSE(($D113:$E113))),0)</f>
        <v>0</v>
      </c>
      <c r="U113" s="30" cm="1">
        <f t="array" ref="U113">U$106+IF($C113&lt;&gt;0,SUMPRODUCT((U$107:U$108)*TRANSPOSE(($D113:$E113))),0)</f>
        <v>0</v>
      </c>
      <c r="V113" s="30" cm="1">
        <f t="array" ref="V113">V$106+IF($C113&lt;&gt;0,SUMPRODUCT((V$107:V$108)*TRANSPOSE(($D113:$E113))),0)</f>
        <v>0</v>
      </c>
      <c r="W113" s="30" cm="1">
        <f t="array" ref="W113">W$106+IF($C113&lt;&gt;0,SUMPRODUCT((W$107:W$108)*TRANSPOSE(($D113:$E113))),0)</f>
        <v>0</v>
      </c>
      <c r="X113" s="30" cm="1">
        <f t="array" ref="X113">X$106+IF($C113&lt;&gt;0,SUMPRODUCT((X$107:X$108)*TRANSPOSE(($D113:$E113))),0)</f>
        <v>0</v>
      </c>
      <c r="Y113" s="30" cm="1">
        <f t="array" ref="Y113">Y$106+IF($C113&lt;&gt;0,SUMPRODUCT((Y$107:Y$108)*TRANSPOSE(($D113:$E113))),0)</f>
        <v>0</v>
      </c>
      <c r="Z113" s="30" cm="1">
        <f t="array" ref="Z113">Z$106+IF($C113&lt;&gt;0,SUMPRODUCT((Z$107:Z$108)*TRANSPOSE(($D113:$E113))),0)</f>
        <v>0</v>
      </c>
      <c r="AA113" s="30" cm="1">
        <f t="array" ref="AA113">AA$106+IF($C113&lt;&gt;0,SUMPRODUCT((AA$107:AA$108)*TRANSPOSE(($D113:$E113))),0)</f>
        <v>0</v>
      </c>
      <c r="AB113" s="30" cm="1">
        <f t="array" ref="AB113">AB$106+IF($C113&lt;&gt;0,SUMPRODUCT((AB$107:AB$108)*TRANSPOSE(($D113:$E113))),0)</f>
        <v>0</v>
      </c>
      <c r="AC113" s="30" cm="1">
        <f t="array" ref="AC113">AC$106+IF($C113&lt;&gt;0,SUMPRODUCT((AC$107:AC$108)*TRANSPOSE(($D113:$E113))),0)</f>
        <v>0</v>
      </c>
      <c r="AD113" s="30" cm="1">
        <f t="array" ref="AD113">AD$106+IF($C113&lt;&gt;0,SUMPRODUCT((AD$107:AD$108)*TRANSPOSE(($D113:$E113))),0)</f>
        <v>0</v>
      </c>
      <c r="AE113" s="30" cm="1">
        <f t="array" ref="AE113">AE$106+IF($C113&lt;&gt;0,SUMPRODUCT((AE$107:AE$108)*TRANSPOSE(($D113:$E113))),0)</f>
        <v>0</v>
      </c>
      <c r="AF113" s="30" cm="1">
        <f t="array" ref="AF113">AF$106+IF($C113&lt;&gt;0,SUMPRODUCT((AF$107:AF$108)*TRANSPOSE(($D113:$E113))),0)</f>
        <v>0</v>
      </c>
      <c r="AG113" s="30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7" t="str">
        <f t="shared" si="21"/>
        <v>Option 5sens5</v>
      </c>
      <c r="I114" s="30" cm="1">
        <f t="array" ref="I114">I$106+IF($C114&lt;&gt;0,SUMPRODUCT((I$107:I$108)*TRANSPOSE(($D114:$E114))),0)</f>
        <v>0</v>
      </c>
      <c r="J114" s="30" cm="1">
        <f t="array" ref="J114">J$106+IF($C114&lt;&gt;0,SUMPRODUCT((J$107:J$108)*TRANSPOSE(($D114:$E114))),0)</f>
        <v>0</v>
      </c>
      <c r="K114" s="30" cm="1">
        <f t="array" ref="K114">K$106+IF($C114&lt;&gt;0,SUMPRODUCT((K$107:K$108)*TRANSPOSE(($D114:$E114))),0)</f>
        <v>0</v>
      </c>
      <c r="L114" s="30" cm="1">
        <f t="array" ref="L114">L$106+IF($C114&lt;&gt;0,SUMPRODUCT((L$107:L$108)*TRANSPOSE(($D114:$E114))),0)</f>
        <v>0</v>
      </c>
      <c r="M114" s="30" cm="1">
        <f t="array" ref="M114">M$106+IF($C114&lt;&gt;0,SUMPRODUCT((M$107:M$108)*TRANSPOSE(($D114:$E114))),0)</f>
        <v>0</v>
      </c>
      <c r="N114" s="30" cm="1">
        <f t="array" ref="N114">N$106+IF($C114&lt;&gt;0,SUMPRODUCT((N$107:N$108)*TRANSPOSE(($D114:$E114))),0)</f>
        <v>0</v>
      </c>
      <c r="O114" s="30" cm="1">
        <f t="array" ref="O114">O$106+IF($C114&lt;&gt;0,SUMPRODUCT((O$107:O$108)*TRANSPOSE(($D114:$E114))),0)</f>
        <v>0</v>
      </c>
      <c r="P114" s="30" cm="1">
        <f t="array" ref="P114">P$106+IF($C114&lt;&gt;0,SUMPRODUCT((P$107:P$108)*TRANSPOSE(($D114:$E114))),0)</f>
        <v>0</v>
      </c>
      <c r="Q114" s="30" cm="1">
        <f t="array" ref="Q114">Q$106+IF($C114&lt;&gt;0,SUMPRODUCT((Q$107:Q$108)*TRANSPOSE(($D114:$E114))),0)</f>
        <v>0</v>
      </c>
      <c r="R114" s="30" cm="1">
        <f t="array" ref="R114">R$106+IF($C114&lt;&gt;0,SUMPRODUCT((R$107:R$108)*TRANSPOSE(($D114:$E114))),0)</f>
        <v>0</v>
      </c>
      <c r="S114" s="30" cm="1">
        <f t="array" ref="S114">S$106+IF($C114&lt;&gt;0,SUMPRODUCT((S$107:S$108)*TRANSPOSE(($D114:$E114))),0)</f>
        <v>0</v>
      </c>
      <c r="T114" s="30" cm="1">
        <f t="array" ref="T114">T$106+IF($C114&lt;&gt;0,SUMPRODUCT((T$107:T$108)*TRANSPOSE(($D114:$E114))),0)</f>
        <v>0</v>
      </c>
      <c r="U114" s="30" cm="1">
        <f t="array" ref="U114">U$106+IF($C114&lt;&gt;0,SUMPRODUCT((U$107:U$108)*TRANSPOSE(($D114:$E114))),0)</f>
        <v>0</v>
      </c>
      <c r="V114" s="30" cm="1">
        <f t="array" ref="V114">V$106+IF($C114&lt;&gt;0,SUMPRODUCT((V$107:V$108)*TRANSPOSE(($D114:$E114))),0)</f>
        <v>0</v>
      </c>
      <c r="W114" s="30" cm="1">
        <f t="array" ref="W114">W$106+IF($C114&lt;&gt;0,SUMPRODUCT((W$107:W$108)*TRANSPOSE(($D114:$E114))),0)</f>
        <v>0</v>
      </c>
      <c r="X114" s="30" cm="1">
        <f t="array" ref="X114">X$106+IF($C114&lt;&gt;0,SUMPRODUCT((X$107:X$108)*TRANSPOSE(($D114:$E114))),0)</f>
        <v>0</v>
      </c>
      <c r="Y114" s="30" cm="1">
        <f t="array" ref="Y114">Y$106+IF($C114&lt;&gt;0,SUMPRODUCT((Y$107:Y$108)*TRANSPOSE(($D114:$E114))),0)</f>
        <v>0</v>
      </c>
      <c r="Z114" s="30" cm="1">
        <f t="array" ref="Z114">Z$106+IF($C114&lt;&gt;0,SUMPRODUCT((Z$107:Z$108)*TRANSPOSE(($D114:$E114))),0)</f>
        <v>0</v>
      </c>
      <c r="AA114" s="30" cm="1">
        <f t="array" ref="AA114">AA$106+IF($C114&lt;&gt;0,SUMPRODUCT((AA$107:AA$108)*TRANSPOSE(($D114:$E114))),0)</f>
        <v>0</v>
      </c>
      <c r="AB114" s="30" cm="1">
        <f t="array" ref="AB114">AB$106+IF($C114&lt;&gt;0,SUMPRODUCT((AB$107:AB$108)*TRANSPOSE(($D114:$E114))),0)</f>
        <v>0</v>
      </c>
      <c r="AC114" s="30" cm="1">
        <f t="array" ref="AC114">AC$106+IF($C114&lt;&gt;0,SUMPRODUCT((AC$107:AC$108)*TRANSPOSE(($D114:$E114))),0)</f>
        <v>0</v>
      </c>
      <c r="AD114" s="30" cm="1">
        <f t="array" ref="AD114">AD$106+IF($C114&lt;&gt;0,SUMPRODUCT((AD$107:AD$108)*TRANSPOSE(($D114:$E114))),0)</f>
        <v>0</v>
      </c>
      <c r="AE114" s="30" cm="1">
        <f t="array" ref="AE114">AE$106+IF($C114&lt;&gt;0,SUMPRODUCT((AE$107:AE$108)*TRANSPOSE(($D114:$E114))),0)</f>
        <v>0</v>
      </c>
      <c r="AF114" s="30" cm="1">
        <f t="array" ref="AF114">AF$106+IF($C114&lt;&gt;0,SUMPRODUCT((AF$107:AF$108)*TRANSPOSE(($D114:$E114))),0)</f>
        <v>0</v>
      </c>
      <c r="AG114" s="30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7" t="str">
        <f t="shared" si="21"/>
        <v>Option 5sens</v>
      </c>
      <c r="I115" s="30" cm="1">
        <f t="array" ref="I115">I$106+IF($C115&lt;&gt;0,SUMPRODUCT((I$107:I$108)*TRANSPOSE(($D115:$E115))),0)</f>
        <v>0</v>
      </c>
      <c r="J115" s="30" cm="1">
        <f t="array" ref="J115">J$106+IF($C115&lt;&gt;0,SUMPRODUCT((J$107:J$108)*TRANSPOSE(($D115:$E115))),0)</f>
        <v>0</v>
      </c>
      <c r="K115" s="30" cm="1">
        <f t="array" ref="K115">K$106+IF($C115&lt;&gt;0,SUMPRODUCT((K$107:K$108)*TRANSPOSE(($D115:$E115))),0)</f>
        <v>0</v>
      </c>
      <c r="L115" s="30" cm="1">
        <f t="array" ref="L115">L$106+IF($C115&lt;&gt;0,SUMPRODUCT((L$107:L$108)*TRANSPOSE(($D115:$E115))),0)</f>
        <v>0</v>
      </c>
      <c r="M115" s="30" cm="1">
        <f t="array" ref="M115">M$106+IF($C115&lt;&gt;0,SUMPRODUCT((M$107:M$108)*TRANSPOSE(($D115:$E115))),0)</f>
        <v>0</v>
      </c>
      <c r="N115" s="30" cm="1">
        <f t="array" ref="N115">N$106+IF($C115&lt;&gt;0,SUMPRODUCT((N$107:N$108)*TRANSPOSE(($D115:$E115))),0)</f>
        <v>0</v>
      </c>
      <c r="O115" s="30" cm="1">
        <f t="array" ref="O115">O$106+IF($C115&lt;&gt;0,SUMPRODUCT((O$107:O$108)*TRANSPOSE(($D115:$E115))),0)</f>
        <v>0</v>
      </c>
      <c r="P115" s="30" cm="1">
        <f t="array" ref="P115">P$106+IF($C115&lt;&gt;0,SUMPRODUCT((P$107:P$108)*TRANSPOSE(($D115:$E115))),0)</f>
        <v>0</v>
      </c>
      <c r="Q115" s="30" cm="1">
        <f t="array" ref="Q115">Q$106+IF($C115&lt;&gt;0,SUMPRODUCT((Q$107:Q$108)*TRANSPOSE(($D115:$E115))),0)</f>
        <v>0</v>
      </c>
      <c r="R115" s="30" cm="1">
        <f t="array" ref="R115">R$106+IF($C115&lt;&gt;0,SUMPRODUCT((R$107:R$108)*TRANSPOSE(($D115:$E115))),0)</f>
        <v>0</v>
      </c>
      <c r="S115" s="30" cm="1">
        <f t="array" ref="S115">S$106+IF($C115&lt;&gt;0,SUMPRODUCT((S$107:S$108)*TRANSPOSE(($D115:$E115))),0)</f>
        <v>0</v>
      </c>
      <c r="T115" s="30" cm="1">
        <f t="array" ref="T115">T$106+IF($C115&lt;&gt;0,SUMPRODUCT((T$107:T$108)*TRANSPOSE(($D115:$E115))),0)</f>
        <v>0</v>
      </c>
      <c r="U115" s="30" cm="1">
        <f t="array" ref="U115">U$106+IF($C115&lt;&gt;0,SUMPRODUCT((U$107:U$108)*TRANSPOSE(($D115:$E115))),0)</f>
        <v>0</v>
      </c>
      <c r="V115" s="30" cm="1">
        <f t="array" ref="V115">V$106+IF($C115&lt;&gt;0,SUMPRODUCT((V$107:V$108)*TRANSPOSE(($D115:$E115))),0)</f>
        <v>0</v>
      </c>
      <c r="W115" s="30" cm="1">
        <f t="array" ref="W115">W$106+IF($C115&lt;&gt;0,SUMPRODUCT((W$107:W$108)*TRANSPOSE(($D115:$E115))),0)</f>
        <v>0</v>
      </c>
      <c r="X115" s="30" cm="1">
        <f t="array" ref="X115">X$106+IF($C115&lt;&gt;0,SUMPRODUCT((X$107:X$108)*TRANSPOSE(($D115:$E115))),0)</f>
        <v>0</v>
      </c>
      <c r="Y115" s="30" cm="1">
        <f t="array" ref="Y115">Y$106+IF($C115&lt;&gt;0,SUMPRODUCT((Y$107:Y$108)*TRANSPOSE(($D115:$E115))),0)</f>
        <v>0</v>
      </c>
      <c r="Z115" s="30" cm="1">
        <f t="array" ref="Z115">Z$106+IF($C115&lt;&gt;0,SUMPRODUCT((Z$107:Z$108)*TRANSPOSE(($D115:$E115))),0)</f>
        <v>0</v>
      </c>
      <c r="AA115" s="30" cm="1">
        <f t="array" ref="AA115">AA$106+IF($C115&lt;&gt;0,SUMPRODUCT((AA$107:AA$108)*TRANSPOSE(($D115:$E115))),0)</f>
        <v>0</v>
      </c>
      <c r="AB115" s="30" cm="1">
        <f t="array" ref="AB115">AB$106+IF($C115&lt;&gt;0,SUMPRODUCT((AB$107:AB$108)*TRANSPOSE(($D115:$E115))),0)</f>
        <v>0</v>
      </c>
      <c r="AC115" s="30" cm="1">
        <f t="array" ref="AC115">AC$106+IF($C115&lt;&gt;0,SUMPRODUCT((AC$107:AC$108)*TRANSPOSE(($D115:$E115))),0)</f>
        <v>0</v>
      </c>
      <c r="AD115" s="30" cm="1">
        <f t="array" ref="AD115">AD$106+IF($C115&lt;&gt;0,SUMPRODUCT((AD$107:AD$108)*TRANSPOSE(($D115:$E115))),0)</f>
        <v>0</v>
      </c>
      <c r="AE115" s="30" cm="1">
        <f t="array" ref="AE115">AE$106+IF($C115&lt;&gt;0,SUMPRODUCT((AE$107:AE$108)*TRANSPOSE(($D115:$E115))),0)</f>
        <v>0</v>
      </c>
      <c r="AF115" s="30" cm="1">
        <f t="array" ref="AF115">AF$106+IF($C115&lt;&gt;0,SUMPRODUCT((AF$107:AF$108)*TRANSPOSE(($D115:$E115))),0)</f>
        <v>0</v>
      </c>
      <c r="AG115" s="30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7" t="str">
        <f t="shared" si="21"/>
        <v>Option 5sens</v>
      </c>
      <c r="I116" s="30" cm="1">
        <f t="array" ref="I116">I$106+IF($C116&lt;&gt;0,SUMPRODUCT((I$107:I$108)*TRANSPOSE(($D116:$E116))),0)</f>
        <v>0</v>
      </c>
      <c r="J116" s="30" cm="1">
        <f t="array" ref="J116">J$106+IF($C116&lt;&gt;0,SUMPRODUCT((J$107:J$108)*TRANSPOSE(($D116:$E116))),0)</f>
        <v>0</v>
      </c>
      <c r="K116" s="30" cm="1">
        <f t="array" ref="K116">K$106+IF($C116&lt;&gt;0,SUMPRODUCT((K$107:K$108)*TRANSPOSE(($D116:$E116))),0)</f>
        <v>0</v>
      </c>
      <c r="L116" s="30" cm="1">
        <f t="array" ref="L116">L$106+IF($C116&lt;&gt;0,SUMPRODUCT((L$107:L$108)*TRANSPOSE(($D116:$E116))),0)</f>
        <v>0</v>
      </c>
      <c r="M116" s="30" cm="1">
        <f t="array" ref="M116">M$106+IF($C116&lt;&gt;0,SUMPRODUCT((M$107:M$108)*TRANSPOSE(($D116:$E116))),0)</f>
        <v>0</v>
      </c>
      <c r="N116" s="30" cm="1">
        <f t="array" ref="N116">N$106+IF($C116&lt;&gt;0,SUMPRODUCT((N$107:N$108)*TRANSPOSE(($D116:$E116))),0)</f>
        <v>0</v>
      </c>
      <c r="O116" s="30" cm="1">
        <f t="array" ref="O116">O$106+IF($C116&lt;&gt;0,SUMPRODUCT((O$107:O$108)*TRANSPOSE(($D116:$E116))),0)</f>
        <v>0</v>
      </c>
      <c r="P116" s="30" cm="1">
        <f t="array" ref="P116">P$106+IF($C116&lt;&gt;0,SUMPRODUCT((P$107:P$108)*TRANSPOSE(($D116:$E116))),0)</f>
        <v>0</v>
      </c>
      <c r="Q116" s="30" cm="1">
        <f t="array" ref="Q116">Q$106+IF($C116&lt;&gt;0,SUMPRODUCT((Q$107:Q$108)*TRANSPOSE(($D116:$E116))),0)</f>
        <v>0</v>
      </c>
      <c r="R116" s="30" cm="1">
        <f t="array" ref="R116">R$106+IF($C116&lt;&gt;0,SUMPRODUCT((R$107:R$108)*TRANSPOSE(($D116:$E116))),0)</f>
        <v>0</v>
      </c>
      <c r="S116" s="30" cm="1">
        <f t="array" ref="S116">S$106+IF($C116&lt;&gt;0,SUMPRODUCT((S$107:S$108)*TRANSPOSE(($D116:$E116))),0)</f>
        <v>0</v>
      </c>
      <c r="T116" s="30" cm="1">
        <f t="array" ref="T116">T$106+IF($C116&lt;&gt;0,SUMPRODUCT((T$107:T$108)*TRANSPOSE(($D116:$E116))),0)</f>
        <v>0</v>
      </c>
      <c r="U116" s="30" cm="1">
        <f t="array" ref="U116">U$106+IF($C116&lt;&gt;0,SUMPRODUCT((U$107:U$108)*TRANSPOSE(($D116:$E116))),0)</f>
        <v>0</v>
      </c>
      <c r="V116" s="30" cm="1">
        <f t="array" ref="V116">V$106+IF($C116&lt;&gt;0,SUMPRODUCT((V$107:V$108)*TRANSPOSE(($D116:$E116))),0)</f>
        <v>0</v>
      </c>
      <c r="W116" s="30" cm="1">
        <f t="array" ref="W116">W$106+IF($C116&lt;&gt;0,SUMPRODUCT((W$107:W$108)*TRANSPOSE(($D116:$E116))),0)</f>
        <v>0</v>
      </c>
      <c r="X116" s="30" cm="1">
        <f t="array" ref="X116">X$106+IF($C116&lt;&gt;0,SUMPRODUCT((X$107:X$108)*TRANSPOSE(($D116:$E116))),0)</f>
        <v>0</v>
      </c>
      <c r="Y116" s="30" cm="1">
        <f t="array" ref="Y116">Y$106+IF($C116&lt;&gt;0,SUMPRODUCT((Y$107:Y$108)*TRANSPOSE(($D116:$E116))),0)</f>
        <v>0</v>
      </c>
      <c r="Z116" s="30" cm="1">
        <f t="array" ref="Z116">Z$106+IF($C116&lt;&gt;0,SUMPRODUCT((Z$107:Z$108)*TRANSPOSE(($D116:$E116))),0)</f>
        <v>0</v>
      </c>
      <c r="AA116" s="30" cm="1">
        <f t="array" ref="AA116">AA$106+IF($C116&lt;&gt;0,SUMPRODUCT((AA$107:AA$108)*TRANSPOSE(($D116:$E116))),0)</f>
        <v>0</v>
      </c>
      <c r="AB116" s="30" cm="1">
        <f t="array" ref="AB116">AB$106+IF($C116&lt;&gt;0,SUMPRODUCT((AB$107:AB$108)*TRANSPOSE(($D116:$E116))),0)</f>
        <v>0</v>
      </c>
      <c r="AC116" s="30" cm="1">
        <f t="array" ref="AC116">AC$106+IF($C116&lt;&gt;0,SUMPRODUCT((AC$107:AC$108)*TRANSPOSE(($D116:$E116))),0)</f>
        <v>0</v>
      </c>
      <c r="AD116" s="30" cm="1">
        <f t="array" ref="AD116">AD$106+IF($C116&lt;&gt;0,SUMPRODUCT((AD$107:AD$108)*TRANSPOSE(($D116:$E116))),0)</f>
        <v>0</v>
      </c>
      <c r="AE116" s="30" cm="1">
        <f t="array" ref="AE116">AE$106+IF($C116&lt;&gt;0,SUMPRODUCT((AE$107:AE$108)*TRANSPOSE(($D116:$E116))),0)</f>
        <v>0</v>
      </c>
      <c r="AF116" s="30" cm="1">
        <f t="array" ref="AF116">AF$106+IF($C116&lt;&gt;0,SUMPRODUCT((AF$107:AF$108)*TRANSPOSE(($D116:$E116))),0)</f>
        <v>0</v>
      </c>
      <c r="AG116" s="30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7" t="str">
        <f t="shared" si="21"/>
        <v>Option 5sens</v>
      </c>
      <c r="I117" s="30" cm="1">
        <f t="array" ref="I117">I$106+IF($C117&lt;&gt;0,SUMPRODUCT((I$107:I$108)*TRANSPOSE(($D117:$E117))),0)</f>
        <v>0</v>
      </c>
      <c r="J117" s="30" cm="1">
        <f t="array" ref="J117">J$106+IF($C117&lt;&gt;0,SUMPRODUCT((J$107:J$108)*TRANSPOSE(($D117:$E117))),0)</f>
        <v>0</v>
      </c>
      <c r="K117" s="30" cm="1">
        <f t="array" ref="K117">K$106+IF($C117&lt;&gt;0,SUMPRODUCT((K$107:K$108)*TRANSPOSE(($D117:$E117))),0)</f>
        <v>0</v>
      </c>
      <c r="L117" s="30" cm="1">
        <f t="array" ref="L117">L$106+IF($C117&lt;&gt;0,SUMPRODUCT((L$107:L$108)*TRANSPOSE(($D117:$E117))),0)</f>
        <v>0</v>
      </c>
      <c r="M117" s="30" cm="1">
        <f t="array" ref="M117">M$106+IF($C117&lt;&gt;0,SUMPRODUCT((M$107:M$108)*TRANSPOSE(($D117:$E117))),0)</f>
        <v>0</v>
      </c>
      <c r="N117" s="30" cm="1">
        <f t="array" ref="N117">N$106+IF($C117&lt;&gt;0,SUMPRODUCT((N$107:N$108)*TRANSPOSE(($D117:$E117))),0)</f>
        <v>0</v>
      </c>
      <c r="O117" s="30" cm="1">
        <f t="array" ref="O117">O$106+IF($C117&lt;&gt;0,SUMPRODUCT((O$107:O$108)*TRANSPOSE(($D117:$E117))),0)</f>
        <v>0</v>
      </c>
      <c r="P117" s="30" cm="1">
        <f t="array" ref="P117">P$106+IF($C117&lt;&gt;0,SUMPRODUCT((P$107:P$108)*TRANSPOSE(($D117:$E117))),0)</f>
        <v>0</v>
      </c>
      <c r="Q117" s="30" cm="1">
        <f t="array" ref="Q117">Q$106+IF($C117&lt;&gt;0,SUMPRODUCT((Q$107:Q$108)*TRANSPOSE(($D117:$E117))),0)</f>
        <v>0</v>
      </c>
      <c r="R117" s="30" cm="1">
        <f t="array" ref="R117">R$106+IF($C117&lt;&gt;0,SUMPRODUCT((R$107:R$108)*TRANSPOSE(($D117:$E117))),0)</f>
        <v>0</v>
      </c>
      <c r="S117" s="30" cm="1">
        <f t="array" ref="S117">S$106+IF($C117&lt;&gt;0,SUMPRODUCT((S$107:S$108)*TRANSPOSE(($D117:$E117))),0)</f>
        <v>0</v>
      </c>
      <c r="T117" s="30" cm="1">
        <f t="array" ref="T117">T$106+IF($C117&lt;&gt;0,SUMPRODUCT((T$107:T$108)*TRANSPOSE(($D117:$E117))),0)</f>
        <v>0</v>
      </c>
      <c r="U117" s="30" cm="1">
        <f t="array" ref="U117">U$106+IF($C117&lt;&gt;0,SUMPRODUCT((U$107:U$108)*TRANSPOSE(($D117:$E117))),0)</f>
        <v>0</v>
      </c>
      <c r="V117" s="30" cm="1">
        <f t="array" ref="V117">V$106+IF($C117&lt;&gt;0,SUMPRODUCT((V$107:V$108)*TRANSPOSE(($D117:$E117))),0)</f>
        <v>0</v>
      </c>
      <c r="W117" s="30" cm="1">
        <f t="array" ref="W117">W$106+IF($C117&lt;&gt;0,SUMPRODUCT((W$107:W$108)*TRANSPOSE(($D117:$E117))),0)</f>
        <v>0</v>
      </c>
      <c r="X117" s="30" cm="1">
        <f t="array" ref="X117">X$106+IF($C117&lt;&gt;0,SUMPRODUCT((X$107:X$108)*TRANSPOSE(($D117:$E117))),0)</f>
        <v>0</v>
      </c>
      <c r="Y117" s="30" cm="1">
        <f t="array" ref="Y117">Y$106+IF($C117&lt;&gt;0,SUMPRODUCT((Y$107:Y$108)*TRANSPOSE(($D117:$E117))),0)</f>
        <v>0</v>
      </c>
      <c r="Z117" s="30" cm="1">
        <f t="array" ref="Z117">Z$106+IF($C117&lt;&gt;0,SUMPRODUCT((Z$107:Z$108)*TRANSPOSE(($D117:$E117))),0)</f>
        <v>0</v>
      </c>
      <c r="AA117" s="30" cm="1">
        <f t="array" ref="AA117">AA$106+IF($C117&lt;&gt;0,SUMPRODUCT((AA$107:AA$108)*TRANSPOSE(($D117:$E117))),0)</f>
        <v>0</v>
      </c>
      <c r="AB117" s="30" cm="1">
        <f t="array" ref="AB117">AB$106+IF($C117&lt;&gt;0,SUMPRODUCT((AB$107:AB$108)*TRANSPOSE(($D117:$E117))),0)</f>
        <v>0</v>
      </c>
      <c r="AC117" s="30" cm="1">
        <f t="array" ref="AC117">AC$106+IF($C117&lt;&gt;0,SUMPRODUCT((AC$107:AC$108)*TRANSPOSE(($D117:$E117))),0)</f>
        <v>0</v>
      </c>
      <c r="AD117" s="30" cm="1">
        <f t="array" ref="AD117">AD$106+IF($C117&lt;&gt;0,SUMPRODUCT((AD$107:AD$108)*TRANSPOSE(($D117:$E117))),0)</f>
        <v>0</v>
      </c>
      <c r="AE117" s="30" cm="1">
        <f t="array" ref="AE117">AE$106+IF($C117&lt;&gt;0,SUMPRODUCT((AE$107:AE$108)*TRANSPOSE(($D117:$E117))),0)</f>
        <v>0</v>
      </c>
      <c r="AF117" s="30" cm="1">
        <f t="array" ref="AF117">AF$106+IF($C117&lt;&gt;0,SUMPRODUCT((AF$107:AF$108)*TRANSPOSE(($D117:$E117))),0)</f>
        <v>0</v>
      </c>
      <c r="AG117" s="30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6" s="8" customFormat="1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96"/>
      <c r="AI1" s="396"/>
      <c r="AJ1" s="396"/>
    </row>
    <row r="2" spans="1:36" s="8" customFormat="1" ht="18.75" x14ac:dyDescent="0.3">
      <c r="A2" s="55" t="str">
        <f>proj</f>
        <v>R switchboard and relay retirement</v>
      </c>
      <c r="B2" s="5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96"/>
      <c r="AI2" s="396"/>
      <c r="AJ2" s="396"/>
    </row>
    <row r="3" spans="1:36" s="2" customFormat="1" ht="18.75" x14ac:dyDescent="0.3">
      <c r="A3" s="202" t="s">
        <v>90</v>
      </c>
      <c r="B3" s="5"/>
      <c r="C3" s="33"/>
      <c r="D3" s="33"/>
      <c r="E3" s="3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6" s="2" customFormat="1" ht="10.5" customHeight="1" x14ac:dyDescent="0.2">
      <c r="A4" s="114"/>
      <c r="B4" s="114"/>
      <c r="C4" s="115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6" s="2" customFormat="1" hidden="1" outlineLevel="1" x14ac:dyDescent="0.2">
      <c r="A5" s="115" t="s">
        <v>194</v>
      </c>
      <c r="B5" s="115"/>
      <c r="C5" s="116"/>
      <c r="D5" s="115"/>
      <c r="E5" s="115"/>
      <c r="F5" s="115"/>
      <c r="G5" s="100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6" s="2" customFormat="1" hidden="1" outlineLevel="1" x14ac:dyDescent="0.2">
      <c r="A6" s="188" t="str">
        <f>'Option1 (base case)'!A6</f>
        <v>Count</v>
      </c>
      <c r="B6" s="115"/>
      <c r="C6" s="116"/>
      <c r="D6" s="115"/>
      <c r="E6" s="115"/>
      <c r="F6" s="115"/>
      <c r="G6" s="100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6" s="2" customFormat="1" hidden="1" outlineLevel="1" x14ac:dyDescent="0.2">
      <c r="A7" s="115" t="s">
        <v>195</v>
      </c>
      <c r="B7" s="115"/>
      <c r="C7" s="116"/>
      <c r="D7" s="115"/>
      <c r="E7" s="115"/>
      <c r="F7" s="115"/>
      <c r="G7" s="100"/>
      <c r="H7" s="100" t="b">
        <f t="shared" ref="H7:AG7" si="1">H$6&lt;(first_year+years)</f>
        <v>1</v>
      </c>
      <c r="I7" s="100" t="b">
        <f t="shared" si="1"/>
        <v>1</v>
      </c>
      <c r="J7" s="100" t="b">
        <f t="shared" si="1"/>
        <v>1</v>
      </c>
      <c r="K7" s="100" t="b">
        <f t="shared" si="1"/>
        <v>1</v>
      </c>
      <c r="L7" s="100" t="b">
        <f t="shared" si="1"/>
        <v>1</v>
      </c>
      <c r="M7" s="100" t="b">
        <f t="shared" si="1"/>
        <v>1</v>
      </c>
      <c r="N7" s="100" t="b">
        <f t="shared" si="1"/>
        <v>1</v>
      </c>
      <c r="O7" s="100" t="b">
        <f t="shared" si="1"/>
        <v>1</v>
      </c>
      <c r="P7" s="100" t="b">
        <f t="shared" si="1"/>
        <v>1</v>
      </c>
      <c r="Q7" s="100" t="b">
        <f t="shared" si="1"/>
        <v>1</v>
      </c>
      <c r="R7" s="100" t="b">
        <f t="shared" si="1"/>
        <v>1</v>
      </c>
      <c r="S7" s="100" t="b">
        <f t="shared" si="1"/>
        <v>1</v>
      </c>
      <c r="T7" s="100" t="b">
        <f t="shared" si="1"/>
        <v>1</v>
      </c>
      <c r="U7" s="100" t="b">
        <f t="shared" si="1"/>
        <v>1</v>
      </c>
      <c r="V7" s="100" t="b">
        <f t="shared" si="1"/>
        <v>1</v>
      </c>
      <c r="W7" s="100" t="b">
        <f t="shared" si="1"/>
        <v>1</v>
      </c>
      <c r="X7" s="100" t="b">
        <f t="shared" si="1"/>
        <v>1</v>
      </c>
      <c r="Y7" s="100" t="b">
        <f t="shared" si="1"/>
        <v>1</v>
      </c>
      <c r="Z7" s="100" t="b">
        <f t="shared" si="1"/>
        <v>1</v>
      </c>
      <c r="AA7" s="100" t="b">
        <f t="shared" si="1"/>
        <v>1</v>
      </c>
      <c r="AB7" s="100" t="b">
        <f t="shared" si="1"/>
        <v>1</v>
      </c>
      <c r="AC7" s="100" t="b">
        <f t="shared" si="1"/>
        <v>0</v>
      </c>
      <c r="AD7" s="100" t="b">
        <f t="shared" si="1"/>
        <v>0</v>
      </c>
      <c r="AE7" s="100" t="b">
        <f t="shared" si="1"/>
        <v>0</v>
      </c>
      <c r="AF7" s="100" t="b">
        <f t="shared" si="1"/>
        <v>0</v>
      </c>
      <c r="AG7" s="100" t="b">
        <f t="shared" si="1"/>
        <v>0</v>
      </c>
    </row>
    <row r="8" spans="1:36" s="2" customFormat="1" ht="11.25" customHeight="1" collapsed="1" x14ac:dyDescent="0.2"/>
    <row r="9" spans="1:36" s="2" customFormat="1" ht="15" x14ac:dyDescent="0.25">
      <c r="A9" s="18"/>
      <c r="B9" s="18"/>
      <c r="C9" s="18"/>
      <c r="D9" s="18"/>
      <c r="E9" s="82"/>
      <c r="F9" s="18"/>
      <c r="G9" s="19"/>
      <c r="H9" s="318">
        <f>'Option1 (base case)'!H9</f>
        <v>46203</v>
      </c>
      <c r="I9" s="19" t="str">
        <f>'Option1 (base case)'!I9</f>
        <v>2026-27</v>
      </c>
      <c r="J9" s="19" t="str">
        <f>'Option1 (base case)'!J9</f>
        <v>2027-28</v>
      </c>
      <c r="K9" s="19" t="str">
        <f>'Option1 (base case)'!K9</f>
        <v>2028-29</v>
      </c>
      <c r="L9" s="19" t="str">
        <f>'Option1 (base case)'!L9</f>
        <v>2029-30</v>
      </c>
      <c r="M9" s="19" t="str">
        <f>'Option1 (base case)'!M9</f>
        <v>2030-31</v>
      </c>
      <c r="N9" s="19" t="str">
        <f>'Option1 (base case)'!N9</f>
        <v>2031-32</v>
      </c>
      <c r="O9" s="19" t="str">
        <f>'Option1 (base case)'!O9</f>
        <v>2032-33</v>
      </c>
      <c r="P9" s="19" t="str">
        <f>'Option1 (base case)'!P9</f>
        <v>2033-34</v>
      </c>
      <c r="Q9" s="19" t="str">
        <f>'Option1 (base case)'!Q9</f>
        <v>2034-35</v>
      </c>
      <c r="R9" s="19" t="str">
        <f>'Option1 (base case)'!R9</f>
        <v>2035-36</v>
      </c>
      <c r="S9" s="19" t="str">
        <f>'Option1 (base case)'!S9</f>
        <v>2036-37</v>
      </c>
      <c r="T9" s="19" t="str">
        <f>'Option1 (base case)'!T9</f>
        <v>2037-38</v>
      </c>
      <c r="U9" s="19" t="str">
        <f>'Option1 (base case)'!U9</f>
        <v>2038-39</v>
      </c>
      <c r="V9" s="19" t="str">
        <f>'Option1 (base case)'!V9</f>
        <v>2039-40</v>
      </c>
      <c r="W9" s="19" t="str">
        <f>'Option1 (base case)'!W9</f>
        <v>2040-41</v>
      </c>
      <c r="X9" s="19" t="str">
        <f>'Option1 (base case)'!X9</f>
        <v>2041-42</v>
      </c>
      <c r="Y9" s="19" t="str">
        <f>'Option1 (base case)'!Y9</f>
        <v>2042-43</v>
      </c>
      <c r="Z9" s="19" t="str">
        <f>'Option1 (base case)'!Z9</f>
        <v>2043-44</v>
      </c>
      <c r="AA9" s="19" t="str">
        <f>'Option1 (base case)'!AA9</f>
        <v>2044-45</v>
      </c>
      <c r="AB9" s="19" t="str">
        <f>'Option1 (base case)'!AB9</f>
        <v>2045-46</v>
      </c>
      <c r="AC9" s="19" t="str">
        <f>'Option1 (base case)'!AC9</f>
        <v>2046-47</v>
      </c>
      <c r="AD9" s="19" t="str">
        <f>'Option1 (base case)'!AD9</f>
        <v>2047-48</v>
      </c>
      <c r="AE9" s="19" t="str">
        <f>'Option1 (base case)'!AE9</f>
        <v>2048-49</v>
      </c>
      <c r="AF9" s="19" t="str">
        <f>'Option1 (base case)'!AF9</f>
        <v>2049-50</v>
      </c>
      <c r="AG9" s="19" t="str">
        <f>'Option1 (base case)'!AG9</f>
        <v>2050-51</v>
      </c>
    </row>
    <row r="10" spans="1:36" s="2" customFormat="1" x14ac:dyDescent="0.2">
      <c r="C10" s="117"/>
      <c r="D10" s="117"/>
      <c r="F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6" s="2" customFormat="1" ht="15" x14ac:dyDescent="0.2">
      <c r="A11" s="119" t="s">
        <v>39</v>
      </c>
      <c r="B11" s="119"/>
      <c r="C11" s="120"/>
      <c r="D11" s="120"/>
      <c r="E11" s="120"/>
      <c r="F11" s="69" t="s">
        <v>153</v>
      </c>
      <c r="G11" s="221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6" s="2" customFormat="1" x14ac:dyDescent="0.2">
      <c r="A12" s="117"/>
      <c r="B12" s="117"/>
      <c r="C12" s="117"/>
      <c r="D12" s="117"/>
      <c r="F12" s="117"/>
      <c r="G12" s="223"/>
      <c r="H12" s="117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6" s="2" customFormat="1" x14ac:dyDescent="0.2">
      <c r="A13" s="122"/>
      <c r="B13" s="122"/>
      <c r="C13" s="122"/>
      <c r="D13" s="117"/>
      <c r="F13" s="117"/>
      <c r="G13" s="2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6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6">
        <f>SUMPRODUCT($H14:$AG14, $H$5:$AG$5)</f>
        <v>2152429.1293357089</v>
      </c>
      <c r="G14" s="270">
        <f>output_dollars</f>
        <v>46203</v>
      </c>
      <c r="H14" s="271"/>
      <c r="I14" s="30">
        <f>'Option1 (base case)'!I$28*conv_2026</f>
        <v>69726.019698799792</v>
      </c>
      <c r="J14" s="30">
        <f>'Option1 (base case)'!J$28*conv_2026</f>
        <v>78746.989417700519</v>
      </c>
      <c r="K14" s="30">
        <f>'Option1 (base case)'!K$28*conv_2026</f>
        <v>80481.173773315357</v>
      </c>
      <c r="L14" s="30">
        <f>'Option1 (base case)'!L$28*conv_2026</f>
        <v>81317.306797522615</v>
      </c>
      <c r="M14" s="30">
        <f>'Option1 (base case)'!M$28*conv_2026</f>
        <v>81800.380068884711</v>
      </c>
      <c r="N14" s="30">
        <f>'Option1 (base case)'!N$28*conv_2026</f>
        <v>82543.544507420796</v>
      </c>
      <c r="O14" s="30">
        <f>'Option1 (base case)'!O$28*conv_2026</f>
        <v>84136.366036684587</v>
      </c>
      <c r="P14" s="30">
        <f>'Option1 (base case)'!P$28*conv_2026</f>
        <v>86449.28963753437</v>
      </c>
      <c r="Q14" s="30">
        <f>'Option1 (base case)'!Q$28*conv_2026</f>
        <v>88078.772467713556</v>
      </c>
      <c r="R14" s="30">
        <f>'Option1 (base case)'!R$28*conv_2026</f>
        <v>90514.430300273089</v>
      </c>
      <c r="S14" s="30">
        <f>'Option1 (base case)'!S$28*conv_2026</f>
        <v>94010.405543684465</v>
      </c>
      <c r="T14" s="30">
        <f>'Option1 (base case)'!T$28*conv_2026</f>
        <v>98994.64443182289</v>
      </c>
      <c r="U14" s="30">
        <f>'Option1 (base case)'!U$28*conv_2026</f>
        <v>106119.62418109564</v>
      </c>
      <c r="V14" s="30">
        <f>'Option1 (base case)'!V$28*conv_2026</f>
        <v>116328.67371647849</v>
      </c>
      <c r="W14" s="30">
        <f>'Option1 (base case)'!W$28*conv_2026</f>
        <v>130986.91478652715</v>
      </c>
      <c r="X14" s="30">
        <f>'Option1 (base case)'!X$28*conv_2026</f>
        <v>152071.51060812018</v>
      </c>
      <c r="Y14" s="30">
        <f>'Option1 (base case)'!Y$28*conv_2026</f>
        <v>182440.40985252985</v>
      </c>
      <c r="Z14" s="30">
        <f>'Option1 (base case)'!Z$28*conv_2026</f>
        <v>226239.82020536682</v>
      </c>
      <c r="AA14" s="30">
        <f>'Option1 (base case)'!AA$28*conv_2026</f>
        <v>234351.42693042519</v>
      </c>
      <c r="AB14" s="30">
        <f>'Option1 (base case)'!AB$28*conv_2026</f>
        <v>234964.85531064542</v>
      </c>
      <c r="AC14" s="30">
        <f>'Option1 (base case)'!AC$28*conv_2026</f>
        <v>235712.49860675403</v>
      </c>
      <c r="AD14" s="30">
        <f>'Option1 (base case)'!AD$28*conv_2026</f>
        <v>235901.24048315457</v>
      </c>
      <c r="AE14" s="30">
        <f>'Option1 (base case)'!AE$28*conv_2026</f>
        <v>236123.64907318723</v>
      </c>
      <c r="AF14" s="30">
        <f>'Option1 (base case)'!AF$28*conv_2026</f>
        <v>236385.91817535006</v>
      </c>
      <c r="AG14" s="30">
        <f>'Option1 (base case)'!AG$28*conv_2026</f>
        <v>236695.40251908349</v>
      </c>
    </row>
    <row r="15" spans="1:36" s="1" customFormat="1" x14ac:dyDescent="0.2">
      <c r="A15" s="134" t="str">
        <f>Data!B9</f>
        <v>Option 1 (base case)</v>
      </c>
      <c r="B15" s="134"/>
      <c r="C15" s="57" t="str">
        <f>'Option1 (base case)'!C$66</f>
        <v>Capital expenditure</v>
      </c>
      <c r="D15" s="37" t="str">
        <f t="shared" si="2"/>
        <v>Option 1 (base case)Capital expenditure</v>
      </c>
      <c r="F15" s="96">
        <f>SUMPRODUCT($H15:$AG15, $H$5:$AG$5)</f>
        <v>0</v>
      </c>
      <c r="G15" s="224">
        <f>output_dollars</f>
        <v>46203</v>
      </c>
      <c r="H15" s="30"/>
      <c r="I15" s="30">
        <f>SUM('Option1 (base case)'!I$67:I$69)*conv_2026</f>
        <v>0</v>
      </c>
      <c r="J15" s="30">
        <f>SUM('Option1 (base case)'!J$67:J$69)</f>
        <v>0</v>
      </c>
      <c r="K15" s="30">
        <f>SUM('Option1 (base case)'!K$67:K$69)</f>
        <v>0</v>
      </c>
      <c r="L15" s="30">
        <f>SUM('Option1 (base case)'!L$67:L$69)</f>
        <v>0</v>
      </c>
      <c r="M15" s="30">
        <f>SUM('Option1 (base case)'!M$67:M$69)</f>
        <v>0</v>
      </c>
      <c r="N15" s="30">
        <f>SUM('Option1 (base case)'!N$67:N$69)</f>
        <v>0</v>
      </c>
      <c r="O15" s="30">
        <f>SUM('Option1 (base case)'!O$67:O$69)</f>
        <v>0</v>
      </c>
      <c r="P15" s="30">
        <f>SUM('Option1 (base case)'!P$67:P$69)</f>
        <v>0</v>
      </c>
      <c r="Q15" s="30">
        <f>SUM('Option1 (base case)'!Q$67:Q$69)</f>
        <v>0</v>
      </c>
      <c r="R15" s="30">
        <f>SUM('Option1 (base case)'!R$67:R$69)</f>
        <v>0</v>
      </c>
      <c r="S15" s="30">
        <f>SUM('Option1 (base case)'!S$67:S$69)</f>
        <v>0</v>
      </c>
      <c r="T15" s="30">
        <f>SUM('Option1 (base case)'!T$67:T$69)</f>
        <v>0</v>
      </c>
      <c r="U15" s="30">
        <f>SUM('Option1 (base case)'!U$67:U$69)</f>
        <v>0</v>
      </c>
      <c r="V15" s="30">
        <f>SUM('Option1 (base case)'!V$67:V$69)</f>
        <v>0</v>
      </c>
      <c r="W15" s="30">
        <f>SUM('Option1 (base case)'!W$67:W$69)</f>
        <v>0</v>
      </c>
      <c r="X15" s="30">
        <f>SUM('Option1 (base case)'!X$67:X$69)</f>
        <v>0</v>
      </c>
      <c r="Y15" s="30">
        <f>SUM('Option1 (base case)'!Y$67:Y$69)</f>
        <v>0</v>
      </c>
      <c r="Z15" s="30">
        <f>SUM('Option1 (base case)'!Z$67:Z$69)</f>
        <v>0</v>
      </c>
      <c r="AA15" s="30">
        <f>SUM('Option1 (base case)'!AA$67:AA$69)</f>
        <v>0</v>
      </c>
      <c r="AB15" s="30">
        <f>SUM('Option1 (base case)'!AB$67:AB$69)</f>
        <v>0</v>
      </c>
      <c r="AC15" s="30">
        <f>SUM('Option1 (base case)'!AC$67:AC$69)</f>
        <v>0</v>
      </c>
      <c r="AD15" s="30">
        <f>SUM('Option1 (base case)'!AD$67:AD$69)</f>
        <v>0</v>
      </c>
      <c r="AE15" s="30">
        <f>SUM('Option1 (base case)'!AE$67:AE$69)</f>
        <v>0</v>
      </c>
      <c r="AF15" s="30">
        <f>SUM('Option1 (base case)'!AF$67:AF$69)</f>
        <v>0</v>
      </c>
      <c r="AG15" s="30">
        <f>SUM('Option1 (base case)'!AG$67:AG$69)</f>
        <v>0</v>
      </c>
    </row>
    <row r="16" spans="1:36" s="1" customFormat="1" x14ac:dyDescent="0.2">
      <c r="A16" s="134" t="str">
        <f t="shared" ref="A16:A25" si="3">A15</f>
        <v>Option 1 (base case)</v>
      </c>
      <c r="B16" s="134"/>
      <c r="C16" s="57" t="str">
        <f>'Option1 (base case)'!C$36</f>
        <v>Total risk cost</v>
      </c>
      <c r="D16" s="37" t="str">
        <f t="shared" si="2"/>
        <v>Option 1 (base case)Total risk cost</v>
      </c>
      <c r="F16" s="107" cm="1">
        <f t="array" ref="F16">SUMPRODUCT(($H16:$AG16)*($H$5:$AG$5)*($H$7:$AG$7))</f>
        <v>3373913.815561132</v>
      </c>
      <c r="G16" s="224">
        <f>output_dollars</f>
        <v>46203</v>
      </c>
      <c r="H16" s="30"/>
      <c r="I16" s="30">
        <f>'Option1 (base case)'!I$36*conv_2026</f>
        <v>119225.79496155272</v>
      </c>
      <c r="J16" s="30">
        <f>'Option1 (base case)'!J$36*conv_2026</f>
        <v>129326.68174995556</v>
      </c>
      <c r="K16" s="30">
        <f>'Option1 (base case)'!K$36*conv_2026</f>
        <v>132453.80649991502</v>
      </c>
      <c r="L16" s="30">
        <f>'Option1 (base case)'!L$36*conv_2026</f>
        <v>135128.63902451916</v>
      </c>
      <c r="M16" s="30">
        <f>'Option1 (base case)'!M$36*conv_2026</f>
        <v>138047.25480118231</v>
      </c>
      <c r="N16" s="30">
        <f>'Option1 (base case)'!N$36*conv_2026</f>
        <v>141985.25622105948</v>
      </c>
      <c r="O16" s="30">
        <f>'Option1 (base case)'!O$36*conv_2026</f>
        <v>147669.41824683975</v>
      </c>
      <c r="P16" s="30">
        <f>'Option1 (base case)'!P$36*conv_2026</f>
        <v>155237.32105601291</v>
      </c>
      <c r="Q16" s="30">
        <f>'Option1 (base case)'!Q$36*conv_2026</f>
        <v>163636.99506588487</v>
      </c>
      <c r="R16" s="30">
        <f>'Option1 (base case)'!R$36*conv_2026</f>
        <v>174824.49016971115</v>
      </c>
      <c r="S16" s="30">
        <f>'Option1 (base case)'!S$36*conv_2026</f>
        <v>189680.70771033928</v>
      </c>
      <c r="T16" s="30">
        <f>'Option1 (base case)'!T$36*conv_2026</f>
        <v>209442.45848655485</v>
      </c>
      <c r="U16" s="30">
        <f>'Option1 (base case)'!U$36*conv_2026</f>
        <v>235857.69339162728</v>
      </c>
      <c r="V16" s="30">
        <f>'Option1 (base case)'!V$36*conv_2026</f>
        <v>271339.45513795398</v>
      </c>
      <c r="W16" s="30">
        <f>'Option1 (base case)'!W$36*conv_2026</f>
        <v>319232.78798758681</v>
      </c>
      <c r="X16" s="30">
        <f>'Option1 (base case)'!X$36*conv_2026</f>
        <v>384193.16796450893</v>
      </c>
      <c r="Y16" s="30">
        <f>'Option1 (base case)'!Y$36*conv_2026</f>
        <v>459031.28083636926</v>
      </c>
      <c r="Z16" s="30">
        <f>'Option1 (base case)'!Z$36*conv_2026</f>
        <v>535046.58878967154</v>
      </c>
      <c r="AA16" s="30">
        <f>'Option1 (base case)'!AA$36*conv_2026</f>
        <v>564710.41354193829</v>
      </c>
      <c r="AB16" s="30">
        <f>'Option1 (base case)'!AB$36*conv_2026</f>
        <v>590769.19428702141</v>
      </c>
      <c r="AC16" s="30">
        <f>'Option1 (base case)'!AC$36*conv_2026</f>
        <v>622471.02364549844</v>
      </c>
      <c r="AD16" s="30">
        <f>'Option1 (base case)'!AD$36*conv_2026</f>
        <v>622818.18705816998</v>
      </c>
      <c r="AE16" s="30">
        <f>'Option1 (base case)'!AE$36*conv_2026</f>
        <v>623221.9549917985</v>
      </c>
      <c r="AF16" s="30">
        <f>'Option1 (base case)'!AF$36*conv_2026</f>
        <v>623692.15909011301</v>
      </c>
      <c r="AG16" s="30">
        <f>'Option1 (base case)'!AG$36*conv_2026</f>
        <v>624240.41041297268</v>
      </c>
    </row>
    <row r="17" spans="1:33" s="1" customFormat="1" x14ac:dyDescent="0.2">
      <c r="A17" s="134" t="str">
        <f t="shared" si="3"/>
        <v>Option 1 (base case)</v>
      </c>
      <c r="B17" s="134"/>
      <c r="C17" s="74"/>
      <c r="D17" s="37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7" t="str">
        <f>'Option1 (base case)'!C$82</f>
        <v>Annualised capex</v>
      </c>
      <c r="D18" s="37" t="str">
        <f t="shared" si="2"/>
        <v>Option 1 (base case)Annualised capex</v>
      </c>
      <c r="F18" s="96">
        <f>SUMPRODUCT($H18:$AG18, $H$5:$AG$5)</f>
        <v>0</v>
      </c>
      <c r="G18" s="224">
        <f t="shared" ref="G18:G25" si="4">output_dollars</f>
        <v>46203</v>
      </c>
      <c r="H18" s="30"/>
      <c r="I18" s="30">
        <f>'Option1 (base case)'!I$82*conv_2026</f>
        <v>0</v>
      </c>
      <c r="J18" s="30">
        <f>'Option1 (base case)'!J$82*conv_2026</f>
        <v>0</v>
      </c>
      <c r="K18" s="30">
        <f>'Option1 (base case)'!K$82*conv_2026</f>
        <v>0</v>
      </c>
      <c r="L18" s="30">
        <f>'Option1 (base case)'!L$82*conv_2026</f>
        <v>0</v>
      </c>
      <c r="M18" s="30">
        <f>'Option1 (base case)'!M$82*conv_2026</f>
        <v>0</v>
      </c>
      <c r="N18" s="30">
        <f>'Option1 (base case)'!N$82*conv_2026</f>
        <v>0</v>
      </c>
      <c r="O18" s="30">
        <f>'Option1 (base case)'!O$82*conv_2026</f>
        <v>0</v>
      </c>
      <c r="P18" s="30">
        <f>'Option1 (base case)'!P$82*conv_2026</f>
        <v>0</v>
      </c>
      <c r="Q18" s="30">
        <f>'Option1 (base case)'!Q$82*conv_2026</f>
        <v>0</v>
      </c>
      <c r="R18" s="30">
        <f>'Option1 (base case)'!R$82*conv_2026</f>
        <v>0</v>
      </c>
      <c r="S18" s="30">
        <f>'Option1 (base case)'!S$82*conv_2026</f>
        <v>0</v>
      </c>
      <c r="T18" s="30">
        <f>'Option1 (base case)'!T$82*conv_2026</f>
        <v>0</v>
      </c>
      <c r="U18" s="30">
        <f>'Option1 (base case)'!U$82*conv_2026</f>
        <v>0</v>
      </c>
      <c r="V18" s="30">
        <f>'Option1 (base case)'!V$82*conv_2026</f>
        <v>0</v>
      </c>
      <c r="W18" s="30">
        <f>'Option1 (base case)'!W$82*conv_2026</f>
        <v>0</v>
      </c>
      <c r="X18" s="30">
        <f>'Option1 (base case)'!X$82*conv_2026</f>
        <v>0</v>
      </c>
      <c r="Y18" s="30">
        <f>'Option1 (base case)'!Y$82*conv_2026</f>
        <v>0</v>
      </c>
      <c r="Z18" s="30">
        <f>'Option1 (base case)'!Z$82*conv_2026</f>
        <v>0</v>
      </c>
      <c r="AA18" s="30">
        <f>'Option1 (base case)'!AA$82*conv_2026</f>
        <v>0</v>
      </c>
      <c r="AB18" s="30">
        <f>'Option1 (base case)'!AB$82*conv_2026</f>
        <v>0</v>
      </c>
      <c r="AC18" s="30">
        <f>'Option1 (base case)'!AC$82*conv_2026</f>
        <v>0</v>
      </c>
      <c r="AD18" s="30">
        <f>'Option1 (base case)'!AD$82*conv_2026</f>
        <v>0</v>
      </c>
      <c r="AE18" s="30">
        <f>'Option1 (base case)'!AE$82*conv_2026</f>
        <v>0</v>
      </c>
      <c r="AF18" s="30">
        <f>'Option1 (base case)'!AF$82*conv_2026</f>
        <v>0</v>
      </c>
      <c r="AG18" s="30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7" t="str">
        <f>'Option1 (base case)'!C$83</f>
        <v>Operating expenditure</v>
      </c>
      <c r="D19" s="37" t="str">
        <f t="shared" si="2"/>
        <v>Option 1 (base case)Operating expenditure</v>
      </c>
      <c r="F19" s="96">
        <f>SUMPRODUCT($H19:$AG19, $H$5:$AG$5)</f>
        <v>0</v>
      </c>
      <c r="G19" s="224">
        <f t="shared" si="4"/>
        <v>46203</v>
      </c>
      <c r="H19" s="30"/>
      <c r="I19" s="30">
        <f>'Option1 (base case)'!I$83*conv_2026</f>
        <v>0</v>
      </c>
      <c r="J19" s="30">
        <f>'Option1 (base case)'!J$83*conv_2026</f>
        <v>0</v>
      </c>
      <c r="K19" s="30">
        <f>'Option1 (base case)'!K$83*conv_2026</f>
        <v>0</v>
      </c>
      <c r="L19" s="30">
        <f>'Option1 (base case)'!L$83*conv_2026</f>
        <v>0</v>
      </c>
      <c r="M19" s="30">
        <f>'Option1 (base case)'!M$83*conv_2026</f>
        <v>0</v>
      </c>
      <c r="N19" s="30">
        <f>'Option1 (base case)'!N$83*conv_2026</f>
        <v>0</v>
      </c>
      <c r="O19" s="30">
        <f>'Option1 (base case)'!O$83*conv_2026</f>
        <v>0</v>
      </c>
      <c r="P19" s="30">
        <f>'Option1 (base case)'!P$83*conv_2026</f>
        <v>0</v>
      </c>
      <c r="Q19" s="30">
        <f>'Option1 (base case)'!Q$83*conv_2026</f>
        <v>0</v>
      </c>
      <c r="R19" s="30">
        <f>'Option1 (base case)'!R$83*conv_2026</f>
        <v>0</v>
      </c>
      <c r="S19" s="30">
        <f>'Option1 (base case)'!S$83*conv_2026</f>
        <v>0</v>
      </c>
      <c r="T19" s="30">
        <f>'Option1 (base case)'!T$83*conv_2026</f>
        <v>0</v>
      </c>
      <c r="U19" s="30">
        <f>'Option1 (base case)'!U$83*conv_2026</f>
        <v>0</v>
      </c>
      <c r="V19" s="30">
        <f>'Option1 (base case)'!V$83*conv_2026</f>
        <v>0</v>
      </c>
      <c r="W19" s="30">
        <f>'Option1 (base case)'!W$83*conv_2026</f>
        <v>0</v>
      </c>
      <c r="X19" s="30">
        <f>'Option1 (base case)'!X$83*conv_2026</f>
        <v>0</v>
      </c>
      <c r="Y19" s="30">
        <f>'Option1 (base case)'!Y$83*conv_2026</f>
        <v>0</v>
      </c>
      <c r="Z19" s="30">
        <f>'Option1 (base case)'!Z$83*conv_2026</f>
        <v>0</v>
      </c>
      <c r="AA19" s="30">
        <f>'Option1 (base case)'!AA$83*conv_2026</f>
        <v>0</v>
      </c>
      <c r="AB19" s="30">
        <f>'Option1 (base case)'!AB$83*conv_2026</f>
        <v>0</v>
      </c>
      <c r="AC19" s="30">
        <f>'Option1 (base case)'!AC$83*conv_2026</f>
        <v>0</v>
      </c>
      <c r="AD19" s="30">
        <f>'Option1 (base case)'!AD$83*conv_2026</f>
        <v>0</v>
      </c>
      <c r="AE19" s="30">
        <f>'Option1 (base case)'!AE$83*conv_2026</f>
        <v>0</v>
      </c>
      <c r="AF19" s="30">
        <f>'Option1 (base case)'!AF$83*conv_2026</f>
        <v>0</v>
      </c>
      <c r="AG19" s="30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7" t="str">
        <f>'Option1 (base case)'!C$84</f>
        <v>Risk mitigated</v>
      </c>
      <c r="D20" s="37" t="str">
        <f t="shared" si="2"/>
        <v>Option 1 (base case)Risk mitigated</v>
      </c>
      <c r="F20" s="96">
        <f>SUMPRODUCT($H20:$AG20, $H$5:$AG$5)</f>
        <v>0</v>
      </c>
      <c r="G20" s="224">
        <f t="shared" si="4"/>
        <v>46203</v>
      </c>
      <c r="H20" s="30"/>
      <c r="I20" s="30">
        <f>'Option1 (base case)'!I$84*conv_2026</f>
        <v>0</v>
      </c>
      <c r="J20" s="30">
        <f>'Option1 (base case)'!J$84*conv_2026</f>
        <v>0</v>
      </c>
      <c r="K20" s="30">
        <f>'Option1 (base case)'!K$84*conv_2026</f>
        <v>0</v>
      </c>
      <c r="L20" s="30">
        <f>'Option1 (base case)'!L$84*conv_2026</f>
        <v>0</v>
      </c>
      <c r="M20" s="30">
        <f>'Option1 (base case)'!M$84*conv_2026</f>
        <v>0</v>
      </c>
      <c r="N20" s="30">
        <f>'Option1 (base case)'!N$84*conv_2026</f>
        <v>0</v>
      </c>
      <c r="O20" s="30">
        <f>'Option1 (base case)'!O$84*conv_2026</f>
        <v>0</v>
      </c>
      <c r="P20" s="30">
        <f>'Option1 (base case)'!P$84*conv_2026</f>
        <v>0</v>
      </c>
      <c r="Q20" s="30">
        <f>'Option1 (base case)'!Q$84*conv_2026</f>
        <v>0</v>
      </c>
      <c r="R20" s="30">
        <f>'Option1 (base case)'!R$84*conv_2026</f>
        <v>0</v>
      </c>
      <c r="S20" s="30">
        <f>'Option1 (base case)'!S$84*conv_2026</f>
        <v>0</v>
      </c>
      <c r="T20" s="30">
        <f>'Option1 (base case)'!T$84*conv_2026</f>
        <v>0</v>
      </c>
      <c r="U20" s="30">
        <f>'Option1 (base case)'!U$84*conv_2026</f>
        <v>0</v>
      </c>
      <c r="V20" s="30">
        <f>'Option1 (base case)'!V$84*conv_2026</f>
        <v>0</v>
      </c>
      <c r="W20" s="30">
        <f>'Option1 (base case)'!W$84*conv_2026</f>
        <v>0</v>
      </c>
      <c r="X20" s="30">
        <f>'Option1 (base case)'!X$84*conv_2026</f>
        <v>0</v>
      </c>
      <c r="Y20" s="30">
        <f>'Option1 (base case)'!Y$84*conv_2026</f>
        <v>0</v>
      </c>
      <c r="Z20" s="30">
        <f>'Option1 (base case)'!Z$84*conv_2026</f>
        <v>0</v>
      </c>
      <c r="AA20" s="30">
        <f>'Option1 (base case)'!AA$84*conv_2026</f>
        <v>0</v>
      </c>
      <c r="AB20" s="30">
        <f>'Option1 (base case)'!AB$84*conv_2026</f>
        <v>0</v>
      </c>
      <c r="AC20" s="30">
        <f>'Option1 (base case)'!AC$84*conv_2026</f>
        <v>0</v>
      </c>
      <c r="AD20" s="30">
        <f>'Option1 (base case)'!AD$84*conv_2026</f>
        <v>0</v>
      </c>
      <c r="AE20" s="30">
        <f>'Option1 (base case)'!AE$84*conv_2026</f>
        <v>0</v>
      </c>
      <c r="AF20" s="30">
        <f>'Option1 (base case)'!AF$84*conv_2026</f>
        <v>0</v>
      </c>
      <c r="AG20" s="30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7" t="str">
        <f>'Option1 (base case)'!C$85</f>
        <v>Other benefits value</v>
      </c>
      <c r="D21" s="37" t="str">
        <f t="shared" si="2"/>
        <v>Option 1 (base case)Other benefits value</v>
      </c>
      <c r="F21" s="96">
        <f>SUMPRODUCT($H21:$AG21, $H$5:$AG$5)</f>
        <v>0</v>
      </c>
      <c r="G21" s="224">
        <f t="shared" si="4"/>
        <v>46203</v>
      </c>
      <c r="H21" s="30"/>
      <c r="I21" s="30">
        <f>'Option1 (base case)'!I$85*conv_2026</f>
        <v>0</v>
      </c>
      <c r="J21" s="30">
        <f>'Option1 (base case)'!J$85*conv_2026</f>
        <v>0</v>
      </c>
      <c r="K21" s="30">
        <f>'Option1 (base case)'!K$85*conv_2026</f>
        <v>0</v>
      </c>
      <c r="L21" s="30">
        <f>'Option1 (base case)'!L$85*conv_2026</f>
        <v>0</v>
      </c>
      <c r="M21" s="30">
        <f>'Option1 (base case)'!M$85*conv_2026</f>
        <v>0</v>
      </c>
      <c r="N21" s="30">
        <f>'Option1 (base case)'!N$85*conv_2026</f>
        <v>0</v>
      </c>
      <c r="O21" s="30">
        <f>'Option1 (base case)'!O$85*conv_2026</f>
        <v>0</v>
      </c>
      <c r="P21" s="30">
        <f>'Option1 (base case)'!P$85*conv_2026</f>
        <v>0</v>
      </c>
      <c r="Q21" s="30">
        <f>'Option1 (base case)'!Q$85*conv_2026</f>
        <v>0</v>
      </c>
      <c r="R21" s="30">
        <f>'Option1 (base case)'!R$85*conv_2026</f>
        <v>0</v>
      </c>
      <c r="S21" s="30">
        <f>'Option1 (base case)'!S$85*conv_2026</f>
        <v>0</v>
      </c>
      <c r="T21" s="30">
        <f>'Option1 (base case)'!T$85*conv_2026</f>
        <v>0</v>
      </c>
      <c r="U21" s="30">
        <f>'Option1 (base case)'!U$85*conv_2026</f>
        <v>0</v>
      </c>
      <c r="V21" s="30">
        <f>'Option1 (base case)'!V$85*conv_2026</f>
        <v>0</v>
      </c>
      <c r="W21" s="30">
        <f>'Option1 (base case)'!W$85*conv_2026</f>
        <v>0</v>
      </c>
      <c r="X21" s="30">
        <f>'Option1 (base case)'!X$85*conv_2026</f>
        <v>0</v>
      </c>
      <c r="Y21" s="30">
        <f>'Option1 (base case)'!Y$85*conv_2026</f>
        <v>0</v>
      </c>
      <c r="Z21" s="30">
        <f>'Option1 (base case)'!Z$85*conv_2026</f>
        <v>0</v>
      </c>
      <c r="AA21" s="30">
        <f>'Option1 (base case)'!AA$85*conv_2026</f>
        <v>0</v>
      </c>
      <c r="AB21" s="30">
        <f>'Option1 (base case)'!AB$85*conv_2026</f>
        <v>0</v>
      </c>
      <c r="AC21" s="30">
        <f>'Option1 (base case)'!AC$85*conv_2026</f>
        <v>0</v>
      </c>
      <c r="AD21" s="30">
        <f>'Option1 (base case)'!AD$85*conv_2026</f>
        <v>0</v>
      </c>
      <c r="AE21" s="30">
        <f>'Option1 (base case)'!AE$85*conv_2026</f>
        <v>0</v>
      </c>
      <c r="AF21" s="30">
        <f>'Option1 (base case)'!AF$85*conv_2026</f>
        <v>0</v>
      </c>
      <c r="AG21" s="30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8" t="str">
        <f t="shared" si="2"/>
        <v>Option 1 (base case)Net benefits</v>
      </c>
      <c r="E22" s="109"/>
      <c r="F22" s="142"/>
      <c r="G22" s="226">
        <f t="shared" si="4"/>
        <v>46203</v>
      </c>
      <c r="H22" s="51"/>
      <c r="I22" s="51">
        <f t="shared" ref="I22:AG22" si="5">SUM(I18:I21)</f>
        <v>0</v>
      </c>
      <c r="J22" s="51">
        <f t="shared" si="5"/>
        <v>0</v>
      </c>
      <c r="K22" s="51">
        <f t="shared" si="5"/>
        <v>0</v>
      </c>
      <c r="L22" s="51">
        <f t="shared" si="5"/>
        <v>0</v>
      </c>
      <c r="M22" s="51">
        <f t="shared" si="5"/>
        <v>0</v>
      </c>
      <c r="N22" s="51">
        <f t="shared" si="5"/>
        <v>0</v>
      </c>
      <c r="O22" s="51">
        <f t="shared" si="5"/>
        <v>0</v>
      </c>
      <c r="P22" s="51">
        <f t="shared" si="5"/>
        <v>0</v>
      </c>
      <c r="Q22" s="51">
        <f t="shared" si="5"/>
        <v>0</v>
      </c>
      <c r="R22" s="51">
        <f t="shared" si="5"/>
        <v>0</v>
      </c>
      <c r="S22" s="51">
        <f t="shared" si="5"/>
        <v>0</v>
      </c>
      <c r="T22" s="51">
        <f t="shared" si="5"/>
        <v>0</v>
      </c>
      <c r="U22" s="51">
        <f t="shared" si="5"/>
        <v>0</v>
      </c>
      <c r="V22" s="51">
        <f t="shared" si="5"/>
        <v>0</v>
      </c>
      <c r="W22" s="51">
        <f t="shared" si="5"/>
        <v>0</v>
      </c>
      <c r="X22" s="51">
        <f t="shared" si="5"/>
        <v>0</v>
      </c>
      <c r="Y22" s="51">
        <f t="shared" si="5"/>
        <v>0</v>
      </c>
      <c r="Z22" s="51">
        <f t="shared" si="5"/>
        <v>0</v>
      </c>
      <c r="AA22" s="51">
        <f t="shared" si="5"/>
        <v>0</v>
      </c>
      <c r="AB22" s="51">
        <f t="shared" si="5"/>
        <v>0</v>
      </c>
      <c r="AC22" s="51">
        <f t="shared" si="5"/>
        <v>0</v>
      </c>
      <c r="AD22" s="51">
        <f t="shared" si="5"/>
        <v>0</v>
      </c>
      <c r="AE22" s="51">
        <f t="shared" si="5"/>
        <v>0</v>
      </c>
      <c r="AF22" s="51">
        <f t="shared" si="5"/>
        <v>0</v>
      </c>
      <c r="AG22" s="51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7" t="str">
        <f t="shared" si="2"/>
        <v>Option 1 (base case)NPV</v>
      </c>
      <c r="F23" s="107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189</v>
      </c>
      <c r="D24" s="37" t="str">
        <f t="shared" si="2"/>
        <v>Option 1 (base case)PV of costs</v>
      </c>
      <c r="F24" s="107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190</v>
      </c>
      <c r="D25" s="37" t="str">
        <f t="shared" si="2"/>
        <v>Option 1 (base case)PV of benefits</v>
      </c>
      <c r="F25" s="107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7" t="str">
        <f t="shared" ref="D26:D39" si="6">A26&amp;C26</f>
        <v/>
      </c>
      <c r="G26" s="227"/>
    </row>
    <row r="27" spans="1:33" s="2" customFormat="1" x14ac:dyDescent="0.2">
      <c r="A27" s="122"/>
      <c r="B27" s="122"/>
      <c r="C27" s="122"/>
      <c r="D27" s="37" t="str">
        <f t="shared" si="6"/>
        <v/>
      </c>
      <c r="F27" s="117"/>
      <c r="G27" s="220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6">
        <f>SUMPRODUCT($H28:$AG28, $H$5:$AG$5)</f>
        <v>820775.82773385709</v>
      </c>
      <c r="G28" s="270">
        <f>output_dollars</f>
        <v>46203</v>
      </c>
      <c r="H28" s="271"/>
      <c r="I28" s="30">
        <f>Option2!I$28*conv_2026</f>
        <v>69726.019698799792</v>
      </c>
      <c r="J28" s="30">
        <f>Option2!J$28*conv_2026</f>
        <v>8728.4937630569875</v>
      </c>
      <c r="K28" s="30">
        <f>Option2!K$28*conv_2026</f>
        <v>8889.9132780466389</v>
      </c>
      <c r="L28" s="30">
        <f>Option2!L$28*conv_2026</f>
        <v>8941.5739549384052</v>
      </c>
      <c r="M28" s="30">
        <f>Option2!M$28*conv_2026</f>
        <v>9033.4629930963765</v>
      </c>
      <c r="N28" s="30">
        <f>Option2!N$28*conv_2026</f>
        <v>9357.1113014751281</v>
      </c>
      <c r="O28" s="30">
        <f>Option2!O$28*conv_2026</f>
        <v>9863.4495665446157</v>
      </c>
      <c r="P28" s="30">
        <f>Option2!P$28*conv_2026</f>
        <v>10580.654151445164</v>
      </c>
      <c r="Q28" s="30">
        <f>Option2!Q$28*conv_2026</f>
        <v>11428.301458792852</v>
      </c>
      <c r="R28" s="30">
        <f>Option2!R$28*conv_2026</f>
        <v>12635.322921109273</v>
      </c>
      <c r="S28" s="30">
        <f>Option2!S$28*conv_2026</f>
        <v>14344.197796647237</v>
      </c>
      <c r="T28" s="30">
        <f>Option2!T$28*conv_2026</f>
        <v>16776.052458107457</v>
      </c>
      <c r="U28" s="30">
        <f>Option2!U$28*conv_2026</f>
        <v>20267.209703369492</v>
      </c>
      <c r="V28" s="30">
        <f>Option2!V$28*conv_2026</f>
        <v>25245.340592009863</v>
      </c>
      <c r="W28" s="30">
        <f>Option2!W$28*conv_2026</f>
        <v>32362.571815542527</v>
      </c>
      <c r="X28" s="30">
        <f>Option2!X$28*conv_2026</f>
        <v>42561.785662472568</v>
      </c>
      <c r="Y28" s="30">
        <f>Option2!Y$28*conv_2026</f>
        <v>57207.534629585149</v>
      </c>
      <c r="Z28" s="30">
        <f>Option2!Z$28*conv_2026</f>
        <v>78276.256227705278</v>
      </c>
      <c r="AA28" s="30">
        <f>Option2!AA$28*conv_2026</f>
        <v>108632.84411055567</v>
      </c>
      <c r="AB28" s="30">
        <f>Option2!AB$28*conv_2026</f>
        <v>152432.44211235846</v>
      </c>
      <c r="AC28" s="30">
        <f>Option2!AC$28*conv_2026</f>
        <v>160544.30642195462</v>
      </c>
      <c r="AD28" s="30">
        <f>Option2!AD$28*conv_2026</f>
        <v>161158.08997962996</v>
      </c>
      <c r="AE28" s="30">
        <f>Option2!AE$28*conv_2026</f>
        <v>161906.22502332786</v>
      </c>
      <c r="AF28" s="30">
        <f>Option2!AF$28*conv_2026</f>
        <v>162095.65024508169</v>
      </c>
      <c r="AG28" s="30">
        <f>Option2!AG$28*conv_2026</f>
        <v>162319.01158952562</v>
      </c>
    </row>
    <row r="29" spans="1:33" s="2" customFormat="1" x14ac:dyDescent="0.2">
      <c r="A29" s="134" t="str">
        <f>Data!B10</f>
        <v>Option 2</v>
      </c>
      <c r="B29" s="134"/>
      <c r="C29" s="57" t="str">
        <f>Option2!C$66</f>
        <v>Capital expenditure</v>
      </c>
      <c r="D29" s="37" t="str">
        <f t="shared" si="6"/>
        <v>Option 2Capital expenditure</v>
      </c>
      <c r="E29" s="1"/>
      <c r="F29" s="96" cm="1">
        <f t="array" ref="F29">SUMPRODUCT(($H29:$AG29)*($H$5:$AG$5)*($H$7:$AG$7))</f>
        <v>-2953620.3171093552</v>
      </c>
      <c r="G29" s="224">
        <f>output_dollars</f>
        <v>46203</v>
      </c>
      <c r="H29" s="30"/>
      <c r="I29" s="30">
        <f>SUM(Option2!I$67:I$69)*conv_2026*I$7</f>
        <v>-3004864.1453248113</v>
      </c>
      <c r="J29" s="30">
        <f>SUM(Option2!J$67:J$69)*conv_2026*J$7</f>
        <v>0</v>
      </c>
      <c r="K29" s="30">
        <f>SUM(Option2!K$67:K$69)*conv_2026*K$7</f>
        <v>0</v>
      </c>
      <c r="L29" s="30">
        <f>SUM(Option2!L$67:L$69)*conv_2026*L$7</f>
        <v>0</v>
      </c>
      <c r="M29" s="30">
        <f>SUM(Option2!M$67:M$69)*conv_2026*M$7</f>
        <v>0</v>
      </c>
      <c r="N29" s="30">
        <f>SUM(Option2!N$67:N$69)*conv_2026*N$7</f>
        <v>0</v>
      </c>
      <c r="O29" s="30">
        <f>SUM(Option2!O$67:O$69)*conv_2026*O$7</f>
        <v>0</v>
      </c>
      <c r="P29" s="30">
        <f>SUM(Option2!P$67:P$69)*conv_2026*P$7</f>
        <v>0</v>
      </c>
      <c r="Q29" s="30">
        <f>SUM(Option2!Q$67:Q$69)*conv_2026*Q$7</f>
        <v>0</v>
      </c>
      <c r="R29" s="30">
        <f>SUM(Option2!R$67:R$69)*conv_2026*R$7</f>
        <v>0</v>
      </c>
      <c r="S29" s="30">
        <f>SUM(Option2!S$67:S$69)*conv_2026*S$7</f>
        <v>0</v>
      </c>
      <c r="T29" s="30">
        <f>SUM(Option2!T$67:T$69)*conv_2026*T$7</f>
        <v>0</v>
      </c>
      <c r="U29" s="30">
        <f>SUM(Option2!U$67:U$69)*conv_2026*U$7</f>
        <v>0</v>
      </c>
      <c r="V29" s="30">
        <f>SUM(Option2!V$67:V$69)*conv_2026*V$7</f>
        <v>0</v>
      </c>
      <c r="W29" s="30">
        <f>SUM(Option2!W$67:W$69)*conv_2026*W$7</f>
        <v>0</v>
      </c>
      <c r="X29" s="30">
        <f>SUM(Option2!X$67:X$69)*conv_2026*X$7</f>
        <v>0</v>
      </c>
      <c r="Y29" s="30">
        <f>SUM(Option2!Y$67:Y$69)*conv_2026*Y$7</f>
        <v>0</v>
      </c>
      <c r="Z29" s="30">
        <f>SUM(Option2!Z$67:Z$69)*conv_2026*Z$7</f>
        <v>0</v>
      </c>
      <c r="AA29" s="30">
        <f>SUM(Option2!AA$67:AA$69)*conv_2026*AA$7</f>
        <v>0</v>
      </c>
      <c r="AB29" s="30">
        <f>SUM(Option2!AB$67:AB$69)*conv_2026*AB$7</f>
        <v>0</v>
      </c>
      <c r="AC29" s="30">
        <f>SUM(Option2!AC$67:AC$69)*conv_2026*AC$7</f>
        <v>0</v>
      </c>
      <c r="AD29" s="30">
        <f>SUM(Option2!AD$67:AD$69)*conv_2026*AD$7</f>
        <v>0</v>
      </c>
      <c r="AE29" s="30">
        <f>SUM(Option2!AE$67:AE$69)*conv_2026*AE$7</f>
        <v>0</v>
      </c>
      <c r="AF29" s="30">
        <f>SUM(Option2!AF$67:AF$69)*conv_2026*AF$7</f>
        <v>0</v>
      </c>
      <c r="AG29" s="30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7" t="str">
        <f>'Option1 (base case)'!C$36</f>
        <v>Total risk cost</v>
      </c>
      <c r="D30" s="37" t="str">
        <f t="shared" si="6"/>
        <v>Option 2Total risk cost</v>
      </c>
      <c r="E30" s="1"/>
      <c r="F30" s="96" cm="1">
        <f t="array" ref="F30">SUMPRODUCT(($H30:$AG30)*($H$5:$AG$5)*($H$7:$AG$7))</f>
        <v>740324.69008728478</v>
      </c>
      <c r="G30" s="224">
        <f>output_dollars</f>
        <v>46203</v>
      </c>
      <c r="H30" s="30"/>
      <c r="I30" s="30">
        <f>Option2!I$36*conv_2026*I$7</f>
        <v>119225.79496155272</v>
      </c>
      <c r="J30" s="30">
        <f>Option2!J$36*conv_2026*J$7</f>
        <v>11796.899022722973</v>
      </c>
      <c r="K30" s="30">
        <f>Option2!K$36*conv_2026*K$7</f>
        <v>11979.24016489992</v>
      </c>
      <c r="L30" s="30">
        <f>Option2!L$36*conv_2026*L$7</f>
        <v>12056.639198397803</v>
      </c>
      <c r="M30" s="30">
        <f>Option2!M$36*conv_2026*M$7</f>
        <v>12218.633799503476</v>
      </c>
      <c r="N30" s="30">
        <f>Option2!N$36*conv_2026*N$7</f>
        <v>12718.570982247109</v>
      </c>
      <c r="O30" s="30">
        <f>Option2!O$36*conv_2026*O$7</f>
        <v>13568.441010600834</v>
      </c>
      <c r="P30" s="30">
        <f>Option2!P$36*conv_2026*P$7</f>
        <v>14844.532645361804</v>
      </c>
      <c r="Q30" s="30">
        <f>Option2!Q$36*conv_2026*Q$7</f>
        <v>16458.335571254771</v>
      </c>
      <c r="R30" s="30">
        <f>Option2!R$36*conv_2026*R$7</f>
        <v>18721.194808529162</v>
      </c>
      <c r="S30" s="30">
        <f>Option2!S$36*conv_2026*S$7</f>
        <v>21892.214058895548</v>
      </c>
      <c r="T30" s="30">
        <f>Option2!T$36*conv_2026*T$7</f>
        <v>26359.999357023429</v>
      </c>
      <c r="U30" s="30">
        <f>Option2!U$36*conv_2026*U$7</f>
        <v>32707.09312988157</v>
      </c>
      <c r="V30" s="30">
        <f>Option2!V$36*conv_2026*V$7</f>
        <v>41685.474730385897</v>
      </c>
      <c r="W30" s="30">
        <f>Option2!W$36*conv_2026*W$7</f>
        <v>54425.542195459864</v>
      </c>
      <c r="X30" s="30">
        <f>Option2!X$36*conv_2026*X$7</f>
        <v>72553.500057594676</v>
      </c>
      <c r="Y30" s="30">
        <f>Option2!Y$36*conv_2026*Y$7</f>
        <v>98411.591587818548</v>
      </c>
      <c r="Z30" s="30">
        <f>Option2!Z$36*conv_2026*Z$7</f>
        <v>135376.93339264006</v>
      </c>
      <c r="AA30" s="30">
        <f>Option2!AA$36*conv_2026*AA$7</f>
        <v>188487.2646955752</v>
      </c>
      <c r="AB30" s="30">
        <f>Option2!AB$36*conv_2026*AB$7</f>
        <v>264778.75262029056</v>
      </c>
      <c r="AC30" s="30">
        <f>Option2!AC$36*conv_2026*AC$7</f>
        <v>0</v>
      </c>
      <c r="AD30" s="30">
        <f>Option2!AD$36*conv_2026*AD$7</f>
        <v>0</v>
      </c>
      <c r="AE30" s="30">
        <f>Option2!AE$36*conv_2026*AE$7</f>
        <v>0</v>
      </c>
      <c r="AF30" s="30">
        <f>Option2!AF$36*conv_2026*AF$7</f>
        <v>0</v>
      </c>
      <c r="AG30" s="30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4"/>
      <c r="D31" s="37" t="str">
        <f t="shared" si="6"/>
        <v>Option 2</v>
      </c>
      <c r="E31" s="1"/>
      <c r="F31" s="96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7" t="str">
        <f>Option2!C$82</f>
        <v>Annualised capex</v>
      </c>
      <c r="D32" s="37" t="str">
        <f t="shared" si="6"/>
        <v>Option 2Annualised capex</v>
      </c>
      <c r="E32" s="1"/>
      <c r="F32" s="96" cm="1">
        <f t="array" ref="F32">SUMPRODUCT(($H32:$AG32)*($H$5:$AG$5)*($H$7:$AG$7))</f>
        <v>-1726394.6984476699</v>
      </c>
      <c r="G32" s="224">
        <f t="shared" ref="G32:G39" si="8">output_dollars</f>
        <v>46203</v>
      </c>
      <c r="H32" s="30"/>
      <c r="I32" s="30">
        <f>Option2!I$82*conv_2026*I$7</f>
        <v>0</v>
      </c>
      <c r="J32" s="30">
        <f>Option2!J$82*conv_2026*J$7</f>
        <v>-128108.50525871143</v>
      </c>
      <c r="K32" s="30">
        <f>Option2!K$82*conv_2026*K$7</f>
        <v>-128108.50525871143</v>
      </c>
      <c r="L32" s="30">
        <f>Option2!L$82*conv_2026*L$7</f>
        <v>-128108.50525871143</v>
      </c>
      <c r="M32" s="30">
        <f>Option2!M$82*conv_2026*M$7</f>
        <v>-128108.50525871143</v>
      </c>
      <c r="N32" s="30">
        <f>Option2!N$82*conv_2026*N$7</f>
        <v>-128108.50525871143</v>
      </c>
      <c r="O32" s="30">
        <f>Option2!O$82*conv_2026*O$7</f>
        <v>-128108.50525871143</v>
      </c>
      <c r="P32" s="30">
        <f>Option2!P$82*conv_2026*P$7</f>
        <v>-128108.50525871143</v>
      </c>
      <c r="Q32" s="30">
        <f>Option2!Q$82*conv_2026*Q$7</f>
        <v>-128108.50525871143</v>
      </c>
      <c r="R32" s="30">
        <f>Option2!R$82*conv_2026*R$7</f>
        <v>-128108.50525871143</v>
      </c>
      <c r="S32" s="30">
        <f>Option2!S$82*conv_2026*S$7</f>
        <v>-128108.50525871143</v>
      </c>
      <c r="T32" s="30">
        <f>Option2!T$82*conv_2026*T$7</f>
        <v>-128108.50525871143</v>
      </c>
      <c r="U32" s="30">
        <f>Option2!U$82*conv_2026*U$7</f>
        <v>-128108.50525871143</v>
      </c>
      <c r="V32" s="30">
        <f>Option2!V$82*conv_2026*V$7</f>
        <v>-128108.50525871143</v>
      </c>
      <c r="W32" s="30">
        <f>Option2!W$82*conv_2026*W$7</f>
        <v>-128108.50525871143</v>
      </c>
      <c r="X32" s="30">
        <f>Option2!X$82*conv_2026*X$7</f>
        <v>-128108.50525871143</v>
      </c>
      <c r="Y32" s="30">
        <f>Option2!Y$82*conv_2026*Y$7</f>
        <v>-128108.50525871143</v>
      </c>
      <c r="Z32" s="30">
        <f>Option2!Z$82*conv_2026*Z$7</f>
        <v>-128108.50525871143</v>
      </c>
      <c r="AA32" s="30">
        <f>Option2!AA$82*conv_2026*AA$7</f>
        <v>-128108.50525871143</v>
      </c>
      <c r="AB32" s="30">
        <f>Option2!AB$82*conv_2026*AB$7</f>
        <v>-128108.50525871143</v>
      </c>
      <c r="AC32" s="30">
        <f>Option2!AC$82*conv_2026*AC$7</f>
        <v>0</v>
      </c>
      <c r="AD32" s="30">
        <f>Option2!AD$82*conv_2026*AD$7</f>
        <v>0</v>
      </c>
      <c r="AE32" s="30">
        <f>Option2!AE$82*conv_2026*AE$7</f>
        <v>0</v>
      </c>
      <c r="AF32" s="30">
        <f>Option2!AF$82*conv_2026*AF$7</f>
        <v>0</v>
      </c>
      <c r="AG32" s="30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7" t="str">
        <f>Option2!C$83</f>
        <v>Operating expenditure</v>
      </c>
      <c r="D33" s="37" t="str">
        <f t="shared" si="6"/>
        <v>Option 2Operating expenditure</v>
      </c>
      <c r="E33" s="1"/>
      <c r="F33" s="96" cm="1">
        <f t="array" ref="F33">SUMPRODUCT(($H33:$AG33)*($H$5:$AG$5)*($H$7:$AG$7))</f>
        <v>0</v>
      </c>
      <c r="G33" s="224">
        <f t="shared" si="8"/>
        <v>46203</v>
      </c>
      <c r="H33" s="30"/>
      <c r="I33" s="30">
        <f>Option2!I$83*conv_2026*I$7</f>
        <v>0</v>
      </c>
      <c r="J33" s="30">
        <f>Option2!J$83*conv_2026*J$7</f>
        <v>0</v>
      </c>
      <c r="K33" s="30">
        <f>Option2!K$83*conv_2026*K$7</f>
        <v>0</v>
      </c>
      <c r="L33" s="30">
        <f>Option2!L$83*conv_2026*L$7</f>
        <v>0</v>
      </c>
      <c r="M33" s="30">
        <f>Option2!M$83*conv_2026*M$7</f>
        <v>0</v>
      </c>
      <c r="N33" s="30">
        <f>Option2!N$83*conv_2026*N$7</f>
        <v>0</v>
      </c>
      <c r="O33" s="30">
        <f>Option2!O$83*conv_2026*O$7</f>
        <v>0</v>
      </c>
      <c r="P33" s="30">
        <f>Option2!P$83*conv_2026*P$7</f>
        <v>0</v>
      </c>
      <c r="Q33" s="30">
        <f>Option2!Q$83*conv_2026*Q$7</f>
        <v>0</v>
      </c>
      <c r="R33" s="30">
        <f>Option2!R$83*conv_2026*R$7</f>
        <v>0</v>
      </c>
      <c r="S33" s="30">
        <f>Option2!S$83*conv_2026*S$7</f>
        <v>0</v>
      </c>
      <c r="T33" s="30">
        <f>Option2!T$83*conv_2026*T$7</f>
        <v>0</v>
      </c>
      <c r="U33" s="30">
        <f>Option2!U$83*conv_2026*U$7</f>
        <v>0</v>
      </c>
      <c r="V33" s="30">
        <f>Option2!V$83*conv_2026*V$7</f>
        <v>0</v>
      </c>
      <c r="W33" s="30">
        <f>Option2!W$83*conv_2026*W$7</f>
        <v>0</v>
      </c>
      <c r="X33" s="30">
        <f>Option2!X$83*conv_2026*X$7</f>
        <v>0</v>
      </c>
      <c r="Y33" s="30">
        <f>Option2!Y$83*conv_2026*Y$7</f>
        <v>0</v>
      </c>
      <c r="Z33" s="30">
        <f>Option2!Z$83*conv_2026*Z$7</f>
        <v>0</v>
      </c>
      <c r="AA33" s="30">
        <f>Option2!AA$83*conv_2026*AA$7</f>
        <v>0</v>
      </c>
      <c r="AB33" s="30">
        <f>Option2!AB$83*conv_2026*AB$7</f>
        <v>0</v>
      </c>
      <c r="AC33" s="30">
        <f>Option2!AC$83*conv_2026*AC$7</f>
        <v>0</v>
      </c>
      <c r="AD33" s="30">
        <f>Option2!AD$83*conv_2026*AD$7</f>
        <v>0</v>
      </c>
      <c r="AE33" s="30">
        <f>Option2!AE$83*conv_2026*AE$7</f>
        <v>0</v>
      </c>
      <c r="AF33" s="30">
        <f>Option2!AF$83*conv_2026*AF$7</f>
        <v>0</v>
      </c>
      <c r="AG33" s="30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7" t="str">
        <f>Option2!C$84</f>
        <v>Risk mitigated</v>
      </c>
      <c r="D34" s="37" t="str">
        <f t="shared" si="6"/>
        <v>Option 2Risk mitigated</v>
      </c>
      <c r="E34" s="1"/>
      <c r="F34" s="96" cm="1">
        <f t="array" ref="F34">SUMPRODUCT(($H34:$AG34)*($H$5:$AG$5)*($H$7:$AG$7))</f>
        <v>2633589.1254738471</v>
      </c>
      <c r="G34" s="224">
        <f t="shared" si="8"/>
        <v>46203</v>
      </c>
      <c r="H34" s="30"/>
      <c r="I34" s="30">
        <f>Option2!I$84*conv_2026*I$7</f>
        <v>0</v>
      </c>
      <c r="J34" s="30">
        <f>Option2!J$84*conv_2026*J$7</f>
        <v>117529.78272723258</v>
      </c>
      <c r="K34" s="30">
        <f>Option2!K$84*conv_2026*K$7</f>
        <v>120474.5663350151</v>
      </c>
      <c r="L34" s="30">
        <f>Option2!L$84*conv_2026*L$7</f>
        <v>123071.99982612135</v>
      </c>
      <c r="M34" s="30">
        <f>Option2!M$84*conv_2026*M$7</f>
        <v>125828.62100167884</v>
      </c>
      <c r="N34" s="30">
        <f>Option2!N$84*conv_2026*N$7</f>
        <v>129266.68523881237</v>
      </c>
      <c r="O34" s="30">
        <f>Option2!O$84*conv_2026*O$7</f>
        <v>134100.97723623892</v>
      </c>
      <c r="P34" s="30">
        <f>Option2!P$84*conv_2026*P$7</f>
        <v>140392.78841065109</v>
      </c>
      <c r="Q34" s="30">
        <f>Option2!Q$84*conv_2026*Q$7</f>
        <v>147178.65949463009</v>
      </c>
      <c r="R34" s="30">
        <f>Option2!R$84*conv_2026*R$7</f>
        <v>156103.29536118201</v>
      </c>
      <c r="S34" s="30">
        <f>Option2!S$84*conv_2026*S$7</f>
        <v>167788.49365144374</v>
      </c>
      <c r="T34" s="30">
        <f>Option2!T$84*conv_2026*T$7</f>
        <v>183082.45912953143</v>
      </c>
      <c r="U34" s="30">
        <f>Option2!U$84*conv_2026*U$7</f>
        <v>203150.60026174568</v>
      </c>
      <c r="V34" s="30">
        <f>Option2!V$84*conv_2026*V$7</f>
        <v>229653.9804075681</v>
      </c>
      <c r="W34" s="30">
        <f>Option2!W$84*conv_2026*W$7</f>
        <v>264807.24579212692</v>
      </c>
      <c r="X34" s="30">
        <f>Option2!X$84*conv_2026*X$7</f>
        <v>311639.66790691426</v>
      </c>
      <c r="Y34" s="30">
        <f>Option2!Y$84*conv_2026*Y$7</f>
        <v>360619.68924855074</v>
      </c>
      <c r="Z34" s="30">
        <f>Option2!Z$84*conv_2026*Z$7</f>
        <v>399669.65539703151</v>
      </c>
      <c r="AA34" s="30">
        <f>Option2!AA$84*conv_2026*AA$7</f>
        <v>376223.14884636307</v>
      </c>
      <c r="AB34" s="30">
        <f>Option2!AB$84*conv_2026*AB$7</f>
        <v>325990.44166673085</v>
      </c>
      <c r="AC34" s="30">
        <f>Option2!AC$84*conv_2026*AC$7</f>
        <v>0</v>
      </c>
      <c r="AD34" s="30">
        <f>Option2!AD$84*conv_2026*AD$7</f>
        <v>0</v>
      </c>
      <c r="AE34" s="30">
        <f>Option2!AE$84*conv_2026*AE$7</f>
        <v>0</v>
      </c>
      <c r="AF34" s="30">
        <f>Option2!AF$84*conv_2026*AF$7</f>
        <v>0</v>
      </c>
      <c r="AG34" s="30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7" t="str">
        <f>Option2!C$85</f>
        <v>Other benefits value</v>
      </c>
      <c r="D35" s="37" t="str">
        <f t="shared" si="6"/>
        <v>Option 2Other benefits value</v>
      </c>
      <c r="E35" s="1"/>
      <c r="F35" s="96" cm="1">
        <f t="array" ref="F35">SUMPRODUCT(($H35:$AG35)*($H$5:$AG$5)*($H$7:$AG$7))</f>
        <v>0</v>
      </c>
      <c r="G35" s="224">
        <f t="shared" si="8"/>
        <v>46203</v>
      </c>
      <c r="H35" s="30"/>
      <c r="I35" s="30">
        <f>Option2!I$85*conv_2026*I$7</f>
        <v>0</v>
      </c>
      <c r="J35" s="30">
        <f>Option2!J$85*conv_2026*J$7</f>
        <v>0</v>
      </c>
      <c r="K35" s="30">
        <f>Option2!K$85*conv_2026*K$7</f>
        <v>0</v>
      </c>
      <c r="L35" s="30">
        <f>Option2!L$85*conv_2026*L$7</f>
        <v>0</v>
      </c>
      <c r="M35" s="30">
        <f>Option2!M$85*conv_2026*M$7</f>
        <v>0</v>
      </c>
      <c r="N35" s="30">
        <f>Option2!N$85*conv_2026*N$7</f>
        <v>0</v>
      </c>
      <c r="O35" s="30">
        <f>Option2!O$85*conv_2026*O$7</f>
        <v>0</v>
      </c>
      <c r="P35" s="30">
        <f>Option2!P$85*conv_2026*P$7</f>
        <v>0</v>
      </c>
      <c r="Q35" s="30">
        <f>Option2!Q$85*conv_2026*Q$7</f>
        <v>0</v>
      </c>
      <c r="R35" s="30">
        <f>Option2!R$85*conv_2026*R$7</f>
        <v>0</v>
      </c>
      <c r="S35" s="30">
        <f>Option2!S$85*conv_2026*S$7</f>
        <v>0</v>
      </c>
      <c r="T35" s="30">
        <f>Option2!T$85*conv_2026*T$7</f>
        <v>0</v>
      </c>
      <c r="U35" s="30">
        <f>Option2!U$85*conv_2026*U$7</f>
        <v>0</v>
      </c>
      <c r="V35" s="30">
        <f>Option2!V$85*conv_2026*V$7</f>
        <v>0</v>
      </c>
      <c r="W35" s="30">
        <f>Option2!W$85*conv_2026*W$7</f>
        <v>0</v>
      </c>
      <c r="X35" s="30">
        <f>Option2!X$85*conv_2026*X$7</f>
        <v>0</v>
      </c>
      <c r="Y35" s="30">
        <f>Option2!Y$85*conv_2026*Y$7</f>
        <v>0</v>
      </c>
      <c r="Z35" s="30">
        <f>Option2!Z$85*conv_2026*Z$7</f>
        <v>0</v>
      </c>
      <c r="AA35" s="30">
        <f>Option2!AA$85*conv_2026*AA$7</f>
        <v>0</v>
      </c>
      <c r="AB35" s="30">
        <f>Option2!AB$85*conv_2026*AB$7</f>
        <v>0</v>
      </c>
      <c r="AC35" s="30">
        <f>Option2!AC$85*conv_2026*AC$7</f>
        <v>0</v>
      </c>
      <c r="AD35" s="30">
        <f>Option2!AD$85*conv_2026*AD$7</f>
        <v>0</v>
      </c>
      <c r="AE35" s="30">
        <f>Option2!AE$85*conv_2026*AE$7</f>
        <v>0</v>
      </c>
      <c r="AF35" s="30">
        <f>Option2!AF$85*conv_2026*AF$7</f>
        <v>0</v>
      </c>
      <c r="AG35" s="30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4" t="str">
        <f>Option2!C87</f>
        <v>Net benefits</v>
      </c>
      <c r="D36" s="108" t="str">
        <f t="shared" si="6"/>
        <v>Option 2Net benefits</v>
      </c>
      <c r="E36" s="109"/>
      <c r="F36" s="142"/>
      <c r="G36" s="226">
        <f t="shared" si="8"/>
        <v>46203</v>
      </c>
      <c r="H36" s="51"/>
      <c r="I36" s="51">
        <f>SUM(I32:I35)</f>
        <v>0</v>
      </c>
      <c r="J36" s="51">
        <f t="shared" ref="J36:AG36" si="9">SUM(J32:J35)</f>
        <v>-10578.722531478852</v>
      </c>
      <c r="K36" s="51">
        <f t="shared" si="9"/>
        <v>-7633.9389236963325</v>
      </c>
      <c r="L36" s="51">
        <f t="shared" si="9"/>
        <v>-5036.5054325900855</v>
      </c>
      <c r="M36" s="51">
        <f t="shared" si="9"/>
        <v>-2279.8842570325942</v>
      </c>
      <c r="N36" s="51">
        <f t="shared" si="9"/>
        <v>1158.1799801009329</v>
      </c>
      <c r="O36" s="51">
        <f t="shared" si="9"/>
        <v>5992.4719775274862</v>
      </c>
      <c r="P36" s="51">
        <f t="shared" si="9"/>
        <v>12284.283151939657</v>
      </c>
      <c r="Q36" s="51">
        <f t="shared" si="9"/>
        <v>19070.154235918657</v>
      </c>
      <c r="R36" s="51">
        <f t="shared" si="9"/>
        <v>27994.790102470579</v>
      </c>
      <c r="S36" s="51">
        <f t="shared" si="9"/>
        <v>39679.98839273231</v>
      </c>
      <c r="T36" s="51">
        <f t="shared" si="9"/>
        <v>54973.953870819998</v>
      </c>
      <c r="U36" s="51">
        <f t="shared" si="9"/>
        <v>75042.09500303425</v>
      </c>
      <c r="V36" s="51">
        <f t="shared" si="9"/>
        <v>101545.47514885667</v>
      </c>
      <c r="W36" s="51">
        <f t="shared" si="9"/>
        <v>136698.74053341549</v>
      </c>
      <c r="X36" s="51">
        <f t="shared" si="9"/>
        <v>183531.16264820282</v>
      </c>
      <c r="Y36" s="51">
        <f t="shared" si="9"/>
        <v>232511.18398983931</v>
      </c>
      <c r="Z36" s="51">
        <f t="shared" si="9"/>
        <v>271561.15013832005</v>
      </c>
      <c r="AA36" s="51">
        <f t="shared" si="9"/>
        <v>248114.64358765163</v>
      </c>
      <c r="AB36" s="51">
        <f t="shared" si="9"/>
        <v>197881.93640801942</v>
      </c>
      <c r="AC36" s="51">
        <f t="shared" si="9"/>
        <v>0</v>
      </c>
      <c r="AD36" s="51">
        <f t="shared" si="9"/>
        <v>0</v>
      </c>
      <c r="AE36" s="51">
        <f t="shared" si="9"/>
        <v>0</v>
      </c>
      <c r="AF36" s="51">
        <f t="shared" si="9"/>
        <v>0</v>
      </c>
      <c r="AG36" s="51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7" t="str">
        <f t="shared" si="6"/>
        <v>Option 2NPV</v>
      </c>
      <c r="E37" s="1"/>
      <c r="F37" s="107" cm="1">
        <f t="array" ref="F37">SUMPRODUCT(($H36:$AG36)*($H$5:$AG$5)*($H$7:$AG$7))</f>
        <v>907194.42702617729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189</v>
      </c>
      <c r="D38" s="37" t="str">
        <f t="shared" si="6"/>
        <v>Option 2PV of costs</v>
      </c>
      <c r="E38" s="1"/>
      <c r="F38" s="107">
        <f>SUM(F32:F33)</f>
        <v>-1726394.6984476699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190</v>
      </c>
      <c r="D39" s="37" t="str">
        <f t="shared" si="6"/>
        <v>Option 2PV of benefits</v>
      </c>
      <c r="E39" s="1"/>
      <c r="F39" s="107">
        <f>SUM(F34:F35)</f>
        <v>2633589.1254738471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7"/>
      <c r="E40" s="1"/>
      <c r="F40" s="107"/>
      <c r="G40" s="227"/>
      <c r="H40" s="1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s="2" customFormat="1" x14ac:dyDescent="0.2">
      <c r="A41" s="122"/>
      <c r="B41" s="122"/>
      <c r="C41" s="122"/>
      <c r="D41" s="37" t="str">
        <f>A41&amp;C41</f>
        <v/>
      </c>
      <c r="F41" s="117"/>
      <c r="G41" s="220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6">
        <f>SUMPRODUCT($H42:$AG42, $H$5:$AG$5)</f>
        <v>770250.25847803941</v>
      </c>
      <c r="G42" s="270">
        <f>output_dollars</f>
        <v>46203</v>
      </c>
      <c r="H42" s="271"/>
      <c r="I42" s="30">
        <f>Option3!I$28*conv_2026</f>
        <v>69726.019698799792</v>
      </c>
      <c r="J42" s="30">
        <f>Option3!J$28*conv_2026</f>
        <v>5659.541264088567</v>
      </c>
      <c r="K42" s="30">
        <f>Option3!K$28*conv_2026</f>
        <v>5756.405285899973</v>
      </c>
      <c r="L42" s="30">
        <f>Option3!L$28*conv_2026</f>
        <v>5787.5004331337777</v>
      </c>
      <c r="M42" s="30">
        <f>Option3!M$28*conv_2026</f>
        <v>5877.5205470174242</v>
      </c>
      <c r="N42" s="30">
        <f>Option3!N$28*conv_2026</f>
        <v>6195.9739282705787</v>
      </c>
      <c r="O42" s="30">
        <f>Option3!O$28*conv_2026</f>
        <v>6673.4738802314832</v>
      </c>
      <c r="P42" s="30">
        <f>Option3!P$28*conv_2026</f>
        <v>7347.3947839821903</v>
      </c>
      <c r="Q42" s="30">
        <f>Option3!Q$28*conv_2026</f>
        <v>8198.2703264422162</v>
      </c>
      <c r="R42" s="30">
        <f>Option3!R$28*conv_2026</f>
        <v>9405.2917887586391</v>
      </c>
      <c r="S42" s="30">
        <f>Option3!S$28*conv_2026</f>
        <v>11114.166664296603</v>
      </c>
      <c r="T42" s="30">
        <f>Option3!T$28*conv_2026</f>
        <v>13546.021325756823</v>
      </c>
      <c r="U42" s="30">
        <f>Option3!U$28*conv_2026</f>
        <v>17037.178571018856</v>
      </c>
      <c r="V42" s="30">
        <f>Option3!V$28*conv_2026</f>
        <v>22015.309459659231</v>
      </c>
      <c r="W42" s="30">
        <f>Option3!W$28*conv_2026</f>
        <v>29132.540683191895</v>
      </c>
      <c r="X42" s="30">
        <f>Option3!X$28*conv_2026</f>
        <v>39331.754530121936</v>
      </c>
      <c r="Y42" s="30">
        <f>Option3!Y$28*conv_2026</f>
        <v>53977.503497234509</v>
      </c>
      <c r="Z42" s="30">
        <f>Option3!Z$28*conv_2026</f>
        <v>75046.225095354646</v>
      </c>
      <c r="AA42" s="30">
        <f>Option3!AA$28*conv_2026</f>
        <v>105402.81297820504</v>
      </c>
      <c r="AB42" s="30">
        <f>Option3!AB$28*conv_2026</f>
        <v>149202.41098000779</v>
      </c>
      <c r="AC42" s="30">
        <f>Option3!AC$28*conv_2026</f>
        <v>157314.27528960397</v>
      </c>
      <c r="AD42" s="30">
        <f>Option3!AD$28*conv_2026</f>
        <v>157928.05884727932</v>
      </c>
      <c r="AE42" s="30">
        <f>Option3!AE$28*conv_2026</f>
        <v>158676.19389097721</v>
      </c>
      <c r="AF42" s="30">
        <f>Option3!AF$28*conv_2026</f>
        <v>158865.61911273102</v>
      </c>
      <c r="AG42" s="30">
        <f>Option3!AG$28*conv_2026</f>
        <v>159088.98045717494</v>
      </c>
    </row>
    <row r="43" spans="1:33" s="2" customFormat="1" x14ac:dyDescent="0.2">
      <c r="A43" s="134" t="str">
        <f>Data!B11</f>
        <v>Option 3</v>
      </c>
      <c r="B43" s="134"/>
      <c r="C43" s="57" t="str">
        <f>Option3!C$66</f>
        <v>Capital expenditure</v>
      </c>
      <c r="D43" s="37" t="str">
        <f>A43&amp;C43</f>
        <v>Option 3Capital expenditure</v>
      </c>
      <c r="E43" s="1"/>
      <c r="F43" s="96">
        <f>SUMPRODUCT($H43:$AG43, $H$5:$AG$5)</f>
        <v>-4813307.1834374676</v>
      </c>
      <c r="G43" s="224">
        <f>output_dollars</f>
        <v>46203</v>
      </c>
      <c r="H43" s="30"/>
      <c r="I43" s="30">
        <f>SUM(Option3!I$67:I$69)*conv_2026*I$7</f>
        <v>-4896815.6442330256</v>
      </c>
      <c r="J43" s="30">
        <f>SUM(Option3!J$67:J$69)*conv_2026*J$7</f>
        <v>0</v>
      </c>
      <c r="K43" s="30">
        <f>SUM(Option3!K$67:K$69)*conv_2026*K$7</f>
        <v>0</v>
      </c>
      <c r="L43" s="30">
        <f>SUM(Option3!L$67:L$69)*conv_2026*L$7</f>
        <v>0</v>
      </c>
      <c r="M43" s="30">
        <f>SUM(Option3!M$67:M$69)*conv_2026*M$7</f>
        <v>0</v>
      </c>
      <c r="N43" s="30">
        <f>SUM(Option3!N$67:N$69)*conv_2026*N$7</f>
        <v>0</v>
      </c>
      <c r="O43" s="30">
        <f>SUM(Option3!O$67:O$69)*conv_2026*O$7</f>
        <v>0</v>
      </c>
      <c r="P43" s="30">
        <f>SUM(Option3!P$67:P$69)*conv_2026*P$7</f>
        <v>0</v>
      </c>
      <c r="Q43" s="30">
        <f>SUM(Option3!Q$67:Q$69)*conv_2026*Q$7</f>
        <v>0</v>
      </c>
      <c r="R43" s="30">
        <f>SUM(Option3!R$67:R$69)*conv_2026*R$7</f>
        <v>0</v>
      </c>
      <c r="S43" s="30">
        <f>SUM(Option3!S$67:S$69)*conv_2026*S$7</f>
        <v>0</v>
      </c>
      <c r="T43" s="30">
        <f>SUM(Option3!T$67:T$69)*conv_2026*T$7</f>
        <v>0</v>
      </c>
      <c r="U43" s="30">
        <f>SUM(Option3!U$67:U$69)*conv_2026*U$7</f>
        <v>0</v>
      </c>
      <c r="V43" s="30">
        <f>SUM(Option3!V$67:V$69)*conv_2026*V$7</f>
        <v>0</v>
      </c>
      <c r="W43" s="30">
        <f>SUM(Option3!W$67:W$69)*conv_2026*W$7</f>
        <v>0</v>
      </c>
      <c r="X43" s="30">
        <f>SUM(Option3!X$67:X$69)*conv_2026*X$7</f>
        <v>0</v>
      </c>
      <c r="Y43" s="30">
        <f>SUM(Option3!Y$67:Y$69)*conv_2026*Y$7</f>
        <v>0</v>
      </c>
      <c r="Z43" s="30">
        <f>SUM(Option3!Z$67:Z$69)*conv_2026*Z$7</f>
        <v>0</v>
      </c>
      <c r="AA43" s="30">
        <f>SUM(Option3!AA$67:AA$69)*conv_2026*AA$7</f>
        <v>0</v>
      </c>
      <c r="AB43" s="30">
        <f>SUM(Option3!AB$67:AB$69)*conv_2026*AB$7</f>
        <v>0</v>
      </c>
      <c r="AC43" s="30">
        <f>SUM(Option3!AC$67:AC$69)*conv_2026*AC$7</f>
        <v>0</v>
      </c>
      <c r="AD43" s="30">
        <f>SUM(Option3!AD$67:AD$69)*conv_2026*AD$7</f>
        <v>0</v>
      </c>
      <c r="AE43" s="30">
        <f>SUM(Option3!AE$67:AE$69)*conv_2026*AE$7</f>
        <v>0</v>
      </c>
      <c r="AF43" s="30">
        <f>SUM(Option3!AF$67:AF$69)*conv_2026*AF$7</f>
        <v>0</v>
      </c>
      <c r="AG43" s="30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7" t="str">
        <f>'Option1 (base case)'!C$36</f>
        <v>Total risk cost</v>
      </c>
      <c r="D44" s="37" t="str">
        <f>A44&amp;C44</f>
        <v>Option 3Total risk cost</v>
      </c>
      <c r="E44" s="1"/>
      <c r="F44" s="96">
        <f>SUMPRODUCT($H44:$AG44, $H$5:$AG$5)</f>
        <v>692236.63672311557</v>
      </c>
      <c r="G44" s="224">
        <f>output_dollars</f>
        <v>46203</v>
      </c>
      <c r="H44" s="30"/>
      <c r="I44" s="30">
        <f>Option3!I$36*conv_2026*I$7</f>
        <v>119225.79496155272</v>
      </c>
      <c r="J44" s="30">
        <f>Option3!J$36*conv_2026*J$7</f>
        <v>8355.5117609287227</v>
      </c>
      <c r="K44" s="30">
        <f>Option3!K$36*conv_2026*K$7</f>
        <v>8473.297409927427</v>
      </c>
      <c r="L44" s="30">
        <f>Option3!L$36*conv_2026*L$7</f>
        <v>8530.130913767347</v>
      </c>
      <c r="M44" s="30">
        <f>Option3!M$36*conv_2026*M$7</f>
        <v>8690.2565905986958</v>
      </c>
      <c r="N44" s="30">
        <f>Option3!N$36*conv_2026*N$7</f>
        <v>9184.998846216733</v>
      </c>
      <c r="O44" s="30">
        <f>Option3!O$36*conv_2026*O$7</f>
        <v>10006.030561461877</v>
      </c>
      <c r="P44" s="30">
        <f>Option3!P$36*conv_2026*P$7</f>
        <v>11238.838515073005</v>
      </c>
      <c r="Q44" s="30">
        <f>Option3!Q$36*conv_2026*Q$7</f>
        <v>12855.869676078311</v>
      </c>
      <c r="R44" s="30">
        <f>Option3!R$36*conv_2026*R$7</f>
        <v>15118.728913352703</v>
      </c>
      <c r="S44" s="30">
        <f>Option3!S$36*conv_2026*S$7</f>
        <v>18289.74816371909</v>
      </c>
      <c r="T44" s="30">
        <f>Option3!T$36*conv_2026*T$7</f>
        <v>22757.533461846971</v>
      </c>
      <c r="U44" s="30">
        <f>Option3!U$36*conv_2026*U$7</f>
        <v>29104.627234705109</v>
      </c>
      <c r="V44" s="30">
        <f>Option3!V$36*conv_2026*V$7</f>
        <v>38083.008835209439</v>
      </c>
      <c r="W44" s="30">
        <f>Option3!W$36*conv_2026*W$7</f>
        <v>50823.076300283406</v>
      </c>
      <c r="X44" s="30">
        <f>Option3!X$36*conv_2026*X$7</f>
        <v>68951.034162418218</v>
      </c>
      <c r="Y44" s="30">
        <f>Option3!Y$36*conv_2026*Y$7</f>
        <v>94809.12569264209</v>
      </c>
      <c r="Z44" s="30">
        <f>Option3!Z$36*conv_2026*Z$7</f>
        <v>131774.4674974636</v>
      </c>
      <c r="AA44" s="30">
        <f>Option3!AA$36*conv_2026*AA$7</f>
        <v>184884.79880039874</v>
      </c>
      <c r="AB44" s="30">
        <f>Option3!AB$36*conv_2026*AB$7</f>
        <v>261176.2867251141</v>
      </c>
      <c r="AC44" s="30">
        <f>Option3!AC$36*conv_2026*AC$7</f>
        <v>0</v>
      </c>
      <c r="AD44" s="30">
        <f>Option3!AD$36*conv_2026*AD$7</f>
        <v>0</v>
      </c>
      <c r="AE44" s="30">
        <f>Option3!AE$36*conv_2026*AE$7</f>
        <v>0</v>
      </c>
      <c r="AF44" s="30">
        <f>Option3!AF$36*conv_2026*AF$7</f>
        <v>0</v>
      </c>
      <c r="AG44" s="30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7"/>
      <c r="D45" s="37"/>
      <c r="E45" s="1"/>
      <c r="F45" s="96"/>
      <c r="G45" s="224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s="2" customFormat="1" x14ac:dyDescent="0.2">
      <c r="A46" s="134" t="str">
        <f t="shared" si="10"/>
        <v>Option 3</v>
      </c>
      <c r="B46" s="134"/>
      <c r="C46" s="57" t="str">
        <f>Option3!C$82</f>
        <v>Annualised capex</v>
      </c>
      <c r="D46" s="37" t="str">
        <f t="shared" ref="D46:D53" si="11">A46&amp;C46</f>
        <v>Option 3Annualised capex</v>
      </c>
      <c r="E46" s="1"/>
      <c r="F46" s="96">
        <f>SUMPRODUCT($H46:$AG46, $H$5:$AG$5)</f>
        <v>-2813383.9530258328</v>
      </c>
      <c r="G46" s="224">
        <f t="shared" ref="G46:G53" si="12">output_dollars</f>
        <v>46203</v>
      </c>
      <c r="H46" s="30"/>
      <c r="I46" s="30">
        <f>Option3!I$82*conv_2026*I$7</f>
        <v>0</v>
      </c>
      <c r="J46" s="30">
        <f>Option3!J$82*conv_2026*J$7</f>
        <v>-208769.41597715937</v>
      </c>
      <c r="K46" s="30">
        <f>Option3!K$82*conv_2026*K$7</f>
        <v>-208769.41597715937</v>
      </c>
      <c r="L46" s="30">
        <f>Option3!L$82*conv_2026*L$7</f>
        <v>-208769.41597715937</v>
      </c>
      <c r="M46" s="30">
        <f>Option3!M$82*conv_2026*M$7</f>
        <v>-208769.41597715937</v>
      </c>
      <c r="N46" s="30">
        <f>Option3!N$82*conv_2026*N$7</f>
        <v>-208769.41597715937</v>
      </c>
      <c r="O46" s="30">
        <f>Option3!O$82*conv_2026*O$7</f>
        <v>-208769.41597715937</v>
      </c>
      <c r="P46" s="30">
        <f>Option3!P$82*conv_2026*P$7</f>
        <v>-208769.41597715937</v>
      </c>
      <c r="Q46" s="30">
        <f>Option3!Q$82*conv_2026*Q$7</f>
        <v>-208769.41597715937</v>
      </c>
      <c r="R46" s="30">
        <f>Option3!R$82*conv_2026*R$7</f>
        <v>-208769.41597715937</v>
      </c>
      <c r="S46" s="30">
        <f>Option3!S$82*conv_2026*S$7</f>
        <v>-208769.41597715937</v>
      </c>
      <c r="T46" s="30">
        <f>Option3!T$82*conv_2026*T$7</f>
        <v>-208769.41597715937</v>
      </c>
      <c r="U46" s="30">
        <f>Option3!U$82*conv_2026*U$7</f>
        <v>-208769.41597715937</v>
      </c>
      <c r="V46" s="30">
        <f>Option3!V$82*conv_2026*V$7</f>
        <v>-208769.41597715937</v>
      </c>
      <c r="W46" s="30">
        <f>Option3!W$82*conv_2026*W$7</f>
        <v>-208769.41597715937</v>
      </c>
      <c r="X46" s="30">
        <f>Option3!X$82*conv_2026*X$7</f>
        <v>-208769.41597715937</v>
      </c>
      <c r="Y46" s="30">
        <f>Option3!Y$82*conv_2026*Y$7</f>
        <v>-208769.41597715937</v>
      </c>
      <c r="Z46" s="30">
        <f>Option3!Z$82*conv_2026*Z$7</f>
        <v>-208769.41597715937</v>
      </c>
      <c r="AA46" s="30">
        <f>Option3!AA$82*conv_2026*AA$7</f>
        <v>-208769.41597715937</v>
      </c>
      <c r="AB46" s="30">
        <f>Option3!AB$82*conv_2026*AB$7</f>
        <v>-208769.41597715937</v>
      </c>
      <c r="AC46" s="30">
        <f>Option3!AC$82*conv_2026*AC$7</f>
        <v>0</v>
      </c>
      <c r="AD46" s="30">
        <f>Option3!AD$82*conv_2026*AD$7</f>
        <v>0</v>
      </c>
      <c r="AE46" s="30">
        <f>Option3!AE$82*conv_2026*AE$7</f>
        <v>0</v>
      </c>
      <c r="AF46" s="30">
        <f>Option3!AF$82*conv_2026*AF$7</f>
        <v>0</v>
      </c>
      <c r="AG46" s="30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7" t="str">
        <f>Option3!C$83</f>
        <v>Operating expenditure</v>
      </c>
      <c r="D47" s="37" t="str">
        <f t="shared" si="11"/>
        <v>Option 3Operating expenditure</v>
      </c>
      <c r="E47" s="1"/>
      <c r="F47" s="96">
        <f>SUMPRODUCT($H47:$AG47, $H$5:$AG$5)</f>
        <v>0</v>
      </c>
      <c r="G47" s="224">
        <f t="shared" si="12"/>
        <v>46203</v>
      </c>
      <c r="H47" s="30"/>
      <c r="I47" s="30">
        <f>Option3!I$83*conv_2026*I$7</f>
        <v>0</v>
      </c>
      <c r="J47" s="30">
        <f>Option3!J$83*conv_2026*J$7</f>
        <v>0</v>
      </c>
      <c r="K47" s="30">
        <f>Option3!K$83*conv_2026*K$7</f>
        <v>0</v>
      </c>
      <c r="L47" s="30">
        <f>Option3!L$83*conv_2026*L$7</f>
        <v>0</v>
      </c>
      <c r="M47" s="30">
        <f>Option3!M$83*conv_2026*M$7</f>
        <v>0</v>
      </c>
      <c r="N47" s="30">
        <f>Option3!N$83*conv_2026*N$7</f>
        <v>0</v>
      </c>
      <c r="O47" s="30">
        <f>Option3!O$83*conv_2026*O$7</f>
        <v>0</v>
      </c>
      <c r="P47" s="30">
        <f>Option3!P$83*conv_2026*P$7</f>
        <v>0</v>
      </c>
      <c r="Q47" s="30">
        <f>Option3!Q$83*conv_2026*Q$7</f>
        <v>0</v>
      </c>
      <c r="R47" s="30">
        <f>Option3!R$83*conv_2026*R$7</f>
        <v>0</v>
      </c>
      <c r="S47" s="30">
        <f>Option3!S$83*conv_2026*S$7</f>
        <v>0</v>
      </c>
      <c r="T47" s="30">
        <f>Option3!T$83*conv_2026*T$7</f>
        <v>0</v>
      </c>
      <c r="U47" s="30">
        <f>Option3!U$83*conv_2026*U$7</f>
        <v>0</v>
      </c>
      <c r="V47" s="30">
        <f>Option3!V$83*conv_2026*V$7</f>
        <v>0</v>
      </c>
      <c r="W47" s="30">
        <f>Option3!W$83*conv_2026*W$7</f>
        <v>0</v>
      </c>
      <c r="X47" s="30">
        <f>Option3!X$83*conv_2026*X$7</f>
        <v>0</v>
      </c>
      <c r="Y47" s="30">
        <f>Option3!Y$83*conv_2026*Y$7</f>
        <v>0</v>
      </c>
      <c r="Z47" s="30">
        <f>Option3!Z$83*conv_2026*Z$7</f>
        <v>0</v>
      </c>
      <c r="AA47" s="30">
        <f>Option3!AA$83*conv_2026*AA$7</f>
        <v>0</v>
      </c>
      <c r="AB47" s="30">
        <f>Option3!AB$83*conv_2026*AB$7</f>
        <v>0</v>
      </c>
      <c r="AC47" s="30">
        <f>Option3!AC$83*conv_2026*AC$7</f>
        <v>0</v>
      </c>
      <c r="AD47" s="30">
        <f>Option3!AD$83*conv_2026*AD$7</f>
        <v>0</v>
      </c>
      <c r="AE47" s="30">
        <f>Option3!AE$83*conv_2026*AE$7</f>
        <v>0</v>
      </c>
      <c r="AF47" s="30">
        <f>Option3!AF$83*conv_2026*AF$7</f>
        <v>0</v>
      </c>
      <c r="AG47" s="30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7" t="str">
        <f>Option3!C$84</f>
        <v>Risk mitigated</v>
      </c>
      <c r="D48" s="37" t="str">
        <f t="shared" si="11"/>
        <v>Option 3Risk mitigated</v>
      </c>
      <c r="E48" s="1"/>
      <c r="F48" s="96">
        <f>SUMPRODUCT($H48:$AG48, $H$5:$AG$5)</f>
        <v>2681677.1788380165</v>
      </c>
      <c r="G48" s="224">
        <f t="shared" si="12"/>
        <v>46203</v>
      </c>
      <c r="H48" s="30"/>
      <c r="I48" s="30">
        <f>Option3!I$84*conv_2026*I$7</f>
        <v>0</v>
      </c>
      <c r="J48" s="30">
        <f>Option3!J$84*conv_2026*J$7</f>
        <v>120971.16998902684</v>
      </c>
      <c r="K48" s="30">
        <f>Option3!K$84*conv_2026*K$7</f>
        <v>123980.50908998761</v>
      </c>
      <c r="L48" s="30">
        <f>Option3!L$84*conv_2026*L$7</f>
        <v>126598.50811075181</v>
      </c>
      <c r="M48" s="30">
        <f>Option3!M$84*conv_2026*M$7</f>
        <v>129356.99821058362</v>
      </c>
      <c r="N48" s="30">
        <f>Option3!N$84*conv_2026*N$7</f>
        <v>132800.25737484274</v>
      </c>
      <c r="O48" s="30">
        <f>Option3!O$84*conv_2026*O$7</f>
        <v>137663.38768537788</v>
      </c>
      <c r="P48" s="30">
        <f>Option3!P$84*conv_2026*P$7</f>
        <v>143998.48254093988</v>
      </c>
      <c r="Q48" s="30">
        <f>Option3!Q$84*conv_2026*Q$7</f>
        <v>150781.12538980655</v>
      </c>
      <c r="R48" s="30">
        <f>Option3!R$84*conv_2026*R$7</f>
        <v>159705.76125635847</v>
      </c>
      <c r="S48" s="30">
        <f>Option3!S$84*conv_2026*S$7</f>
        <v>171390.95954662023</v>
      </c>
      <c r="T48" s="30">
        <f>Option3!T$84*conv_2026*T$7</f>
        <v>186684.92502470789</v>
      </c>
      <c r="U48" s="30">
        <f>Option3!U$84*conv_2026*U$7</f>
        <v>206753.06615692214</v>
      </c>
      <c r="V48" s="30">
        <f>Option3!V$84*conv_2026*V$7</f>
        <v>233256.44630274453</v>
      </c>
      <c r="W48" s="30">
        <f>Option3!W$84*conv_2026*W$7</f>
        <v>268409.71168730338</v>
      </c>
      <c r="X48" s="30">
        <f>Option3!X$84*conv_2026*X$7</f>
        <v>315242.13380209071</v>
      </c>
      <c r="Y48" s="30">
        <f>Option3!Y$84*conv_2026*Y$7</f>
        <v>364222.1551437272</v>
      </c>
      <c r="Z48" s="30">
        <f>Option3!Z$84*conv_2026*Z$7</f>
        <v>403272.12129220797</v>
      </c>
      <c r="AA48" s="30">
        <f>Option3!AA$84*conv_2026*AA$7</f>
        <v>379825.61474153947</v>
      </c>
      <c r="AB48" s="30">
        <f>Option3!AB$84*conv_2026*AB$7</f>
        <v>329592.90756190731</v>
      </c>
      <c r="AC48" s="30">
        <f>Option3!AC$84*conv_2026*AC$7</f>
        <v>0</v>
      </c>
      <c r="AD48" s="30">
        <f>Option3!AD$84*conv_2026*AD$7</f>
        <v>0</v>
      </c>
      <c r="AE48" s="30">
        <f>Option3!AE$84*conv_2026*AE$7</f>
        <v>0</v>
      </c>
      <c r="AF48" s="30">
        <f>Option3!AF$84*conv_2026*AF$7</f>
        <v>0</v>
      </c>
      <c r="AG48" s="30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7" t="str">
        <f>Option3!C$85</f>
        <v>Other benefits value</v>
      </c>
      <c r="D49" s="37" t="str">
        <f t="shared" si="11"/>
        <v>Option 3Other benefits value</v>
      </c>
      <c r="E49" s="1"/>
      <c r="F49" s="96">
        <f>SUMPRODUCT($H49:$AG49, $H$5:$AG$5)</f>
        <v>0</v>
      </c>
      <c r="G49" s="224">
        <f t="shared" si="12"/>
        <v>46203</v>
      </c>
      <c r="H49" s="30"/>
      <c r="I49" s="30">
        <f>Option3!I$85*conv_2026*I$7</f>
        <v>0</v>
      </c>
      <c r="J49" s="30">
        <f>Option3!J$85*conv_2026*J$7</f>
        <v>0</v>
      </c>
      <c r="K49" s="30">
        <f>Option3!K$85*conv_2026*K$7</f>
        <v>0</v>
      </c>
      <c r="L49" s="30">
        <f>Option3!L$85*conv_2026*L$7</f>
        <v>0</v>
      </c>
      <c r="M49" s="30">
        <f>Option3!M$85*conv_2026*M$7</f>
        <v>0</v>
      </c>
      <c r="N49" s="30">
        <f>Option3!N$85*conv_2026*N$7</f>
        <v>0</v>
      </c>
      <c r="O49" s="30">
        <f>Option3!O$85*conv_2026*O$7</f>
        <v>0</v>
      </c>
      <c r="P49" s="30">
        <f>Option3!P$85*conv_2026*P$7</f>
        <v>0</v>
      </c>
      <c r="Q49" s="30">
        <f>Option3!Q$85*conv_2026*Q$7</f>
        <v>0</v>
      </c>
      <c r="R49" s="30">
        <f>Option3!R$85*conv_2026*R$7</f>
        <v>0</v>
      </c>
      <c r="S49" s="30">
        <f>Option3!S$85*conv_2026*S$7</f>
        <v>0</v>
      </c>
      <c r="T49" s="30">
        <f>Option3!T$85*conv_2026*T$7</f>
        <v>0</v>
      </c>
      <c r="U49" s="30">
        <f>Option3!U$85*conv_2026*U$7</f>
        <v>0</v>
      </c>
      <c r="V49" s="30">
        <f>Option3!V$85*conv_2026*V$7</f>
        <v>0</v>
      </c>
      <c r="W49" s="30">
        <f>Option3!W$85*conv_2026*W$7</f>
        <v>0</v>
      </c>
      <c r="X49" s="30">
        <f>Option3!X$85*conv_2026*X$7</f>
        <v>0</v>
      </c>
      <c r="Y49" s="30">
        <f>Option3!Y$85*conv_2026*Y$7</f>
        <v>0</v>
      </c>
      <c r="Z49" s="30">
        <f>Option3!Z$85*conv_2026*Z$7</f>
        <v>0</v>
      </c>
      <c r="AA49" s="30">
        <f>Option3!AA$85*conv_2026*AA$7</f>
        <v>0</v>
      </c>
      <c r="AB49" s="30">
        <f>Option3!AB$85*conv_2026*AB$7</f>
        <v>0</v>
      </c>
      <c r="AC49" s="30">
        <f>Option3!AC$85*conv_2026*AC$7</f>
        <v>0</v>
      </c>
      <c r="AD49" s="30">
        <f>Option3!AD$85*conv_2026*AD$7</f>
        <v>0</v>
      </c>
      <c r="AE49" s="30">
        <f>Option3!AE$85*conv_2026*AE$7</f>
        <v>0</v>
      </c>
      <c r="AF49" s="30">
        <f>Option3!AF$85*conv_2026*AF$7</f>
        <v>0</v>
      </c>
      <c r="AG49" s="30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4" t="str">
        <f>Option3!C87</f>
        <v>Net benefits</v>
      </c>
      <c r="D50" s="108" t="str">
        <f t="shared" si="11"/>
        <v>Option 3Net benefits</v>
      </c>
      <c r="E50" s="109"/>
      <c r="F50" s="142"/>
      <c r="G50" s="226">
        <f t="shared" si="12"/>
        <v>46203</v>
      </c>
      <c r="H50" s="51"/>
      <c r="I50" s="51">
        <f t="shared" ref="I50:AB50" si="13">SUM(I46:I49)</f>
        <v>0</v>
      </c>
      <c r="J50" s="51">
        <f t="shared" si="13"/>
        <v>-87798.245988132534</v>
      </c>
      <c r="K50" s="51">
        <f t="shared" si="13"/>
        <v>-84788.906887171761</v>
      </c>
      <c r="L50" s="51">
        <f t="shared" si="13"/>
        <v>-82170.907866407564</v>
      </c>
      <c r="M50" s="51">
        <f t="shared" si="13"/>
        <v>-79412.417766575745</v>
      </c>
      <c r="N50" s="51">
        <f t="shared" si="13"/>
        <v>-75969.158602316631</v>
      </c>
      <c r="O50" s="51">
        <f t="shared" si="13"/>
        <v>-71106.028291781491</v>
      </c>
      <c r="P50" s="51">
        <f t="shared" si="13"/>
        <v>-64770.933436219493</v>
      </c>
      <c r="Q50" s="51">
        <f t="shared" si="13"/>
        <v>-57988.290587352822</v>
      </c>
      <c r="R50" s="51">
        <f t="shared" si="13"/>
        <v>-49063.6547208009</v>
      </c>
      <c r="S50" s="51">
        <f t="shared" si="13"/>
        <v>-37378.45643053914</v>
      </c>
      <c r="T50" s="51">
        <f t="shared" si="13"/>
        <v>-22084.490952451481</v>
      </c>
      <c r="U50" s="51">
        <f t="shared" si="13"/>
        <v>-2016.3498202372284</v>
      </c>
      <c r="V50" s="51">
        <f t="shared" si="13"/>
        <v>24487.030325585161</v>
      </c>
      <c r="W50" s="51">
        <f t="shared" si="13"/>
        <v>59640.295710144012</v>
      </c>
      <c r="X50" s="51">
        <f t="shared" si="13"/>
        <v>106472.71782493134</v>
      </c>
      <c r="Y50" s="51">
        <f t="shared" si="13"/>
        <v>155452.73916656783</v>
      </c>
      <c r="Z50" s="51">
        <f t="shared" si="13"/>
        <v>194502.7053150486</v>
      </c>
      <c r="AA50" s="51">
        <f t="shared" si="13"/>
        <v>171056.1987643801</v>
      </c>
      <c r="AB50" s="51">
        <f t="shared" si="13"/>
        <v>120823.49158474794</v>
      </c>
      <c r="AC50" s="51">
        <f>SUM(AC46:AC49)</f>
        <v>0</v>
      </c>
      <c r="AD50" s="51">
        <f>SUM(AD46:AD49)</f>
        <v>0</v>
      </c>
      <c r="AE50" s="51">
        <f>SUM(AE46:AE49)</f>
        <v>0</v>
      </c>
      <c r="AF50" s="51">
        <f>SUM(AF46:AF49)</f>
        <v>0</v>
      </c>
      <c r="AG50" s="51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7" t="str">
        <f t="shared" si="11"/>
        <v>Option 3NPV</v>
      </c>
      <c r="E51" s="1"/>
      <c r="F51" s="107" cm="1">
        <f t="array" ref="F51">SUMPRODUCT(($H50:$AG50)*($H$5:$AG$5)*($H$7:$AG$7))</f>
        <v>-131706.77418781584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189</v>
      </c>
      <c r="D52" s="37" t="str">
        <f t="shared" si="11"/>
        <v>Option 3PV of costs</v>
      </c>
      <c r="E52" s="1"/>
      <c r="F52" s="107">
        <f>SUM(F46:F47)</f>
        <v>-2813383.9530258328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190</v>
      </c>
      <c r="D53" s="37" t="str">
        <f t="shared" si="11"/>
        <v>Option 3PV of benefits</v>
      </c>
      <c r="E53" s="1"/>
      <c r="F53" s="107">
        <f>SUM(F48:F49)</f>
        <v>2681677.1788380165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7"/>
      <c r="E54" s="1"/>
      <c r="F54" s="107"/>
      <c r="G54" s="227"/>
      <c r="H54" s="1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s="2" customFormat="1" x14ac:dyDescent="0.2">
      <c r="A55" s="122"/>
      <c r="B55" s="122"/>
      <c r="C55" s="122"/>
      <c r="D55" s="37"/>
      <c r="F55" s="117"/>
      <c r="G55" s="220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6">
        <f>SUMPRODUCT($H56:$AG56, $H$5:$AG$5)</f>
        <v>0</v>
      </c>
      <c r="G56" s="270">
        <f>output_dollars</f>
        <v>46203</v>
      </c>
      <c r="H56" s="271"/>
      <c r="I56" s="30">
        <f>Option4!I$28*conv_2026</f>
        <v>0</v>
      </c>
      <c r="J56" s="30">
        <f>Option4!J$28*conv_2026</f>
        <v>0</v>
      </c>
      <c r="K56" s="30">
        <f>Option4!K$28*conv_2026</f>
        <v>0</v>
      </c>
      <c r="L56" s="30">
        <f>Option4!L$28*conv_2026</f>
        <v>0</v>
      </c>
      <c r="M56" s="30">
        <f>Option4!M$28*conv_2026</f>
        <v>0</v>
      </c>
      <c r="N56" s="30">
        <f>Option4!N$28*conv_2026</f>
        <v>0</v>
      </c>
      <c r="O56" s="30">
        <f>Option4!O$28*conv_2026</f>
        <v>0</v>
      </c>
      <c r="P56" s="30">
        <f>Option4!P$28*conv_2026</f>
        <v>0</v>
      </c>
      <c r="Q56" s="30">
        <f>Option4!Q$28*conv_2026</f>
        <v>0</v>
      </c>
      <c r="R56" s="30">
        <f>Option4!R$28*conv_2026</f>
        <v>0</v>
      </c>
      <c r="S56" s="30">
        <f>Option4!S$28*conv_2026</f>
        <v>0</v>
      </c>
      <c r="T56" s="30">
        <f>Option4!T$28*conv_2026</f>
        <v>0</v>
      </c>
      <c r="U56" s="30">
        <f>Option4!U$28*conv_2026</f>
        <v>0</v>
      </c>
      <c r="V56" s="30">
        <f>Option4!V$28*conv_2026</f>
        <v>0</v>
      </c>
      <c r="W56" s="30">
        <f>Option4!W$28*conv_2026</f>
        <v>0</v>
      </c>
      <c r="X56" s="30">
        <f>Option4!X$28*conv_2026</f>
        <v>0</v>
      </c>
      <c r="Y56" s="30">
        <f>Option4!Y$28*conv_2026</f>
        <v>0</v>
      </c>
      <c r="Z56" s="30">
        <f>Option4!Z$28*conv_2026</f>
        <v>0</v>
      </c>
      <c r="AA56" s="30">
        <f>Option4!AA$28*conv_2026</f>
        <v>0</v>
      </c>
      <c r="AB56" s="30">
        <f>Option4!AB$28*conv_2026</f>
        <v>0</v>
      </c>
      <c r="AC56" s="30">
        <f>Option4!AC$28*conv_2026</f>
        <v>0</v>
      </c>
      <c r="AD56" s="30">
        <f>Option4!AD$28*conv_2026</f>
        <v>0</v>
      </c>
      <c r="AE56" s="30">
        <f>Option4!AE$28*conv_2026</f>
        <v>0</v>
      </c>
      <c r="AF56" s="30">
        <f>Option4!AF$28*conv_2026</f>
        <v>0</v>
      </c>
      <c r="AG56" s="30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7" t="str">
        <f>Option4!C$66</f>
        <v>Capital expenditure</v>
      </c>
      <c r="D57" s="37" t="str">
        <f t="shared" ref="D57:D67" si="14">A57&amp;C57</f>
        <v>Option 4Capital expenditure</v>
      </c>
      <c r="E57" s="1"/>
      <c r="F57" s="96">
        <f>SUMPRODUCT($H57:$AG57, $H$5:$AG$5)</f>
        <v>0</v>
      </c>
      <c r="G57" s="224">
        <f>output_dollars</f>
        <v>46203</v>
      </c>
      <c r="H57" s="30"/>
      <c r="I57" s="30">
        <f>SUM(Option4!I$67:I$69)*conv_2026*I$7</f>
        <v>0</v>
      </c>
      <c r="J57" s="30">
        <f>SUM(Option4!J$67:J$69)*conv_2026*J$7</f>
        <v>0</v>
      </c>
      <c r="K57" s="30">
        <f>SUM(Option4!K$67:K$69)*conv_2026*K$7</f>
        <v>0</v>
      </c>
      <c r="L57" s="30">
        <f>SUM(Option4!L$67:L$69)*conv_2026*L$7</f>
        <v>0</v>
      </c>
      <c r="M57" s="30">
        <f>SUM(Option4!M$67:M$69)*conv_2026*M$7</f>
        <v>0</v>
      </c>
      <c r="N57" s="30">
        <f>SUM(Option4!N$67:N$69)*conv_2026*N$7</f>
        <v>0</v>
      </c>
      <c r="O57" s="30">
        <f>SUM(Option4!O$67:O$69)*conv_2026*O$7</f>
        <v>0</v>
      </c>
      <c r="P57" s="30">
        <f>SUM(Option4!P$67:P$69)*conv_2026*P$7</f>
        <v>0</v>
      </c>
      <c r="Q57" s="30">
        <f>SUM(Option4!Q$67:Q$69)*conv_2026*Q$7</f>
        <v>0</v>
      </c>
      <c r="R57" s="30">
        <f>SUM(Option4!R$67:R$69)*conv_2026*R$7</f>
        <v>0</v>
      </c>
      <c r="S57" s="30">
        <f>SUM(Option4!S$67:S$69)*conv_2026*S$7</f>
        <v>0</v>
      </c>
      <c r="T57" s="30">
        <f>SUM(Option4!T$67:T$69)*conv_2026*T$7</f>
        <v>0</v>
      </c>
      <c r="U57" s="30">
        <f>SUM(Option4!U$67:U$69)*conv_2026*U$7</f>
        <v>0</v>
      </c>
      <c r="V57" s="30">
        <f>SUM(Option4!V$67:V$69)*conv_2026*V$7</f>
        <v>0</v>
      </c>
      <c r="W57" s="30">
        <f>SUM(Option4!W$67:W$69)*conv_2026*W$7</f>
        <v>0</v>
      </c>
      <c r="X57" s="30">
        <f>SUM(Option4!X$67:X$69)*conv_2026*X$7</f>
        <v>0</v>
      </c>
      <c r="Y57" s="30">
        <f>SUM(Option4!Y$67:Y$69)*conv_2026*Y$7</f>
        <v>0</v>
      </c>
      <c r="Z57" s="30">
        <f>SUM(Option4!Z$67:Z$69)*conv_2026*Z$7</f>
        <v>0</v>
      </c>
      <c r="AA57" s="30">
        <f>SUM(Option4!AA$67:AA$69)*conv_2026*AA$7</f>
        <v>0</v>
      </c>
      <c r="AB57" s="30">
        <f>SUM(Option4!AB$67:AB$69)*conv_2026*AB$7</f>
        <v>0</v>
      </c>
      <c r="AC57" s="30">
        <f>SUM(Option4!AC$67:AC$69)*conv_2026*AC$7</f>
        <v>0</v>
      </c>
      <c r="AD57" s="30">
        <f>SUM(Option4!AD$67:AD$69)*conv_2026*AD$7</f>
        <v>0</v>
      </c>
      <c r="AE57" s="30">
        <f>SUM(Option4!AE$67:AE$69)*conv_2026*AE$7</f>
        <v>0</v>
      </c>
      <c r="AF57" s="30">
        <f>SUM(Option4!AF$67:AF$69)*conv_2026*AF$7</f>
        <v>0</v>
      </c>
      <c r="AG57" s="30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7" t="str">
        <f>'Option1 (base case)'!C$36</f>
        <v>Total risk cost</v>
      </c>
      <c r="D58" s="37" t="str">
        <f t="shared" si="14"/>
        <v>Option 4Total risk cost</v>
      </c>
      <c r="E58" s="1"/>
      <c r="F58" s="96">
        <f>SUMPRODUCT($H58:$AG58, $H$5:$AG$5)</f>
        <v>0</v>
      </c>
      <c r="G58" s="224">
        <f>output_dollars</f>
        <v>46203</v>
      </c>
      <c r="H58" s="30"/>
      <c r="I58" s="30">
        <f>Option4!I$36*conv_2026*I$7</f>
        <v>0</v>
      </c>
      <c r="J58" s="30">
        <f>Option4!J$36*conv_2026*J$7</f>
        <v>0</v>
      </c>
      <c r="K58" s="30">
        <f>Option4!K$36*conv_2026*K$7</f>
        <v>0</v>
      </c>
      <c r="L58" s="30">
        <f>Option4!L$36*conv_2026*L$7</f>
        <v>0</v>
      </c>
      <c r="M58" s="30">
        <f>Option4!M$36*conv_2026*M$7</f>
        <v>0</v>
      </c>
      <c r="N58" s="30">
        <f>Option4!N$36*conv_2026*N$7</f>
        <v>0</v>
      </c>
      <c r="O58" s="30">
        <f>Option4!O$36*conv_2026*O$7</f>
        <v>0</v>
      </c>
      <c r="P58" s="30">
        <f>Option4!P$36*conv_2026*P$7</f>
        <v>0</v>
      </c>
      <c r="Q58" s="30">
        <f>Option4!Q$36*conv_2026*Q$7</f>
        <v>0</v>
      </c>
      <c r="R58" s="30">
        <f>Option4!R$36*conv_2026*R$7</f>
        <v>0</v>
      </c>
      <c r="S58" s="30">
        <f>Option4!S$36*conv_2026*S$7</f>
        <v>0</v>
      </c>
      <c r="T58" s="30">
        <f>Option4!T$36*conv_2026*T$7</f>
        <v>0</v>
      </c>
      <c r="U58" s="30">
        <f>Option4!U$36*conv_2026*U$7</f>
        <v>0</v>
      </c>
      <c r="V58" s="30">
        <f>Option4!V$36*conv_2026*V$7</f>
        <v>0</v>
      </c>
      <c r="W58" s="30">
        <f>Option4!W$36*conv_2026*W$7</f>
        <v>0</v>
      </c>
      <c r="X58" s="30">
        <f>Option4!X$36*conv_2026*X$7</f>
        <v>0</v>
      </c>
      <c r="Y58" s="30">
        <f>Option4!Y$36*conv_2026*Y$7</f>
        <v>0</v>
      </c>
      <c r="Z58" s="30">
        <f>Option4!Z$36*conv_2026*Z$7</f>
        <v>0</v>
      </c>
      <c r="AA58" s="30">
        <f>Option4!AA$36*conv_2026*AA$7</f>
        <v>0</v>
      </c>
      <c r="AB58" s="30">
        <f>Option4!AB$36*conv_2026*AB$7</f>
        <v>0</v>
      </c>
      <c r="AC58" s="30">
        <f>Option4!AC$36*conv_2026*AC$7</f>
        <v>0</v>
      </c>
      <c r="AD58" s="30">
        <f>Option4!AD$36*conv_2026*AD$7</f>
        <v>0</v>
      </c>
      <c r="AE58" s="30">
        <f>Option4!AE$36*conv_2026*AE$7</f>
        <v>0</v>
      </c>
      <c r="AF58" s="30">
        <f>Option4!AF$36*conv_2026*AF$7</f>
        <v>0</v>
      </c>
      <c r="AG58" s="30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4"/>
      <c r="D59" s="37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7" t="str">
        <f>Option4!C$82</f>
        <v>Annualised capex</v>
      </c>
      <c r="D60" s="37" t="str">
        <f t="shared" si="14"/>
        <v>Option 4Annualised capex</v>
      </c>
      <c r="E60" s="1"/>
      <c r="F60" s="96">
        <f>SUMPRODUCT($H60:$AG60, $H$5:$AG$5)</f>
        <v>0</v>
      </c>
      <c r="G60" s="224">
        <f t="shared" ref="G60:G67" si="16">output_dollars</f>
        <v>46203</v>
      </c>
      <c r="H60" s="30"/>
      <c r="I60" s="30">
        <f>Option4!I$82*conv_2026*I$7</f>
        <v>0</v>
      </c>
      <c r="J60" s="30">
        <f>Option4!J$82*conv_2026*J$7</f>
        <v>0</v>
      </c>
      <c r="K60" s="30">
        <f>Option4!K$82*conv_2026*K$7</f>
        <v>0</v>
      </c>
      <c r="L60" s="30">
        <f>Option4!L$82*conv_2026*L$7</f>
        <v>0</v>
      </c>
      <c r="M60" s="30">
        <f>Option4!M$82*conv_2026*M$7</f>
        <v>0</v>
      </c>
      <c r="N60" s="30">
        <f>Option4!N$82*conv_2026*N$7</f>
        <v>0</v>
      </c>
      <c r="O60" s="30">
        <f>Option4!O$82*conv_2026*O$7</f>
        <v>0</v>
      </c>
      <c r="P60" s="30">
        <f>Option4!P$82*conv_2026*P$7</f>
        <v>0</v>
      </c>
      <c r="Q60" s="30">
        <f>Option4!Q$82*conv_2026*Q$7</f>
        <v>0</v>
      </c>
      <c r="R60" s="30">
        <f>Option4!R$82*conv_2026*R$7</f>
        <v>0</v>
      </c>
      <c r="S60" s="30">
        <f>Option4!S$82*conv_2026*S$7</f>
        <v>0</v>
      </c>
      <c r="T60" s="30">
        <f>Option4!T$82*conv_2026*T$7</f>
        <v>0</v>
      </c>
      <c r="U60" s="30">
        <f>Option4!U$82*conv_2026*U$7</f>
        <v>0</v>
      </c>
      <c r="V60" s="30">
        <f>Option4!V$82*conv_2026*V$7</f>
        <v>0</v>
      </c>
      <c r="W60" s="30">
        <f>Option4!W$82*conv_2026*W$7</f>
        <v>0</v>
      </c>
      <c r="X60" s="30">
        <f>Option4!X$82*conv_2026*X$7</f>
        <v>0</v>
      </c>
      <c r="Y60" s="30">
        <f>Option4!Y$82*conv_2026*Y$7</f>
        <v>0</v>
      </c>
      <c r="Z60" s="30">
        <f>Option4!Z$82*conv_2026*Z$7</f>
        <v>0</v>
      </c>
      <c r="AA60" s="30">
        <f>Option4!AA$82*conv_2026*AA$7</f>
        <v>0</v>
      </c>
      <c r="AB60" s="30">
        <f>Option4!AB$82*conv_2026*AB$7</f>
        <v>0</v>
      </c>
      <c r="AC60" s="30">
        <f>Option4!AC$82*conv_2026*AC$7</f>
        <v>0</v>
      </c>
      <c r="AD60" s="30">
        <f>Option4!AD$82*conv_2026*AD$7</f>
        <v>0</v>
      </c>
      <c r="AE60" s="30">
        <f>Option4!AE$82*conv_2026*AE$7</f>
        <v>0</v>
      </c>
      <c r="AF60" s="30">
        <f>Option4!AF$82*conv_2026*AF$7</f>
        <v>0</v>
      </c>
      <c r="AG60" s="30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7" t="str">
        <f>Option4!C$83</f>
        <v>Operating expenditure</v>
      </c>
      <c r="D61" s="37" t="str">
        <f t="shared" si="14"/>
        <v>Option 4Operating expenditure</v>
      </c>
      <c r="E61" s="1"/>
      <c r="F61" s="96">
        <f>SUMPRODUCT($H61:$AG61, $H$5:$AG$5)</f>
        <v>0</v>
      </c>
      <c r="G61" s="224">
        <f t="shared" si="16"/>
        <v>46203</v>
      </c>
      <c r="H61" s="30"/>
      <c r="I61" s="30">
        <f>Option4!I$83*conv_2026*I$7</f>
        <v>0</v>
      </c>
      <c r="J61" s="30">
        <f>Option4!J$83*conv_2026*J$7</f>
        <v>0</v>
      </c>
      <c r="K61" s="30">
        <f>Option4!K$83*conv_2026*K$7</f>
        <v>0</v>
      </c>
      <c r="L61" s="30">
        <f>Option4!L$83*conv_2026*L$7</f>
        <v>0</v>
      </c>
      <c r="M61" s="30">
        <f>Option4!M$83*conv_2026*M$7</f>
        <v>0</v>
      </c>
      <c r="N61" s="30">
        <f>Option4!N$83*conv_2026*N$7</f>
        <v>0</v>
      </c>
      <c r="O61" s="30">
        <f>Option4!O$83*conv_2026*O$7</f>
        <v>0</v>
      </c>
      <c r="P61" s="30">
        <f>Option4!P$83*conv_2026*P$7</f>
        <v>0</v>
      </c>
      <c r="Q61" s="30">
        <f>Option4!Q$83*conv_2026*Q$7</f>
        <v>0</v>
      </c>
      <c r="R61" s="30">
        <f>Option4!R$83*conv_2026*R$7</f>
        <v>0</v>
      </c>
      <c r="S61" s="30">
        <f>Option4!S$83*conv_2026*S$7</f>
        <v>0</v>
      </c>
      <c r="T61" s="30">
        <f>Option4!T$83*conv_2026*T$7</f>
        <v>0</v>
      </c>
      <c r="U61" s="30">
        <f>Option4!U$83*conv_2026*U$7</f>
        <v>0</v>
      </c>
      <c r="V61" s="30">
        <f>Option4!V$83*conv_2026*V$7</f>
        <v>0</v>
      </c>
      <c r="W61" s="30">
        <f>Option4!W$83*conv_2026*W$7</f>
        <v>0</v>
      </c>
      <c r="X61" s="30">
        <f>Option4!X$83*conv_2026*X$7</f>
        <v>0</v>
      </c>
      <c r="Y61" s="30">
        <f>Option4!Y$83*conv_2026*Y$7</f>
        <v>0</v>
      </c>
      <c r="Z61" s="30">
        <f>Option4!Z$83*conv_2026*Z$7</f>
        <v>0</v>
      </c>
      <c r="AA61" s="30">
        <f>Option4!AA$83*conv_2026*AA$7</f>
        <v>0</v>
      </c>
      <c r="AB61" s="30">
        <f>Option4!AB$83*conv_2026*AB$7</f>
        <v>0</v>
      </c>
      <c r="AC61" s="30">
        <f>Option4!AC$83*conv_2026*AC$7</f>
        <v>0</v>
      </c>
      <c r="AD61" s="30">
        <f>Option4!AD$83*conv_2026*AD$7</f>
        <v>0</v>
      </c>
      <c r="AE61" s="30">
        <f>Option4!AE$83*conv_2026*AE$7</f>
        <v>0</v>
      </c>
      <c r="AF61" s="30">
        <f>Option4!AF$83*conv_2026*AF$7</f>
        <v>0</v>
      </c>
      <c r="AG61" s="30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7" t="str">
        <f>Option4!C$84</f>
        <v>Risk mitigated</v>
      </c>
      <c r="D62" s="37" t="str">
        <f t="shared" si="14"/>
        <v>Option 4Risk mitigated</v>
      </c>
      <c r="E62" s="1"/>
      <c r="F62" s="96">
        <f>SUMPRODUCT($H62:$AG62, $H$5:$AG$5)</f>
        <v>0</v>
      </c>
      <c r="G62" s="224">
        <f t="shared" si="16"/>
        <v>46203</v>
      </c>
      <c r="H62" s="30"/>
      <c r="I62" s="30">
        <f>Option4!I$84*conv_2026*I$7</f>
        <v>0</v>
      </c>
      <c r="J62" s="30">
        <f>Option4!J$84*conv_2026*J$7</f>
        <v>0</v>
      </c>
      <c r="K62" s="30">
        <f>Option4!K$84*conv_2026*K$7</f>
        <v>0</v>
      </c>
      <c r="L62" s="30">
        <f>Option4!L$84*conv_2026*L$7</f>
        <v>0</v>
      </c>
      <c r="M62" s="30">
        <f>Option4!M$84*conv_2026*M$7</f>
        <v>0</v>
      </c>
      <c r="N62" s="30">
        <f>Option4!N$84*conv_2026*N$7</f>
        <v>0</v>
      </c>
      <c r="O62" s="30">
        <f>Option4!O$84*conv_2026*O$7</f>
        <v>0</v>
      </c>
      <c r="P62" s="30">
        <f>Option4!P$84*conv_2026*P$7</f>
        <v>0</v>
      </c>
      <c r="Q62" s="30">
        <f>Option4!Q$84*conv_2026*Q$7</f>
        <v>0</v>
      </c>
      <c r="R62" s="30">
        <f>Option4!R$84*conv_2026*R$7</f>
        <v>0</v>
      </c>
      <c r="S62" s="30">
        <f>Option4!S$84*conv_2026*S$7</f>
        <v>0</v>
      </c>
      <c r="T62" s="30">
        <f>Option4!T$84*conv_2026*T$7</f>
        <v>0</v>
      </c>
      <c r="U62" s="30">
        <f>Option4!U$84*conv_2026*U$7</f>
        <v>0</v>
      </c>
      <c r="V62" s="30">
        <f>Option4!V$84*conv_2026*V$7</f>
        <v>0</v>
      </c>
      <c r="W62" s="30">
        <f>Option4!W$84*conv_2026*W$7</f>
        <v>0</v>
      </c>
      <c r="X62" s="30">
        <f>Option4!X$84*conv_2026*X$7</f>
        <v>0</v>
      </c>
      <c r="Y62" s="30">
        <f>Option4!Y$84*conv_2026*Y$7</f>
        <v>0</v>
      </c>
      <c r="Z62" s="30">
        <f>Option4!Z$84*conv_2026*Z$7</f>
        <v>0</v>
      </c>
      <c r="AA62" s="30">
        <f>Option4!AA$84*conv_2026*AA$7</f>
        <v>0</v>
      </c>
      <c r="AB62" s="30">
        <f>Option4!AB$84*conv_2026*AB$7</f>
        <v>0</v>
      </c>
      <c r="AC62" s="30">
        <f>Option4!AC$84*conv_2026*AC$7</f>
        <v>0</v>
      </c>
      <c r="AD62" s="30">
        <f>Option4!AD$84*conv_2026*AD$7</f>
        <v>0</v>
      </c>
      <c r="AE62" s="30">
        <f>Option4!AE$84*conv_2026*AE$7</f>
        <v>0</v>
      </c>
      <c r="AF62" s="30">
        <f>Option4!AF$84*conv_2026*AF$7</f>
        <v>0</v>
      </c>
      <c r="AG62" s="30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7" t="str">
        <f>Option4!C$85</f>
        <v>Other benefits value</v>
      </c>
      <c r="D63" s="37" t="str">
        <f t="shared" si="14"/>
        <v>Option 4Other benefits value</v>
      </c>
      <c r="E63" s="1"/>
      <c r="F63" s="96">
        <f>SUMPRODUCT($H63:$AG63, $H$5:$AG$5)</f>
        <v>0</v>
      </c>
      <c r="G63" s="224">
        <f t="shared" si="16"/>
        <v>46203</v>
      </c>
      <c r="H63" s="30"/>
      <c r="I63" s="30">
        <f>Option4!I$85*conv_2026*I$7</f>
        <v>0</v>
      </c>
      <c r="J63" s="30">
        <f>Option4!J$85*conv_2026*J$7</f>
        <v>0</v>
      </c>
      <c r="K63" s="30">
        <f>Option4!K$85*conv_2026*K$7</f>
        <v>0</v>
      </c>
      <c r="L63" s="30">
        <f>Option4!L$85*conv_2026*L$7</f>
        <v>0</v>
      </c>
      <c r="M63" s="30">
        <f>Option4!M$85*conv_2026*M$7</f>
        <v>0</v>
      </c>
      <c r="N63" s="30">
        <f>Option4!N$85*conv_2026*N$7</f>
        <v>0</v>
      </c>
      <c r="O63" s="30">
        <f>Option4!O$85*conv_2026*O$7</f>
        <v>0</v>
      </c>
      <c r="P63" s="30">
        <f>Option4!P$85*conv_2026*P$7</f>
        <v>0</v>
      </c>
      <c r="Q63" s="30">
        <f>Option4!Q$85*conv_2026*Q$7</f>
        <v>0</v>
      </c>
      <c r="R63" s="30">
        <f>Option4!R$85*conv_2026*R$7</f>
        <v>0</v>
      </c>
      <c r="S63" s="30">
        <f>Option4!S$85*conv_2026*S$7</f>
        <v>0</v>
      </c>
      <c r="T63" s="30">
        <f>Option4!T$85*conv_2026*T$7</f>
        <v>0</v>
      </c>
      <c r="U63" s="30">
        <f>Option4!U$85*conv_2026*U$7</f>
        <v>0</v>
      </c>
      <c r="V63" s="30">
        <f>Option4!V$85*conv_2026*V$7</f>
        <v>0</v>
      </c>
      <c r="W63" s="30">
        <f>Option4!W$85*conv_2026*W$7</f>
        <v>0</v>
      </c>
      <c r="X63" s="30">
        <f>Option4!X$85*conv_2026*X$7</f>
        <v>0</v>
      </c>
      <c r="Y63" s="30">
        <f>Option4!Y$85*conv_2026*Y$7</f>
        <v>0</v>
      </c>
      <c r="Z63" s="30">
        <f>Option4!Z$85*conv_2026*Z$7</f>
        <v>0</v>
      </c>
      <c r="AA63" s="30">
        <f>Option4!AA$85*conv_2026*AA$7</f>
        <v>0</v>
      </c>
      <c r="AB63" s="30">
        <f>Option4!AB$85*conv_2026*AB$7</f>
        <v>0</v>
      </c>
      <c r="AC63" s="30">
        <f>Option4!AC$85*conv_2026*AC$7</f>
        <v>0</v>
      </c>
      <c r="AD63" s="30">
        <f>Option4!AD$85*conv_2026*AD$7</f>
        <v>0</v>
      </c>
      <c r="AE63" s="30">
        <f>Option4!AE$85*conv_2026*AE$7</f>
        <v>0</v>
      </c>
      <c r="AF63" s="30">
        <f>Option4!AF$85*conv_2026*AF$7</f>
        <v>0</v>
      </c>
      <c r="AG63" s="30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4" t="str">
        <f>Option4!C87</f>
        <v>Net benefits</v>
      </c>
      <c r="D64" s="108" t="str">
        <f t="shared" si="14"/>
        <v>Option 4Net benefits</v>
      </c>
      <c r="E64" s="109"/>
      <c r="F64" s="142"/>
      <c r="G64" s="226">
        <f t="shared" si="16"/>
        <v>46203</v>
      </c>
      <c r="H64" s="51"/>
      <c r="I64" s="51">
        <f t="shared" ref="I64:AB64" si="17">SUM(I60:I63)</f>
        <v>0</v>
      </c>
      <c r="J64" s="51">
        <f t="shared" si="17"/>
        <v>0</v>
      </c>
      <c r="K64" s="51">
        <f t="shared" si="17"/>
        <v>0</v>
      </c>
      <c r="L64" s="51">
        <f t="shared" si="17"/>
        <v>0</v>
      </c>
      <c r="M64" s="51">
        <f t="shared" si="17"/>
        <v>0</v>
      </c>
      <c r="N64" s="51">
        <f t="shared" si="17"/>
        <v>0</v>
      </c>
      <c r="O64" s="51">
        <f t="shared" si="17"/>
        <v>0</v>
      </c>
      <c r="P64" s="51">
        <f t="shared" si="17"/>
        <v>0</v>
      </c>
      <c r="Q64" s="51">
        <f t="shared" si="17"/>
        <v>0</v>
      </c>
      <c r="R64" s="51">
        <f t="shared" si="17"/>
        <v>0</v>
      </c>
      <c r="S64" s="51">
        <f t="shared" si="17"/>
        <v>0</v>
      </c>
      <c r="T64" s="51">
        <f t="shared" si="17"/>
        <v>0</v>
      </c>
      <c r="U64" s="51">
        <f t="shared" si="17"/>
        <v>0</v>
      </c>
      <c r="V64" s="51">
        <f t="shared" si="17"/>
        <v>0</v>
      </c>
      <c r="W64" s="51">
        <f t="shared" si="17"/>
        <v>0</v>
      </c>
      <c r="X64" s="51">
        <f t="shared" si="17"/>
        <v>0</v>
      </c>
      <c r="Y64" s="51">
        <f t="shared" si="17"/>
        <v>0</v>
      </c>
      <c r="Z64" s="51">
        <f t="shared" si="17"/>
        <v>0</v>
      </c>
      <c r="AA64" s="51">
        <f t="shared" si="17"/>
        <v>0</v>
      </c>
      <c r="AB64" s="51">
        <f t="shared" si="17"/>
        <v>0</v>
      </c>
      <c r="AC64" s="51">
        <f>SUM(AC60:AC63)</f>
        <v>0</v>
      </c>
      <c r="AD64" s="51">
        <f>SUM(AD60:AD63)</f>
        <v>0</v>
      </c>
      <c r="AE64" s="51">
        <f>SUM(AE60:AE63)</f>
        <v>0</v>
      </c>
      <c r="AF64" s="51">
        <f>SUM(AF60:AF63)</f>
        <v>0</v>
      </c>
      <c r="AG64" s="51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7" t="str">
        <f t="shared" si="14"/>
        <v>Option 4NPV</v>
      </c>
      <c r="E65" s="1"/>
      <c r="F65" s="107" cm="1">
        <f t="array" ref="F65">SUMPRODUCT(($H64:$AG64)*($H$5:$AG$5)*($H$7:$AG$7))</f>
        <v>0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189</v>
      </c>
      <c r="D66" s="37" t="str">
        <f t="shared" si="14"/>
        <v>Option 4PV of costs</v>
      </c>
      <c r="E66" s="1"/>
      <c r="F66" s="107">
        <f>SUM(F60:F61)</f>
        <v>0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190</v>
      </c>
      <c r="D67" s="37" t="str">
        <f t="shared" si="14"/>
        <v>Option 4PV of benefits</v>
      </c>
      <c r="E67" s="1"/>
      <c r="F67" s="107">
        <f>SUM(F62:F63)</f>
        <v>0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7"/>
      <c r="E68" s="1"/>
      <c r="F68" s="107"/>
      <c r="G68" s="227"/>
      <c r="H68" s="1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s="2" customFormat="1" x14ac:dyDescent="0.2">
      <c r="A69" s="122"/>
      <c r="B69" s="122"/>
      <c r="C69" s="122"/>
      <c r="D69" s="37" t="str">
        <f t="shared" ref="D69:D81" si="18">A69&amp;C69</f>
        <v/>
      </c>
      <c r="F69" s="117"/>
      <c r="G69" s="220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6">
        <f>SUMPRODUCT($H70:$AG70, $H$5:$AG$5)</f>
        <v>0</v>
      </c>
      <c r="G70" s="270">
        <f>output_dollars</f>
        <v>46203</v>
      </c>
      <c r="H70" s="271"/>
      <c r="I70" s="30">
        <f>Option5!I$28*conv_2026</f>
        <v>0</v>
      </c>
      <c r="J70" s="30">
        <f>Option5!J$28*conv_2026</f>
        <v>0</v>
      </c>
      <c r="K70" s="30">
        <f>Option5!K$28*conv_2026</f>
        <v>0</v>
      </c>
      <c r="L70" s="30">
        <f>Option5!L$28*conv_2026</f>
        <v>0</v>
      </c>
      <c r="M70" s="30">
        <f>Option5!M$28*conv_2026</f>
        <v>0</v>
      </c>
      <c r="N70" s="30">
        <f>Option5!N$28*conv_2026</f>
        <v>0</v>
      </c>
      <c r="O70" s="30">
        <f>Option5!O$28*conv_2026</f>
        <v>0</v>
      </c>
      <c r="P70" s="30">
        <f>Option5!P$28*conv_2026</f>
        <v>0</v>
      </c>
      <c r="Q70" s="30">
        <f>Option5!Q$28*conv_2026</f>
        <v>0</v>
      </c>
      <c r="R70" s="30">
        <f>Option5!R$28*conv_2026</f>
        <v>0</v>
      </c>
      <c r="S70" s="30">
        <f>Option5!S$28*conv_2026</f>
        <v>0</v>
      </c>
      <c r="T70" s="30">
        <f>Option5!T$28*conv_2026</f>
        <v>0</v>
      </c>
      <c r="U70" s="30">
        <f>Option5!U$28*conv_2026</f>
        <v>0</v>
      </c>
      <c r="V70" s="30">
        <f>Option5!V$28*conv_2026</f>
        <v>0</v>
      </c>
      <c r="W70" s="30">
        <f>Option5!W$28*conv_2026</f>
        <v>0</v>
      </c>
      <c r="X70" s="30">
        <f>Option5!X$28*conv_2026</f>
        <v>0</v>
      </c>
      <c r="Y70" s="30">
        <f>Option5!Y$28*conv_2026</f>
        <v>0</v>
      </c>
      <c r="Z70" s="30">
        <f>Option5!Z$28*conv_2026</f>
        <v>0</v>
      </c>
      <c r="AA70" s="30">
        <f>Option5!AA$28*conv_2026</f>
        <v>0</v>
      </c>
      <c r="AB70" s="30">
        <f>Option5!AB$28*conv_2026</f>
        <v>0</v>
      </c>
      <c r="AC70" s="30">
        <f>Option5!AC$28*conv_2026</f>
        <v>0</v>
      </c>
      <c r="AD70" s="30">
        <f>Option5!AD$28*conv_2026</f>
        <v>0</v>
      </c>
      <c r="AE70" s="30">
        <f>Option5!AE$28*conv_2026</f>
        <v>0</v>
      </c>
      <c r="AF70" s="30">
        <f>Option5!AF$28*conv_2026</f>
        <v>0</v>
      </c>
      <c r="AG70" s="30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7" t="str">
        <f>Option5!C$66</f>
        <v>Capital expenditure</v>
      </c>
      <c r="D71" s="37" t="str">
        <f t="shared" si="18"/>
        <v>Option 5Capital expenditure</v>
      </c>
      <c r="E71" s="1"/>
      <c r="F71" s="96">
        <f>SUMPRODUCT($H71:$AG71, $H$5:$AG$5)</f>
        <v>0</v>
      </c>
      <c r="G71" s="224">
        <f>output_dollars</f>
        <v>46203</v>
      </c>
      <c r="H71" s="30"/>
      <c r="I71" s="30">
        <f>SUM(Option5!I$67:I$69)*conv_2026*I$7</f>
        <v>0</v>
      </c>
      <c r="J71" s="30">
        <f>SUM(Option5!J$67:J$69)*conv_2026*J$7</f>
        <v>0</v>
      </c>
      <c r="K71" s="30">
        <f>SUM(Option5!K$67:K$69)*conv_2026*K$7</f>
        <v>0</v>
      </c>
      <c r="L71" s="30">
        <f>SUM(Option5!L$67:L$69)*conv_2026*L$7</f>
        <v>0</v>
      </c>
      <c r="M71" s="30">
        <f>SUM(Option5!M$67:M$69)*conv_2026*M$7</f>
        <v>0</v>
      </c>
      <c r="N71" s="30">
        <f>SUM(Option5!N$67:N$69)*conv_2026*N$7</f>
        <v>0</v>
      </c>
      <c r="O71" s="30">
        <f>SUM(Option5!O$67:O$69)*conv_2026*O$7</f>
        <v>0</v>
      </c>
      <c r="P71" s="30">
        <f>SUM(Option5!P$67:P$69)*conv_2026*P$7</f>
        <v>0</v>
      </c>
      <c r="Q71" s="30">
        <f>SUM(Option5!Q$67:Q$69)*conv_2026*Q$7</f>
        <v>0</v>
      </c>
      <c r="R71" s="30">
        <f>SUM(Option5!R$67:R$69)*conv_2026*R$7</f>
        <v>0</v>
      </c>
      <c r="S71" s="30">
        <f>SUM(Option5!S$67:S$69)*conv_2026*S$7</f>
        <v>0</v>
      </c>
      <c r="T71" s="30">
        <f>SUM(Option5!T$67:T$69)*conv_2026*T$7</f>
        <v>0</v>
      </c>
      <c r="U71" s="30">
        <f>SUM(Option5!U$67:U$69)*conv_2026*U$7</f>
        <v>0</v>
      </c>
      <c r="V71" s="30">
        <f>SUM(Option5!V$67:V$69)*conv_2026*V$7</f>
        <v>0</v>
      </c>
      <c r="W71" s="30">
        <f>SUM(Option5!W$67:W$69)*conv_2026*W$7</f>
        <v>0</v>
      </c>
      <c r="X71" s="30">
        <f>SUM(Option5!X$67:X$69)*conv_2026*X$7</f>
        <v>0</v>
      </c>
      <c r="Y71" s="30">
        <f>SUM(Option5!Y$67:Y$69)*conv_2026*Y$7</f>
        <v>0</v>
      </c>
      <c r="Z71" s="30">
        <f>SUM(Option5!Z$67:Z$69)*conv_2026*Z$7</f>
        <v>0</v>
      </c>
      <c r="AA71" s="30">
        <f>SUM(Option5!AA$67:AA$69)*conv_2026*AA$7</f>
        <v>0</v>
      </c>
      <c r="AB71" s="30">
        <f>SUM(Option5!AB$67:AB$69)*conv_2026*AB$7</f>
        <v>0</v>
      </c>
      <c r="AC71" s="30">
        <f>SUM(Option5!AC$67:AC$69)*conv_2026*AC$7</f>
        <v>0</v>
      </c>
      <c r="AD71" s="30">
        <f>SUM(Option5!AD$67:AD$69)*conv_2026*AD$7</f>
        <v>0</v>
      </c>
      <c r="AE71" s="30">
        <f>SUM(Option5!AE$67:AE$69)*conv_2026*AE$7</f>
        <v>0</v>
      </c>
      <c r="AF71" s="30">
        <f>SUM(Option5!AF$67:AF$69)*conv_2026*AF$7</f>
        <v>0</v>
      </c>
      <c r="AG71" s="30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7" t="str">
        <f>'Option1 (base case)'!C$36</f>
        <v>Total risk cost</v>
      </c>
      <c r="D72" s="37" t="str">
        <f t="shared" si="18"/>
        <v>Option 5Total risk cost</v>
      </c>
      <c r="E72" s="1"/>
      <c r="F72" s="96">
        <f>SUMPRODUCT($H72:$AG72, $H$5:$AG$5)</f>
        <v>0</v>
      </c>
      <c r="G72" s="224">
        <f>output_dollars</f>
        <v>46203</v>
      </c>
      <c r="H72" s="30"/>
      <c r="I72" s="30">
        <f>Option5!I$36*conv_2026*I$7</f>
        <v>0</v>
      </c>
      <c r="J72" s="30">
        <f>Option5!J$36*conv_2026*J$7</f>
        <v>0</v>
      </c>
      <c r="K72" s="30">
        <f>Option5!K$36*conv_2026*K$7</f>
        <v>0</v>
      </c>
      <c r="L72" s="30">
        <f>Option5!L$36*conv_2026*L$7</f>
        <v>0</v>
      </c>
      <c r="M72" s="30">
        <f>Option5!M$36*conv_2026*M$7</f>
        <v>0</v>
      </c>
      <c r="N72" s="30">
        <f>Option5!N$36*conv_2026*N$7</f>
        <v>0</v>
      </c>
      <c r="O72" s="30">
        <f>Option5!O$36*conv_2026*O$7</f>
        <v>0</v>
      </c>
      <c r="P72" s="30">
        <f>Option5!P$36*conv_2026*P$7</f>
        <v>0</v>
      </c>
      <c r="Q72" s="30">
        <f>Option5!Q$36*conv_2026*Q$7</f>
        <v>0</v>
      </c>
      <c r="R72" s="30">
        <f>Option5!R$36*conv_2026*R$7</f>
        <v>0</v>
      </c>
      <c r="S72" s="30">
        <f>Option5!S$36*conv_2026*S$7</f>
        <v>0</v>
      </c>
      <c r="T72" s="30">
        <f>Option5!T$36*conv_2026*T$7</f>
        <v>0</v>
      </c>
      <c r="U72" s="30">
        <f>Option5!U$36*conv_2026*U$7</f>
        <v>0</v>
      </c>
      <c r="V72" s="30">
        <f>Option5!V$36*conv_2026*V$7</f>
        <v>0</v>
      </c>
      <c r="W72" s="30">
        <f>Option5!W$36*conv_2026*W$7</f>
        <v>0</v>
      </c>
      <c r="X72" s="30">
        <f>Option5!X$36*conv_2026*X$7</f>
        <v>0</v>
      </c>
      <c r="Y72" s="30">
        <f>Option5!Y$36*conv_2026*Y$7</f>
        <v>0</v>
      </c>
      <c r="Z72" s="30">
        <f>Option5!Z$36*conv_2026*Z$7</f>
        <v>0</v>
      </c>
      <c r="AA72" s="30">
        <f>Option5!AA$36*conv_2026*AA$7</f>
        <v>0</v>
      </c>
      <c r="AB72" s="30">
        <f>Option5!AB$36*conv_2026*AB$7</f>
        <v>0</v>
      </c>
      <c r="AC72" s="30">
        <f>Option5!AC$36*conv_2026*AC$7</f>
        <v>0</v>
      </c>
      <c r="AD72" s="30">
        <f>Option5!AD$36*conv_2026*AD$7</f>
        <v>0</v>
      </c>
      <c r="AE72" s="30">
        <f>Option5!AE$36*conv_2026*AE$7</f>
        <v>0</v>
      </c>
      <c r="AF72" s="30">
        <f>Option5!AF$36*conv_2026*AF$7</f>
        <v>0</v>
      </c>
      <c r="AG72" s="30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4"/>
      <c r="D73" s="37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7" t="str">
        <f>Option5!C$82</f>
        <v>Annualised capex</v>
      </c>
      <c r="D74" s="37" t="str">
        <f t="shared" si="18"/>
        <v>Option 5Annualised capex</v>
      </c>
      <c r="E74" s="1"/>
      <c r="F74" s="107" cm="1">
        <f t="array" ref="F74">SUMPRODUCT(($H74:$AG74)*($H$5:$AG$5)*($H$7:$AG$7))</f>
        <v>0</v>
      </c>
      <c r="G74" s="224">
        <f t="shared" ref="G74:G81" si="20">output_dollars</f>
        <v>46203</v>
      </c>
      <c r="H74" s="30"/>
      <c r="I74" s="30">
        <f>Option5!I$82*conv_2026*I$7</f>
        <v>0</v>
      </c>
      <c r="J74" s="30">
        <f>Option5!J$82*conv_2026*J$7</f>
        <v>0</v>
      </c>
      <c r="K74" s="30">
        <f>Option5!K$82*conv_2026*K$7</f>
        <v>0</v>
      </c>
      <c r="L74" s="30">
        <f>Option5!L$82*conv_2026*L$7</f>
        <v>0</v>
      </c>
      <c r="M74" s="30">
        <f>Option5!M$82*conv_2026*M$7</f>
        <v>0</v>
      </c>
      <c r="N74" s="30">
        <f>Option5!N$82*conv_2026*N$7</f>
        <v>0</v>
      </c>
      <c r="O74" s="30">
        <f>Option5!O$82*conv_2026*O$7</f>
        <v>0</v>
      </c>
      <c r="P74" s="30">
        <f>Option5!P$82*conv_2026*P$7</f>
        <v>0</v>
      </c>
      <c r="Q74" s="30">
        <f>Option5!Q$82*conv_2026*Q$7</f>
        <v>0</v>
      </c>
      <c r="R74" s="30">
        <f>Option5!R$82*conv_2026*R$7</f>
        <v>0</v>
      </c>
      <c r="S74" s="30">
        <f>Option5!S$82*conv_2026*S$7</f>
        <v>0</v>
      </c>
      <c r="T74" s="30">
        <f>Option5!T$82*conv_2026*T$7</f>
        <v>0</v>
      </c>
      <c r="U74" s="30">
        <f>Option5!U$82*conv_2026*U$7</f>
        <v>0</v>
      </c>
      <c r="V74" s="30">
        <f>Option5!V$82*conv_2026*V$7</f>
        <v>0</v>
      </c>
      <c r="W74" s="30">
        <f>Option5!W$82*conv_2026*W$7</f>
        <v>0</v>
      </c>
      <c r="X74" s="30">
        <f>Option5!X$82*conv_2026*X$7</f>
        <v>0</v>
      </c>
      <c r="Y74" s="30">
        <f>Option5!Y$82*conv_2026*Y$7</f>
        <v>0</v>
      </c>
      <c r="Z74" s="30">
        <f>Option5!Z$82*conv_2026*Z$7</f>
        <v>0</v>
      </c>
      <c r="AA74" s="30">
        <f>Option5!AA$82*conv_2026*AA$7</f>
        <v>0</v>
      </c>
      <c r="AB74" s="30">
        <f>Option5!AB$82*conv_2026*AB$7</f>
        <v>0</v>
      </c>
      <c r="AC74" s="30">
        <f>Option5!AC$82*conv_2026*AC$7</f>
        <v>0</v>
      </c>
      <c r="AD74" s="30">
        <f>Option5!AD$82*conv_2026*AD$7</f>
        <v>0</v>
      </c>
      <c r="AE74" s="30">
        <f>Option5!AE$82*conv_2026*AE$7</f>
        <v>0</v>
      </c>
      <c r="AF74" s="30">
        <f>Option5!AF$82*conv_2026*AF$7</f>
        <v>0</v>
      </c>
      <c r="AG74" s="30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7" t="str">
        <f>Option5!C$83</f>
        <v>Operating expenditure</v>
      </c>
      <c r="D75" s="37" t="str">
        <f t="shared" si="18"/>
        <v>Option 5Operating expenditure</v>
      </c>
      <c r="E75" s="1"/>
      <c r="F75" s="107" cm="1">
        <f t="array" ref="F75">SUMPRODUCT(($H75:$AG75)*($H$5:$AG$5)*($H$7:$AG$7))</f>
        <v>0</v>
      </c>
      <c r="G75" s="224">
        <f t="shared" si="20"/>
        <v>46203</v>
      </c>
      <c r="H75" s="30"/>
      <c r="I75" s="30">
        <f>Option5!I$83*conv_2026*I$7</f>
        <v>0</v>
      </c>
      <c r="J75" s="30">
        <f>Option5!J$83*conv_2026*J$7</f>
        <v>0</v>
      </c>
      <c r="K75" s="30">
        <f>Option5!K$83*conv_2026*K$7</f>
        <v>0</v>
      </c>
      <c r="L75" s="30">
        <f>Option5!L$83*conv_2026*L$7</f>
        <v>0</v>
      </c>
      <c r="M75" s="30">
        <f>Option5!M$83*conv_2026*M$7</f>
        <v>0</v>
      </c>
      <c r="N75" s="30">
        <f>Option5!N$83*conv_2026*N$7</f>
        <v>0</v>
      </c>
      <c r="O75" s="30">
        <f>Option5!O$83*conv_2026*O$7</f>
        <v>0</v>
      </c>
      <c r="P75" s="30">
        <f>Option5!P$83*conv_2026*P$7</f>
        <v>0</v>
      </c>
      <c r="Q75" s="30">
        <f>Option5!Q$83*conv_2026*Q$7</f>
        <v>0</v>
      </c>
      <c r="R75" s="30">
        <f>Option5!R$83*conv_2026*R$7</f>
        <v>0</v>
      </c>
      <c r="S75" s="30">
        <f>Option5!S$83*conv_2026*S$7</f>
        <v>0</v>
      </c>
      <c r="T75" s="30">
        <f>Option5!T$83*conv_2026*T$7</f>
        <v>0</v>
      </c>
      <c r="U75" s="30">
        <f>Option5!U$83*conv_2026*U$7</f>
        <v>0</v>
      </c>
      <c r="V75" s="30">
        <f>Option5!V$83*conv_2026*V$7</f>
        <v>0</v>
      </c>
      <c r="W75" s="30">
        <f>Option5!W$83*conv_2026*W$7</f>
        <v>0</v>
      </c>
      <c r="X75" s="30">
        <f>Option5!X$83*conv_2026*X$7</f>
        <v>0</v>
      </c>
      <c r="Y75" s="30">
        <f>Option5!Y$83*conv_2026*Y$7</f>
        <v>0</v>
      </c>
      <c r="Z75" s="30">
        <f>Option5!Z$83*conv_2026*Z$7</f>
        <v>0</v>
      </c>
      <c r="AA75" s="30">
        <f>Option5!AA$83*conv_2026*AA$7</f>
        <v>0</v>
      </c>
      <c r="AB75" s="30">
        <f>Option5!AB$83*conv_2026*AB$7</f>
        <v>0</v>
      </c>
      <c r="AC75" s="30">
        <f>Option5!AC$83*conv_2026*AC$7</f>
        <v>0</v>
      </c>
      <c r="AD75" s="30">
        <f>Option5!AD$83*conv_2026*AD$7</f>
        <v>0</v>
      </c>
      <c r="AE75" s="30">
        <f>Option5!AE$83*conv_2026*AE$7</f>
        <v>0</v>
      </c>
      <c r="AF75" s="30">
        <f>Option5!AF$83*conv_2026*AF$7</f>
        <v>0</v>
      </c>
      <c r="AG75" s="30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7" t="str">
        <f>Option5!C$84</f>
        <v>Risk mitigated</v>
      </c>
      <c r="D76" s="37" t="str">
        <f t="shared" si="18"/>
        <v>Option 5Risk mitigated</v>
      </c>
      <c r="E76" s="1"/>
      <c r="F76" s="96">
        <f>SUMPRODUCT($H76:$AG76, $H$5:$AG$5)</f>
        <v>0</v>
      </c>
      <c r="G76" s="224">
        <f t="shared" si="20"/>
        <v>46203</v>
      </c>
      <c r="H76" s="30"/>
      <c r="I76" s="30">
        <f>Option5!I$84*conv_2026*I$7</f>
        <v>0</v>
      </c>
      <c r="J76" s="30">
        <f>Option5!J$84*conv_2026*J$7</f>
        <v>0</v>
      </c>
      <c r="K76" s="30">
        <f>Option5!K$84*conv_2026*K$7</f>
        <v>0</v>
      </c>
      <c r="L76" s="30">
        <f>Option5!L$84*conv_2026*L$7</f>
        <v>0</v>
      </c>
      <c r="M76" s="30">
        <f>Option5!M$84*conv_2026*M$7</f>
        <v>0</v>
      </c>
      <c r="N76" s="30">
        <f>Option5!N$84*conv_2026*N$7</f>
        <v>0</v>
      </c>
      <c r="O76" s="30">
        <f>Option5!O$84*conv_2026*O$7</f>
        <v>0</v>
      </c>
      <c r="P76" s="30">
        <f>Option5!P$84*conv_2026*P$7</f>
        <v>0</v>
      </c>
      <c r="Q76" s="30">
        <f>Option5!Q$84*conv_2026*Q$7</f>
        <v>0</v>
      </c>
      <c r="R76" s="30">
        <f>Option5!R$84*conv_2026*R$7</f>
        <v>0</v>
      </c>
      <c r="S76" s="30">
        <f>Option5!S$84*conv_2026*S$7</f>
        <v>0</v>
      </c>
      <c r="T76" s="30">
        <f>Option5!T$84*conv_2026*T$7</f>
        <v>0</v>
      </c>
      <c r="U76" s="30">
        <f>Option5!U$84*conv_2026*U$7</f>
        <v>0</v>
      </c>
      <c r="V76" s="30">
        <f>Option5!V$84*conv_2026*V$7</f>
        <v>0</v>
      </c>
      <c r="W76" s="30">
        <f>Option5!W$84*conv_2026*W$7</f>
        <v>0</v>
      </c>
      <c r="X76" s="30">
        <f>Option5!X$84*conv_2026*X$7</f>
        <v>0</v>
      </c>
      <c r="Y76" s="30">
        <f>Option5!Y$84*conv_2026*Y$7</f>
        <v>0</v>
      </c>
      <c r="Z76" s="30">
        <f>Option5!Z$84*conv_2026*Z$7</f>
        <v>0</v>
      </c>
      <c r="AA76" s="30">
        <f>Option5!AA$84*conv_2026*AA$7</f>
        <v>0</v>
      </c>
      <c r="AB76" s="30">
        <f>Option5!AB$84*conv_2026*AB$7</f>
        <v>0</v>
      </c>
      <c r="AC76" s="30">
        <f>Option5!AC$84*conv_2026*AC$7</f>
        <v>0</v>
      </c>
      <c r="AD76" s="30">
        <f>Option5!AD$84*conv_2026*AD$7</f>
        <v>0</v>
      </c>
      <c r="AE76" s="30">
        <f>Option5!AE$84*conv_2026*AE$7</f>
        <v>0</v>
      </c>
      <c r="AF76" s="30">
        <f>Option5!AF$84*conv_2026*AF$7</f>
        <v>0</v>
      </c>
      <c r="AG76" s="30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7" t="str">
        <f>Option5!C$85</f>
        <v>Other benefits value</v>
      </c>
      <c r="D77" s="37" t="str">
        <f t="shared" si="18"/>
        <v>Option 5Other benefits value</v>
      </c>
      <c r="E77" s="1"/>
      <c r="F77" s="96">
        <f>SUMPRODUCT($H77:$AG77, $H$5:$AG$5)</f>
        <v>0</v>
      </c>
      <c r="G77" s="224">
        <f t="shared" si="20"/>
        <v>46203</v>
      </c>
      <c r="H77" s="30"/>
      <c r="I77" s="30">
        <f>Option5!I$85*conv_2026*I$7</f>
        <v>0</v>
      </c>
      <c r="J77" s="30">
        <f>Option5!J$85*conv_2026*J$7</f>
        <v>0</v>
      </c>
      <c r="K77" s="30">
        <f>Option5!K$85*conv_2026*K$7</f>
        <v>0</v>
      </c>
      <c r="L77" s="30">
        <f>Option5!L$85*conv_2026*L$7</f>
        <v>0</v>
      </c>
      <c r="M77" s="30">
        <f>Option5!M$85*conv_2026*M$7</f>
        <v>0</v>
      </c>
      <c r="N77" s="30">
        <f>Option5!N$85*conv_2026*N$7</f>
        <v>0</v>
      </c>
      <c r="O77" s="30">
        <f>Option5!O$85*conv_2026*O$7</f>
        <v>0</v>
      </c>
      <c r="P77" s="30">
        <f>Option5!P$85*conv_2026*P$7</f>
        <v>0</v>
      </c>
      <c r="Q77" s="30">
        <f>Option5!Q$85*conv_2026*Q$7</f>
        <v>0</v>
      </c>
      <c r="R77" s="30">
        <f>Option5!R$85*conv_2026*R$7</f>
        <v>0</v>
      </c>
      <c r="S77" s="30">
        <f>Option5!S$85*conv_2026*S$7</f>
        <v>0</v>
      </c>
      <c r="T77" s="30">
        <f>Option5!T$85*conv_2026*T$7</f>
        <v>0</v>
      </c>
      <c r="U77" s="30">
        <f>Option5!U$85*conv_2026*U$7</f>
        <v>0</v>
      </c>
      <c r="V77" s="30">
        <f>Option5!V$85*conv_2026*V$7</f>
        <v>0</v>
      </c>
      <c r="W77" s="30">
        <f>Option5!W$85*conv_2026*W$7</f>
        <v>0</v>
      </c>
      <c r="X77" s="30">
        <f>Option5!X$85*conv_2026*X$7</f>
        <v>0</v>
      </c>
      <c r="Y77" s="30">
        <f>Option5!Y$85*conv_2026*Y$7</f>
        <v>0</v>
      </c>
      <c r="Z77" s="30">
        <f>Option5!Z$85*conv_2026*Z$7</f>
        <v>0</v>
      </c>
      <c r="AA77" s="30">
        <f>Option5!AA$85*conv_2026*AA$7</f>
        <v>0</v>
      </c>
      <c r="AB77" s="30">
        <f>Option5!AB$85*conv_2026*AB$7</f>
        <v>0</v>
      </c>
      <c r="AC77" s="30">
        <f>Option5!AC$85*conv_2026*AC$7</f>
        <v>0</v>
      </c>
      <c r="AD77" s="30">
        <f>Option5!AD$85*conv_2026*AD$7</f>
        <v>0</v>
      </c>
      <c r="AE77" s="30">
        <f>Option5!AE$85*conv_2026*AE$7</f>
        <v>0</v>
      </c>
      <c r="AF77" s="30">
        <f>Option5!AF$85*conv_2026*AF$7</f>
        <v>0</v>
      </c>
      <c r="AG77" s="30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4" t="str">
        <f>Option5!C87</f>
        <v>Net benefits</v>
      </c>
      <c r="D78" s="108" t="str">
        <f t="shared" si="18"/>
        <v>Option 5Net benefits</v>
      </c>
      <c r="E78" s="109"/>
      <c r="F78" s="142"/>
      <c r="G78" s="226">
        <f t="shared" si="20"/>
        <v>46203</v>
      </c>
      <c r="H78" s="51"/>
      <c r="I78" s="51">
        <f t="shared" ref="I78:AB78" si="21">SUM(I74:I77)</f>
        <v>0</v>
      </c>
      <c r="J78" s="51">
        <f t="shared" si="21"/>
        <v>0</v>
      </c>
      <c r="K78" s="51">
        <f t="shared" si="21"/>
        <v>0</v>
      </c>
      <c r="L78" s="51">
        <f t="shared" si="21"/>
        <v>0</v>
      </c>
      <c r="M78" s="51">
        <f t="shared" si="21"/>
        <v>0</v>
      </c>
      <c r="N78" s="51">
        <f t="shared" si="21"/>
        <v>0</v>
      </c>
      <c r="O78" s="51">
        <f t="shared" si="21"/>
        <v>0</v>
      </c>
      <c r="P78" s="51">
        <f t="shared" si="21"/>
        <v>0</v>
      </c>
      <c r="Q78" s="51">
        <f t="shared" si="21"/>
        <v>0</v>
      </c>
      <c r="R78" s="51">
        <f t="shared" si="21"/>
        <v>0</v>
      </c>
      <c r="S78" s="51">
        <f t="shared" si="21"/>
        <v>0</v>
      </c>
      <c r="T78" s="51">
        <f t="shared" si="21"/>
        <v>0</v>
      </c>
      <c r="U78" s="51">
        <f t="shared" si="21"/>
        <v>0</v>
      </c>
      <c r="V78" s="51">
        <f t="shared" si="21"/>
        <v>0</v>
      </c>
      <c r="W78" s="51">
        <f t="shared" si="21"/>
        <v>0</v>
      </c>
      <c r="X78" s="51">
        <f t="shared" si="21"/>
        <v>0</v>
      </c>
      <c r="Y78" s="51">
        <f t="shared" si="21"/>
        <v>0</v>
      </c>
      <c r="Z78" s="51">
        <f t="shared" si="21"/>
        <v>0</v>
      </c>
      <c r="AA78" s="51">
        <f t="shared" si="21"/>
        <v>0</v>
      </c>
      <c r="AB78" s="51">
        <f t="shared" si="21"/>
        <v>0</v>
      </c>
      <c r="AC78" s="51">
        <f>SUM(AC74:AC77)</f>
        <v>0</v>
      </c>
      <c r="AD78" s="51">
        <f>SUM(AD74:AD77)</f>
        <v>0</v>
      </c>
      <c r="AE78" s="51">
        <f>SUM(AE74:AE77)</f>
        <v>0</v>
      </c>
      <c r="AF78" s="51">
        <f>SUM(AF74:AF77)</f>
        <v>0</v>
      </c>
      <c r="AG78" s="51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7" t="str">
        <f t="shared" si="18"/>
        <v>Option 5NPV</v>
      </c>
      <c r="E79" s="1"/>
      <c r="F79" s="107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189</v>
      </c>
      <c r="D80" s="37" t="str">
        <f t="shared" si="18"/>
        <v>Option 5PV of costs</v>
      </c>
      <c r="E80" s="1"/>
      <c r="F80" s="107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190</v>
      </c>
      <c r="D81" s="37" t="str">
        <f t="shared" si="18"/>
        <v>Option 5PV of benefits</v>
      </c>
      <c r="E81" s="1"/>
      <c r="F81" s="107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3"/>
      <c r="B82" s="123"/>
      <c r="C82" s="123"/>
      <c r="D82" s="37" t="str">
        <f>A82&amp;C82</f>
        <v/>
      </c>
      <c r="F82" s="117"/>
      <c r="G82" s="220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2">
      <c r="E83" s="83"/>
      <c r="G83" s="228"/>
    </row>
    <row r="84" spans="1:33" ht="12" x14ac:dyDescent="0.2">
      <c r="E84" s="83"/>
      <c r="G84" s="228"/>
    </row>
    <row r="85" spans="1:33" ht="12" x14ac:dyDescent="0.2">
      <c r="E85" s="83"/>
      <c r="G85" s="228"/>
    </row>
    <row r="86" spans="1:33" ht="12" x14ac:dyDescent="0.2">
      <c r="E86" s="83"/>
      <c r="G86" s="228"/>
    </row>
    <row r="87" spans="1:33" ht="12" x14ac:dyDescent="0.2">
      <c r="E87" s="10"/>
      <c r="G87" s="228"/>
    </row>
    <row r="88" spans="1:33" ht="15" x14ac:dyDescent="0.25">
      <c r="A88" s="201" t="s">
        <v>202</v>
      </c>
      <c r="B88" s="53"/>
      <c r="C88" s="18"/>
      <c r="D88" s="18"/>
      <c r="E88" s="82"/>
      <c r="F88" s="18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3"/>
      <c r="G89" s="228"/>
    </row>
    <row r="90" spans="1:33" ht="12" x14ac:dyDescent="0.2">
      <c r="E90" s="83"/>
    </row>
    <row r="91" spans="1:33" x14ac:dyDescent="0.2">
      <c r="A91" s="197" t="str">
        <f>Summary!$C$26</f>
        <v>Option 2</v>
      </c>
      <c r="B91" s="138"/>
      <c r="C91" s="195" t="s">
        <v>91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2 annualised capex</v>
      </c>
      <c r="I91" s="296" cm="1">
        <f t="array" ref="I91">MAX($D91*INDEX(I$15:W$81, MATCH($A91&amp;$C91, $D$15:$D$81,0),))/mill_conv</f>
        <v>0.12810850525871142</v>
      </c>
      <c r="J91" s="296" cm="1">
        <f t="array" ref="J91">MAX($D91*INDEX(J$15:X$81, MATCH($A91&amp;$C91, $D$15:$D$81,0),))/mill_conv</f>
        <v>0.12810850525871142</v>
      </c>
      <c r="K91" s="296" cm="1">
        <f t="array" ref="K91">MAX($D91*INDEX(K$15:Y$81, MATCH($A91&amp;$C91, $D$15:$D$81,0),))/mill_conv</f>
        <v>0.12810850525871142</v>
      </c>
      <c r="L91" s="296" cm="1">
        <f t="array" ref="L91">MAX($D91*INDEX(L$15:Z$81, MATCH($A91&amp;$C91, $D$15:$D$81,0),))/mill_conv</f>
        <v>0.12810850525871142</v>
      </c>
      <c r="M91" s="296" cm="1">
        <f t="array" ref="M91">MAX($D91*INDEX(M$15:AA$81, MATCH($A91&amp;$C91, $D$15:$D$81,0),))/mill_conv</f>
        <v>0.12810850525871142</v>
      </c>
      <c r="N91" s="296" cm="1">
        <f t="array" ref="N91">MAX($D91*INDEX(N$15:AB$81, MATCH($A91&amp;$C91, $D$15:$D$81,0),))/mill_conv</f>
        <v>0.12810850525871142</v>
      </c>
      <c r="O91" s="296" cm="1">
        <f t="array" ref="O91">MAX($D91*INDEX(O$15:AC$81, MATCH($A91&amp;$C91, $D$15:$D$81,0),))/mill_conv</f>
        <v>0.12810850525871142</v>
      </c>
      <c r="P91" s="296" cm="1">
        <f t="array" ref="P91">MAX($D91*INDEX(P$15:AD$81, MATCH($A91&amp;$C91, $D$15:$D$81,0),))/mill_conv</f>
        <v>0.12810850525871142</v>
      </c>
      <c r="Q91" s="296" cm="1">
        <f t="array" ref="Q91">MAX($D91*INDEX(Q$15:AE$81, MATCH($A91&amp;$C91, $D$15:$D$81,0),))/mill_conv</f>
        <v>0.12810850525871142</v>
      </c>
      <c r="R91" s="296" cm="1">
        <f t="array" ref="R91">MAX($D91*INDEX(R$15:AF$81, MATCH($A91&amp;$C91, $D$15:$D$81,0),))/mill_conv</f>
        <v>0.12810850525871142</v>
      </c>
      <c r="S91" s="296" cm="1">
        <f t="array" ref="S91">MAX($D91*INDEX(S$15:AG$81, MATCH($A91&amp;$C91, $D$15:$D$81,0),))/mill_conv</f>
        <v>0.12810850525871142</v>
      </c>
      <c r="T91" s="296" cm="1">
        <f t="array" ref="T91">MAX($D91*INDEX(T$15:AH$81, MATCH($A91&amp;$C91, $D$15:$D$81,0),))/mill_conv</f>
        <v>0.12810850525871142</v>
      </c>
      <c r="U91" s="296" cm="1">
        <f t="array" ref="U91">MAX($D91*INDEX(U$15:AI$81, MATCH($A91&amp;$C91, $D$15:$D$81,0),))/mill_conv</f>
        <v>0.12810850525871142</v>
      </c>
      <c r="V91" s="296" cm="1">
        <f t="array" ref="V91">MAX($D91*INDEX(V$15:AJ$81, MATCH($A91&amp;$C91, $D$15:$D$81,0),))/mill_conv</f>
        <v>0.12810850525871142</v>
      </c>
      <c r="W91" s="296" cm="1">
        <f t="array" ref="W91">MAX($D91*INDEX(W$15:AK$81, MATCH($A91&amp;$C91, $D$15:$D$81,0),))/mill_conv</f>
        <v>0.12810850525871142</v>
      </c>
      <c r="X91" s="296" cm="1">
        <f t="array" ref="X91">MAX($D91*INDEX(X$15:AL$81, MATCH($A91&amp;$C91, $D$15:$D$81,0),))/mill_conv</f>
        <v>0.12810850525871142</v>
      </c>
      <c r="Y91" s="296" cm="1">
        <f t="array" ref="Y91">MAX($D91*INDEX(Y$15:AM$81, MATCH($A91&amp;$C91, $D$15:$D$81,0),))/mill_conv</f>
        <v>0.12810850525871142</v>
      </c>
      <c r="Z91" s="296" cm="1">
        <f t="array" ref="Z91">MAX($D91*INDEX(Z$15:AN$81, MATCH($A91&amp;$C91, $D$15:$D$81,0),))/mill_conv</f>
        <v>0.12810850525871142</v>
      </c>
      <c r="AA91" s="296" cm="1">
        <f t="array" ref="AA91">MAX($D91*INDEX(AA$15:AO$81, MATCH($A91&amp;$C91, $D$15:$D$81,0),))/mill_conv</f>
        <v>0.12810850525871142</v>
      </c>
      <c r="AB91" s="296" cm="1">
        <f t="array" ref="AB91">MAX($D91*INDEX(AB$15:AP$81, MATCH($A91&amp;$C91, $D$15:$D$81,0),))/mill_conv</f>
        <v>0.12810850525871142</v>
      </c>
      <c r="AC91" s="296" cm="1">
        <f t="array" ref="AC91">MAX($D91*INDEX(AC$15:AQ$81, MATCH($A91&amp;$C91, $D$15:$D$81,0),))/mill_conv</f>
        <v>0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172</v>
      </c>
      <c r="D92" s="117">
        <f>INDEX(Data!$C$30:$C$36, MATCH(C92, Data!$B$30:$B$36,0))</f>
        <v>1</v>
      </c>
      <c r="E92" s="83"/>
      <c r="H92" s="118" t="str">
        <f>A92&amp;" risk cost"</f>
        <v>Option 1 (base case) risk cost</v>
      </c>
      <c r="I92" s="296">
        <f t="shared" ref="I92:R92" si="23">$D92*INDEX(I$15:I$81, MATCH($A92&amp;$C92, $D$15:$D$81,0))/mill_conv</f>
        <v>0.11922579496155272</v>
      </c>
      <c r="J92" s="296">
        <f t="shared" si="23"/>
        <v>0.12932668174995557</v>
      </c>
      <c r="K92" s="296">
        <f t="shared" si="23"/>
        <v>0.13245380649991503</v>
      </c>
      <c r="L92" s="296">
        <f t="shared" si="23"/>
        <v>0.13512863902451916</v>
      </c>
      <c r="M92" s="296">
        <f t="shared" si="23"/>
        <v>0.1380472548011823</v>
      </c>
      <c r="N92" s="296">
        <f t="shared" si="23"/>
        <v>0.14198525622105948</v>
      </c>
      <c r="O92" s="296">
        <f t="shared" si="23"/>
        <v>0.14766941824683974</v>
      </c>
      <c r="P92" s="296">
        <f t="shared" si="23"/>
        <v>0.1552373210560129</v>
      </c>
      <c r="Q92" s="296">
        <f t="shared" si="23"/>
        <v>0.16363699506588486</v>
      </c>
      <c r="R92" s="296">
        <f t="shared" si="23"/>
        <v>0.17482449016971116</v>
      </c>
      <c r="S92" s="296">
        <f t="shared" ref="S92:AG92" si="24">$D92*INDEX(S$15:S$81, MATCH($A92&amp;$C92, $D$15:$D$81,0))/mill_conv</f>
        <v>0.18968070771033929</v>
      </c>
      <c r="T92" s="296">
        <f t="shared" si="24"/>
        <v>0.20944245848655485</v>
      </c>
      <c r="U92" s="296">
        <f t="shared" si="24"/>
        <v>0.23585769339162729</v>
      </c>
      <c r="V92" s="296">
        <f t="shared" si="24"/>
        <v>0.27133945513795399</v>
      </c>
      <c r="W92" s="296">
        <f t="shared" si="24"/>
        <v>0.31923278798758681</v>
      </c>
      <c r="X92" s="296">
        <f t="shared" si="24"/>
        <v>0.38419316796450892</v>
      </c>
      <c r="Y92" s="296">
        <f t="shared" si="24"/>
        <v>0.45903128083636924</v>
      </c>
      <c r="Z92" s="296">
        <f t="shared" si="24"/>
        <v>0.5350465887896716</v>
      </c>
      <c r="AA92" s="296">
        <f t="shared" si="24"/>
        <v>0.56471041354193829</v>
      </c>
      <c r="AB92" s="296">
        <f t="shared" si="24"/>
        <v>0.59076919428702146</v>
      </c>
      <c r="AC92" s="296">
        <f t="shared" si="24"/>
        <v>0.62247102364549844</v>
      </c>
      <c r="AD92" s="296">
        <f t="shared" si="24"/>
        <v>0.62281818705816994</v>
      </c>
      <c r="AE92" s="296">
        <f t="shared" si="24"/>
        <v>0.62322195499179844</v>
      </c>
      <c r="AF92" s="296">
        <f t="shared" si="24"/>
        <v>0.623692159090113</v>
      </c>
      <c r="AG92" s="296">
        <f t="shared" si="24"/>
        <v>0.62424041041297262</v>
      </c>
    </row>
    <row r="93" spans="1:33" ht="12" x14ac:dyDescent="0.2">
      <c r="E93" s="83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3"/>
    </row>
    <row r="95" spans="1:33" ht="12" x14ac:dyDescent="0.2">
      <c r="E95" s="83"/>
    </row>
    <row r="96" spans="1:33" ht="12" x14ac:dyDescent="0.2">
      <c r="E96" s="83"/>
    </row>
    <row r="97" spans="1:33" ht="12" x14ac:dyDescent="0.2">
      <c r="E97" s="83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234</v>
      </c>
      <c r="B98" s="138"/>
      <c r="C98" s="195" t="s">
        <v>123</v>
      </c>
      <c r="D98" s="189">
        <f>MAX(H98:AG98)</f>
        <v>0</v>
      </c>
      <c r="E98" s="292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0</v>
      </c>
      <c r="J98" s="118">
        <f>INDEX('Option1 (base case)'!J$14:J$87, MATCH($C98, 'Option1 (base case)'!$C$14:$C$87,0))</f>
        <v>0</v>
      </c>
      <c r="K98" s="118">
        <f>INDEX('Option1 (base case)'!K$14:K$87, MATCH($C98, 'Option1 (base case)'!$C$14:$C$87,0))</f>
        <v>0</v>
      </c>
      <c r="L98" s="118">
        <f>INDEX('Option1 (base case)'!L$14:L$87, MATCH($C98, 'Option1 (base case)'!$C$14:$C$87,0))</f>
        <v>0</v>
      </c>
      <c r="M98" s="118">
        <f>INDEX('Option1 (base case)'!M$14:M$87, MATCH($C98, 'Option1 (base case)'!$C$14:$C$87,0))</f>
        <v>0</v>
      </c>
      <c r="N98" s="118">
        <f>INDEX('Option1 (base case)'!N$14:N$87, MATCH($C98, 'Option1 (base case)'!$C$14:$C$87,0))</f>
        <v>0</v>
      </c>
      <c r="O98" s="118">
        <f>INDEX('Option1 (base case)'!O$14:O$87, MATCH($C98, 'Option1 (base case)'!$C$14:$C$87,0))</f>
        <v>0</v>
      </c>
      <c r="P98" s="118">
        <f>INDEX('Option1 (base case)'!P$14:P$87, MATCH($C98, 'Option1 (base case)'!$C$14:$C$87,0))</f>
        <v>0</v>
      </c>
      <c r="Q98" s="118">
        <f>INDEX('Option1 (base case)'!Q$14:Q$87, MATCH($C98, 'Option1 (base case)'!$C$14:$C$87,0))</f>
        <v>0</v>
      </c>
      <c r="R98" s="118">
        <f>INDEX('Option1 (base case)'!R$14:R$87, MATCH($C98, 'Option1 (base case)'!$C$14:$C$87,0))</f>
        <v>0</v>
      </c>
      <c r="S98" s="118">
        <f>INDEX('Option1 (base case)'!S$14:S$87, MATCH($C98, 'Option1 (base case)'!$C$14:$C$87,0))</f>
        <v>0</v>
      </c>
      <c r="T98" s="118">
        <f>INDEX('Option1 (base case)'!T$14:T$87, MATCH($C98, 'Option1 (base case)'!$C$14:$C$87,0))</f>
        <v>0</v>
      </c>
      <c r="U98" s="118">
        <f>INDEX('Option1 (base case)'!U$14:U$87, MATCH($C98, 'Option1 (base case)'!$C$14:$C$87,0))</f>
        <v>0</v>
      </c>
      <c r="V98" s="118">
        <f>INDEX('Option1 (base case)'!V$14:V$87, MATCH($C98, 'Option1 (base case)'!$C$14:$C$87,0))</f>
        <v>0</v>
      </c>
      <c r="W98" s="118">
        <f>INDEX('Option1 (base case)'!W$14:W$87, MATCH($C98, 'Option1 (base case)'!$C$14:$C$87,0))</f>
        <v>0</v>
      </c>
      <c r="X98" s="118">
        <f>INDEX('Option1 (base case)'!X$14:X$87, MATCH($C98, 'Option1 (base case)'!$C$14:$C$87,0))</f>
        <v>0</v>
      </c>
      <c r="Y98" s="118">
        <f>INDEX('Option1 (base case)'!Y$14:Y$87, MATCH($C98, 'Option1 (base case)'!$C$14:$C$87,0))</f>
        <v>0</v>
      </c>
      <c r="Z98" s="118">
        <f>INDEX('Option1 (base case)'!Z$14:Z$87, MATCH($C98, 'Option1 (base case)'!$C$14:$C$87,0))</f>
        <v>0</v>
      </c>
      <c r="AA98" s="118">
        <f>INDEX('Option1 (base case)'!AA$14:AA$87, MATCH($C98, 'Option1 (base case)'!$C$14:$C$87,0))</f>
        <v>0</v>
      </c>
      <c r="AB98" s="118">
        <f>INDEX('Option1 (base case)'!AB$14:AB$87, MATCH($C98, 'Option1 (base case)'!$C$14:$C$87,0))</f>
        <v>0</v>
      </c>
      <c r="AC98" s="118">
        <f>INDEX('Option1 (base case)'!AC$14:AC$87, MATCH($C98, 'Option1 (base case)'!$C$14:$C$87,0))</f>
        <v>0</v>
      </c>
      <c r="AD98" s="118">
        <f>INDEX('Option1 (base case)'!AD$14:AD$87, MATCH($C98, 'Option1 (base case)'!$C$14:$C$87,0))</f>
        <v>0</v>
      </c>
      <c r="AE98" s="118">
        <f>INDEX('Option1 (base case)'!AE$14:AE$87, MATCH($C98, 'Option1 (base case)'!$C$14:$C$87,0))</f>
        <v>0</v>
      </c>
      <c r="AF98" s="118">
        <f>INDEX('Option1 (base case)'!AF$14:AF$87, MATCH($C98, 'Option1 (base case)'!$C$14:$C$87,0))</f>
        <v>0</v>
      </c>
      <c r="AG98" s="118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8"/>
      <c r="C99" s="196" t="s">
        <v>124</v>
      </c>
      <c r="D99" s="189">
        <f>MAX(H99:AG99)</f>
        <v>0.21268102512915579</v>
      </c>
      <c r="E99" s="292"/>
      <c r="H99" s="118" t="str">
        <f>A99&amp;" risk cost"</f>
        <v>Option 1 (base case) risk cost</v>
      </c>
      <c r="I99" s="118">
        <f>INDEX('Option1 (base case)'!I$14:I$87, MATCH($C99, 'Option1 (base case)'!$C$14:$C$87,0))/10^6</f>
        <v>6.265183518518419E-2</v>
      </c>
      <c r="J99" s="118">
        <f>INDEX('Option1 (base case)'!J$14:J$87, MATCH($C99, 'Option1 (base case)'!$C$14:$C$87,0))/10^6</f>
        <v>7.0757565448872739E-2</v>
      </c>
      <c r="K99" s="118">
        <f>INDEX('Option1 (base case)'!K$14:K$87, MATCH($C99, 'Option1 (base case)'!$C$14:$C$87,0))/10^6</f>
        <v>7.2315804867931044E-2</v>
      </c>
      <c r="L99" s="118">
        <f>INDEX('Option1 (base case)'!L$14:L$87, MATCH($C99, 'Option1 (base case)'!$C$14:$C$87,0))/10^6</f>
        <v>7.3067106443036212E-2</v>
      </c>
      <c r="M99" s="118">
        <f>INDEX('Option1 (base case)'!M$14:M$87, MATCH($C99, 'Option1 (base case)'!$C$14:$C$87,0))/10^6</f>
        <v>7.3501168606780631E-2</v>
      </c>
      <c r="N99" s="118">
        <f>INDEX('Option1 (base case)'!N$14:N$87, MATCH($C99, 'Option1 (base case)'!$C$14:$C$87,0))/10^6</f>
        <v>7.416893389898839E-2</v>
      </c>
      <c r="O99" s="118">
        <f>INDEX('Option1 (base case)'!O$14:O$87, MATCH($C99, 'Option1 (base case)'!$C$14:$C$87,0))/10^6</f>
        <v>7.5600152723208261E-2</v>
      </c>
      <c r="P99" s="118">
        <f>INDEX('Option1 (base case)'!P$14:P$87, MATCH($C99, 'Option1 (base case)'!$C$14:$C$87,0))/10^6</f>
        <v>7.767841430851509E-2</v>
      </c>
      <c r="Q99" s="118">
        <f>INDEX('Option1 (base case)'!Q$14:Q$87, MATCH($C99, 'Option1 (base case)'!$C$14:$C$87,0))/10^6</f>
        <v>7.9142574892390086E-2</v>
      </c>
      <c r="R99" s="118">
        <f>INDEX('Option1 (base case)'!R$14:R$87, MATCH($C99, 'Option1 (base case)'!$C$14:$C$87,0))/10^6</f>
        <v>8.1331118477011896E-2</v>
      </c>
      <c r="S99" s="118">
        <f>INDEX('Option1 (base case)'!S$14:S$87, MATCH($C99, 'Option1 (base case)'!$C$14:$C$87,0))/10^6</f>
        <v>8.4472402974647781E-2</v>
      </c>
      <c r="T99" s="118">
        <f>INDEX('Option1 (base case)'!T$14:T$87, MATCH($C99, 'Option1 (base case)'!$C$14:$C$87,0))/10^6</f>
        <v>8.895095652886148E-2</v>
      </c>
      <c r="U99" s="118">
        <f>INDEX('Option1 (base case)'!U$14:U$87, MATCH($C99, 'Option1 (base case)'!$C$14:$C$87,0))/10^6</f>
        <v>9.5353058052475279E-2</v>
      </c>
      <c r="V99" s="118">
        <f>INDEX('Option1 (base case)'!V$14:V$87, MATCH($C99, 'Option1 (base case)'!$C$14:$C$87,0))/10^6</f>
        <v>0.1045263292595681</v>
      </c>
      <c r="W99" s="118">
        <f>INDEX('Option1 (base case)'!W$14:W$87, MATCH($C99, 'Option1 (base case)'!$C$14:$C$87,0))/10^6</f>
        <v>0.11769739090330616</v>
      </c>
      <c r="X99" s="118">
        <f>INDEX('Option1 (base case)'!X$14:X$87, MATCH($C99, 'Option1 (base case)'!$C$14:$C$87,0))/10^6</f>
        <v>0.1366428093864927</v>
      </c>
      <c r="Y99" s="118">
        <f>INDEX('Option1 (base case)'!Y$14:Y$87, MATCH($C99, 'Option1 (base case)'!$C$14:$C$87,0))/10^6</f>
        <v>0.16393057482090725</v>
      </c>
      <c r="Z99" s="118">
        <f>INDEX('Option1 (base case)'!Z$14:Z$87, MATCH($C99, 'Option1 (base case)'!$C$14:$C$87,0))/10^6</f>
        <v>0.20328623359059073</v>
      </c>
      <c r="AA99" s="118">
        <f>INDEX('Option1 (base case)'!AA$14:AA$87, MATCH($C99, 'Option1 (base case)'!$C$14:$C$87,0))/10^6</f>
        <v>0.21057486199388589</v>
      </c>
      <c r="AB99" s="118">
        <f>INDEX('Option1 (base case)'!AB$14:AB$87, MATCH($C99, 'Option1 (base case)'!$C$14:$C$87,0))/10^6</f>
        <v>0.21112605384366434</v>
      </c>
      <c r="AC99" s="118">
        <f>INDEX('Option1 (base case)'!AC$14:AC$87, MATCH($C99, 'Option1 (base case)'!$C$14:$C$87,0))/10^6</f>
        <v>0.21179784358252293</v>
      </c>
      <c r="AD99" s="118">
        <f>INDEX('Option1 (base case)'!AD$14:AD$87, MATCH($C99, 'Option1 (base case)'!$C$14:$C$87,0))/10^6</f>
        <v>0.21196743629674741</v>
      </c>
      <c r="AE99" s="118">
        <f>INDEX('Option1 (base case)'!AE$14:AE$87, MATCH($C99, 'Option1 (base case)'!$C$14:$C$87,0))/10^6</f>
        <v>0.21216728000483068</v>
      </c>
      <c r="AF99" s="118">
        <f>INDEX('Option1 (base case)'!AF$14:AF$87, MATCH($C99, 'Option1 (base case)'!$C$14:$C$87,0))/10^6</f>
        <v>0.21240294010179095</v>
      </c>
      <c r="AG99" s="118">
        <f>INDEX('Option1 (base case)'!AG$14:AG$87, MATCH($C99, 'Option1 (base case)'!$C$14:$C$87,0))/10^6</f>
        <v>0.21268102512915579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3"/>
    </row>
    <row r="109" spans="1:33" ht="12" x14ac:dyDescent="0.2">
      <c r="C109" s="123"/>
      <c r="D109" s="189"/>
      <c r="E109" s="189"/>
    </row>
    <row r="110" spans="1:33" ht="12" x14ac:dyDescent="0.2">
      <c r="D110" s="189"/>
      <c r="E110" s="83"/>
    </row>
    <row r="111" spans="1:33" ht="12" x14ac:dyDescent="0.2">
      <c r="D111" s="189"/>
      <c r="E111" s="83"/>
    </row>
    <row r="112" spans="1:33" ht="12" x14ac:dyDescent="0.2">
      <c r="D112" s="189"/>
      <c r="E112" s="83"/>
    </row>
    <row r="113" spans="4:5" ht="12" x14ac:dyDescent="0.2">
      <c r="D113" s="189"/>
      <c r="E113" s="83"/>
    </row>
    <row r="114" spans="4:5" ht="12" x14ac:dyDescent="0.2">
      <c r="D114" s="189"/>
      <c r="E114" s="83"/>
    </row>
    <row r="115" spans="4:5" ht="12" x14ac:dyDescent="0.2">
      <c r="D115" s="189"/>
      <c r="E115" s="83"/>
    </row>
    <row r="116" spans="4:5" ht="12" x14ac:dyDescent="0.2">
      <c r="D116" s="189"/>
      <c r="E116" s="83"/>
    </row>
    <row r="117" spans="4:5" ht="12" x14ac:dyDescent="0.2">
      <c r="D117" s="189"/>
      <c r="E117" s="83"/>
    </row>
    <row r="118" spans="4:5" ht="12" x14ac:dyDescent="0.2">
      <c r="D118" s="189"/>
      <c r="E118" s="83"/>
    </row>
    <row r="119" spans="4:5" ht="12" x14ac:dyDescent="0.2">
      <c r="D119" s="189"/>
      <c r="E119" s="83"/>
    </row>
    <row r="120" spans="4:5" ht="12" x14ac:dyDescent="0.2">
      <c r="D120" s="189"/>
      <c r="E120" s="83"/>
    </row>
    <row r="121" spans="4:5" ht="12" x14ac:dyDescent="0.2">
      <c r="D121" s="189"/>
      <c r="E121" s="83"/>
    </row>
    <row r="122" spans="4:5" ht="12" x14ac:dyDescent="0.2">
      <c r="D122" s="189"/>
      <c r="E122" s="83"/>
    </row>
    <row r="123" spans="4:5" ht="12" x14ac:dyDescent="0.2">
      <c r="D123" s="189"/>
      <c r="E123" s="83"/>
    </row>
    <row r="124" spans="4:5" ht="12" x14ac:dyDescent="0.2">
      <c r="D124" s="189"/>
      <c r="E124" s="83"/>
    </row>
    <row r="125" spans="4:5" ht="12" x14ac:dyDescent="0.2">
      <c r="D125" s="189"/>
      <c r="E125" s="83"/>
    </row>
    <row r="126" spans="4:5" ht="12" x14ac:dyDescent="0.2">
      <c r="D126" s="189"/>
      <c r="E126" s="83"/>
    </row>
    <row r="127" spans="4:5" ht="12" x14ac:dyDescent="0.2">
      <c r="D127" s="189"/>
      <c r="E127" s="83"/>
    </row>
    <row r="128" spans="4:5" ht="12" x14ac:dyDescent="0.2">
      <c r="D128" s="189"/>
      <c r="E128" s="83"/>
    </row>
    <row r="129" spans="4:5" ht="12" x14ac:dyDescent="0.2">
      <c r="D129" s="189"/>
      <c r="E129" s="83"/>
    </row>
    <row r="130" spans="4:5" ht="12" x14ac:dyDescent="0.2">
      <c r="D130" s="189"/>
      <c r="E130" s="83"/>
    </row>
    <row r="131" spans="4:5" ht="12" x14ac:dyDescent="0.2">
      <c r="D131" s="189"/>
      <c r="E131" s="83"/>
    </row>
    <row r="132" spans="4:5" ht="12" x14ac:dyDescent="0.2">
      <c r="D132" s="189"/>
      <c r="E132" s="83"/>
    </row>
    <row r="133" spans="4:5" ht="12" x14ac:dyDescent="0.2">
      <c r="D133" s="189"/>
      <c r="E133" s="83"/>
    </row>
    <row r="134" spans="4:5" ht="12" x14ac:dyDescent="0.2">
      <c r="D134" s="189"/>
      <c r="E134" s="83"/>
    </row>
    <row r="135" spans="4:5" ht="12" x14ac:dyDescent="0.2">
      <c r="D135" s="189"/>
      <c r="E135" s="83"/>
    </row>
    <row r="136" spans="4:5" ht="12" x14ac:dyDescent="0.2">
      <c r="D136" s="189"/>
      <c r="E136" s="83"/>
    </row>
    <row r="137" spans="4:5" ht="12" x14ac:dyDescent="0.2">
      <c r="D137" s="189"/>
      <c r="E137" s="83"/>
    </row>
    <row r="138" spans="4:5" ht="12" x14ac:dyDescent="0.2">
      <c r="E138" s="83"/>
    </row>
    <row r="139" spans="4:5" ht="12" x14ac:dyDescent="0.2">
      <c r="E139" s="83"/>
    </row>
    <row r="140" spans="4:5" ht="12" x14ac:dyDescent="0.2">
      <c r="E140" s="83"/>
    </row>
    <row r="141" spans="4:5" ht="12" x14ac:dyDescent="0.2">
      <c r="E141" s="83"/>
    </row>
    <row r="142" spans="4:5" ht="12" x14ac:dyDescent="0.2">
      <c r="E142" s="83"/>
    </row>
    <row r="143" spans="4:5" ht="12" x14ac:dyDescent="0.2">
      <c r="E143" s="83"/>
    </row>
    <row r="144" spans="4:5" ht="12" x14ac:dyDescent="0.2">
      <c r="E144" s="83"/>
    </row>
    <row r="145" spans="5:5" ht="12" x14ac:dyDescent="0.2">
      <c r="E145" s="83"/>
    </row>
    <row r="146" spans="5:5" ht="12" x14ac:dyDescent="0.2">
      <c r="E146" s="83"/>
    </row>
    <row r="147" spans="5:5" ht="12" x14ac:dyDescent="0.2">
      <c r="E147" s="83"/>
    </row>
    <row r="148" spans="5:5" ht="12" x14ac:dyDescent="0.2">
      <c r="E148" s="83"/>
    </row>
    <row r="149" spans="5:5" ht="12" x14ac:dyDescent="0.2">
      <c r="E149" s="83"/>
    </row>
    <row r="150" spans="5:5" ht="12" x14ac:dyDescent="0.2">
      <c r="E150" s="83"/>
    </row>
    <row r="151" spans="5:5" ht="12" x14ac:dyDescent="0.2">
      <c r="E151" s="83"/>
    </row>
    <row r="152" spans="5:5" ht="12" x14ac:dyDescent="0.2">
      <c r="E152" s="83"/>
    </row>
    <row r="153" spans="5:5" ht="12" x14ac:dyDescent="0.2">
      <c r="E153" s="83"/>
    </row>
    <row r="154" spans="5:5" ht="12" x14ac:dyDescent="0.2">
      <c r="E154" s="83"/>
    </row>
    <row r="155" spans="5:5" ht="12" x14ac:dyDescent="0.2">
      <c r="E155" s="83"/>
    </row>
    <row r="156" spans="5:5" ht="12" x14ac:dyDescent="0.2">
      <c r="E156" s="83"/>
    </row>
    <row r="157" spans="5:5" ht="12" x14ac:dyDescent="0.2">
      <c r="E157" s="83"/>
    </row>
    <row r="158" spans="5:5" ht="12" x14ac:dyDescent="0.2">
      <c r="E158" s="83"/>
    </row>
    <row r="159" spans="5:5" ht="12" x14ac:dyDescent="0.2">
      <c r="E159" s="83"/>
    </row>
    <row r="160" spans="5:5" ht="12" x14ac:dyDescent="0.2">
      <c r="E160" s="83"/>
    </row>
    <row r="161" spans="5:5" ht="12" x14ac:dyDescent="0.2">
      <c r="E161" s="83"/>
    </row>
    <row r="162" spans="5:5" ht="12" x14ac:dyDescent="0.2">
      <c r="E162" s="83"/>
    </row>
    <row r="163" spans="5:5" ht="12" x14ac:dyDescent="0.2">
      <c r="E163" s="83"/>
    </row>
    <row r="164" spans="5:5" ht="12" x14ac:dyDescent="0.2">
      <c r="E164" s="83"/>
    </row>
    <row r="165" spans="5:5" ht="12" x14ac:dyDescent="0.2">
      <c r="E165" s="83"/>
    </row>
    <row r="166" spans="5:5" ht="12" x14ac:dyDescent="0.2">
      <c r="E166" s="83"/>
    </row>
    <row r="167" spans="5:5" ht="12" x14ac:dyDescent="0.2">
      <c r="E167" s="83"/>
    </row>
    <row r="168" spans="5:5" ht="12" x14ac:dyDescent="0.2">
      <c r="E168" s="83"/>
    </row>
    <row r="169" spans="5:5" ht="12" x14ac:dyDescent="0.2">
      <c r="E169" s="83"/>
    </row>
    <row r="170" spans="5:5" ht="12" x14ac:dyDescent="0.2">
      <c r="E170" s="83"/>
    </row>
    <row r="171" spans="5:5" ht="12" x14ac:dyDescent="0.2">
      <c r="E171" s="83"/>
    </row>
    <row r="172" spans="5:5" ht="12" x14ac:dyDescent="0.2">
      <c r="E172" s="83"/>
    </row>
    <row r="173" spans="5:5" ht="12" x14ac:dyDescent="0.2">
      <c r="E173" s="83"/>
    </row>
    <row r="174" spans="5:5" ht="12" x14ac:dyDescent="0.2">
      <c r="E174" s="83"/>
    </row>
    <row r="175" spans="5:5" ht="12" x14ac:dyDescent="0.2">
      <c r="E175" s="83"/>
    </row>
    <row r="176" spans="5:5" ht="12" x14ac:dyDescent="0.2">
      <c r="E176" s="83"/>
    </row>
    <row r="177" spans="5:5" ht="12" x14ac:dyDescent="0.2">
      <c r="E177" s="83"/>
    </row>
    <row r="178" spans="5:5" ht="12" x14ac:dyDescent="0.2">
      <c r="E178" s="83"/>
    </row>
    <row r="179" spans="5:5" ht="12" x14ac:dyDescent="0.2">
      <c r="E179" s="83"/>
    </row>
    <row r="180" spans="5:5" ht="12" x14ac:dyDescent="0.2">
      <c r="E180" s="83"/>
    </row>
    <row r="181" spans="5:5" ht="12" x14ac:dyDescent="0.2">
      <c r="E181" s="83"/>
    </row>
    <row r="182" spans="5:5" ht="12" x14ac:dyDescent="0.2">
      <c r="E182" s="83"/>
    </row>
    <row r="183" spans="5:5" ht="12" x14ac:dyDescent="0.2">
      <c r="E183" s="83"/>
    </row>
    <row r="184" spans="5:5" ht="12" x14ac:dyDescent="0.2">
      <c r="E184" s="83"/>
    </row>
    <row r="185" spans="5:5" ht="12" x14ac:dyDescent="0.2">
      <c r="E185" s="83"/>
    </row>
    <row r="186" spans="5:5" ht="12" x14ac:dyDescent="0.2">
      <c r="E186" s="83"/>
    </row>
    <row r="187" spans="5:5" ht="12" x14ac:dyDescent="0.2">
      <c r="E187" s="83"/>
    </row>
    <row r="188" spans="5:5" ht="12" x14ac:dyDescent="0.2">
      <c r="E188" s="83"/>
    </row>
    <row r="189" spans="5:5" ht="12" x14ac:dyDescent="0.2">
      <c r="E189" s="83"/>
    </row>
    <row r="190" spans="5:5" ht="12" x14ac:dyDescent="0.2">
      <c r="E190" s="83"/>
    </row>
    <row r="191" spans="5:5" ht="12" x14ac:dyDescent="0.2">
      <c r="E191" s="83"/>
    </row>
    <row r="192" spans="5:5" ht="12" x14ac:dyDescent="0.2">
      <c r="E192" s="83"/>
    </row>
    <row r="193" spans="5:5" ht="12" x14ac:dyDescent="0.2">
      <c r="E193" s="83"/>
    </row>
    <row r="194" spans="5:5" ht="12" x14ac:dyDescent="0.2">
      <c r="E194" s="83"/>
    </row>
    <row r="195" spans="5:5" ht="12" x14ac:dyDescent="0.2">
      <c r="E195" s="83"/>
    </row>
    <row r="196" spans="5:5" ht="12" x14ac:dyDescent="0.2">
      <c r="E196" s="83"/>
    </row>
    <row r="197" spans="5:5" ht="12" x14ac:dyDescent="0.2">
      <c r="E197" s="83"/>
    </row>
    <row r="198" spans="5:5" ht="12" x14ac:dyDescent="0.2">
      <c r="E198" s="83"/>
    </row>
    <row r="199" spans="5:5" ht="12" x14ac:dyDescent="0.2">
      <c r="E199" s="83"/>
    </row>
    <row r="200" spans="5:5" ht="12" x14ac:dyDescent="0.2">
      <c r="E200" s="83"/>
    </row>
    <row r="201" spans="5:5" ht="12" x14ac:dyDescent="0.2">
      <c r="E201" s="83"/>
    </row>
    <row r="202" spans="5:5" ht="12" x14ac:dyDescent="0.2">
      <c r="E202" s="83"/>
    </row>
    <row r="203" spans="5:5" ht="12" x14ac:dyDescent="0.2">
      <c r="E203" s="83"/>
    </row>
    <row r="204" spans="5:5" ht="12" x14ac:dyDescent="0.2">
      <c r="E204" s="83"/>
    </row>
    <row r="205" spans="5:5" ht="12" x14ac:dyDescent="0.2">
      <c r="E205" s="83"/>
    </row>
    <row r="206" spans="5:5" ht="12" x14ac:dyDescent="0.2">
      <c r="E206" s="83"/>
    </row>
    <row r="207" spans="5:5" ht="12" x14ac:dyDescent="0.2">
      <c r="E207" s="83"/>
    </row>
    <row r="208" spans="5:5" ht="12" x14ac:dyDescent="0.2">
      <c r="E208" s="83"/>
    </row>
    <row r="209" spans="5:5" ht="12" x14ac:dyDescent="0.2">
      <c r="E209" s="83"/>
    </row>
    <row r="210" spans="5:5" ht="12" x14ac:dyDescent="0.2">
      <c r="E210" s="83"/>
    </row>
    <row r="211" spans="5:5" ht="12" x14ac:dyDescent="0.2">
      <c r="E211" s="83"/>
    </row>
    <row r="212" spans="5:5" ht="12" x14ac:dyDescent="0.2">
      <c r="E212" s="83"/>
    </row>
    <row r="213" spans="5:5" ht="12" x14ac:dyDescent="0.2">
      <c r="E213" s="83"/>
    </row>
    <row r="214" spans="5:5" ht="12" x14ac:dyDescent="0.2">
      <c r="E214" s="83"/>
    </row>
    <row r="215" spans="5:5" ht="12" x14ac:dyDescent="0.2">
      <c r="E215" s="83"/>
    </row>
    <row r="216" spans="5:5" ht="12" x14ac:dyDescent="0.2">
      <c r="E216" s="83"/>
    </row>
    <row r="217" spans="5:5" ht="12" x14ac:dyDescent="0.2">
      <c r="E217" s="83"/>
    </row>
    <row r="218" spans="5:5" ht="12" x14ac:dyDescent="0.2">
      <c r="E218" s="83"/>
    </row>
    <row r="219" spans="5:5" ht="12" x14ac:dyDescent="0.2">
      <c r="E219" s="83"/>
    </row>
    <row r="220" spans="5:5" ht="12" x14ac:dyDescent="0.2">
      <c r="E220" s="83"/>
    </row>
    <row r="221" spans="5:5" ht="12" x14ac:dyDescent="0.2">
      <c r="E221" s="83"/>
    </row>
    <row r="222" spans="5:5" ht="12" x14ac:dyDescent="0.2">
      <c r="E222" s="83"/>
    </row>
    <row r="223" spans="5:5" ht="12" x14ac:dyDescent="0.2">
      <c r="E223" s="83"/>
    </row>
    <row r="224" spans="5:5" ht="12" x14ac:dyDescent="0.2">
      <c r="E224" s="83"/>
    </row>
    <row r="225" spans="5:5" ht="12" x14ac:dyDescent="0.2">
      <c r="E225" s="83"/>
    </row>
    <row r="226" spans="5:5" ht="12" x14ac:dyDescent="0.2">
      <c r="E226" s="83"/>
    </row>
    <row r="227" spans="5:5" ht="12" x14ac:dyDescent="0.2">
      <c r="E227" s="83"/>
    </row>
    <row r="228" spans="5:5" ht="12" x14ac:dyDescent="0.2">
      <c r="E228" s="83"/>
    </row>
    <row r="229" spans="5:5" ht="12" x14ac:dyDescent="0.2">
      <c r="E229" s="83"/>
    </row>
    <row r="230" spans="5:5" ht="12" x14ac:dyDescent="0.2">
      <c r="E230" s="83"/>
    </row>
    <row r="231" spans="5:5" ht="12" x14ac:dyDescent="0.2">
      <c r="E231" s="83"/>
    </row>
    <row r="232" spans="5:5" ht="12" x14ac:dyDescent="0.2">
      <c r="E232" s="83"/>
    </row>
    <row r="233" spans="5:5" ht="12" x14ac:dyDescent="0.2">
      <c r="E233" s="83"/>
    </row>
    <row r="234" spans="5:5" ht="12" x14ac:dyDescent="0.2">
      <c r="E234" s="83"/>
    </row>
    <row r="235" spans="5:5" ht="12" x14ac:dyDescent="0.2">
      <c r="E235" s="83"/>
    </row>
    <row r="236" spans="5:5" ht="12" x14ac:dyDescent="0.2">
      <c r="E236" s="83"/>
    </row>
    <row r="237" spans="5:5" ht="12" x14ac:dyDescent="0.2">
      <c r="E237" s="83"/>
    </row>
    <row r="238" spans="5:5" ht="12" x14ac:dyDescent="0.2">
      <c r="E238" s="83"/>
    </row>
    <row r="239" spans="5:5" ht="12" x14ac:dyDescent="0.2">
      <c r="E239" s="83"/>
    </row>
    <row r="240" spans="5:5" ht="12" x14ac:dyDescent="0.2">
      <c r="E240" s="83"/>
    </row>
    <row r="241" spans="5:5" ht="12" x14ac:dyDescent="0.2">
      <c r="E241" s="83"/>
    </row>
    <row r="242" spans="5:5" ht="12" x14ac:dyDescent="0.2">
      <c r="E242" s="83"/>
    </row>
    <row r="243" spans="5:5" ht="12" x14ac:dyDescent="0.2">
      <c r="E243" s="83"/>
    </row>
    <row r="244" spans="5:5" ht="12" x14ac:dyDescent="0.2">
      <c r="E244" s="83"/>
    </row>
    <row r="245" spans="5:5" ht="12" x14ac:dyDescent="0.2">
      <c r="E245" s="83"/>
    </row>
    <row r="246" spans="5:5" ht="12" x14ac:dyDescent="0.2">
      <c r="E246" s="83"/>
    </row>
    <row r="247" spans="5:5" ht="12" x14ac:dyDescent="0.2">
      <c r="E247" s="83"/>
    </row>
    <row r="248" spans="5:5" ht="12" x14ac:dyDescent="0.2">
      <c r="E248" s="83"/>
    </row>
    <row r="249" spans="5:5" ht="12" x14ac:dyDescent="0.2">
      <c r="E249" s="83"/>
    </row>
    <row r="250" spans="5:5" ht="12" x14ac:dyDescent="0.2">
      <c r="E250" s="83"/>
    </row>
    <row r="251" spans="5:5" ht="12" x14ac:dyDescent="0.2">
      <c r="E251" s="83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6" s="8" customFormat="1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396"/>
      <c r="AI1" s="396"/>
      <c r="AJ1" s="396"/>
    </row>
    <row r="2" spans="1:36" s="8" customFormat="1" ht="18.75" x14ac:dyDescent="0.3">
      <c r="A2" s="55" t="str">
        <f>proj</f>
        <v>R switchboard and relay retirement</v>
      </c>
      <c r="B2" s="55"/>
      <c r="C2" s="55"/>
      <c r="D2" s="5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96"/>
      <c r="AI2" s="396"/>
      <c r="AJ2" s="396"/>
    </row>
    <row r="3" spans="1:36" s="2" customFormat="1" ht="18.75" x14ac:dyDescent="0.3">
      <c r="A3" s="202" t="s">
        <v>222</v>
      </c>
      <c r="B3" s="5"/>
      <c r="D3" s="33"/>
      <c r="E3" s="33"/>
      <c r="F3" s="3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6" s="2" customFormat="1" ht="6.75" customHeight="1" x14ac:dyDescent="0.2">
      <c r="A4" s="114"/>
      <c r="B4" s="114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6" s="2" customFormat="1" hidden="1" outlineLevel="1" x14ac:dyDescent="0.2">
      <c r="A5" s="115" t="s">
        <v>194</v>
      </c>
      <c r="B5" s="115"/>
      <c r="D5" s="116"/>
      <c r="E5" s="115"/>
      <c r="F5" s="115"/>
      <c r="G5" s="100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6" s="2" customFormat="1" hidden="1" outlineLevel="1" x14ac:dyDescent="0.2">
      <c r="A6" s="188" t="str">
        <f>'Option1 (base case)'!A6</f>
        <v>Count</v>
      </c>
      <c r="B6" s="115"/>
      <c r="D6" s="116"/>
      <c r="E6" s="115"/>
      <c r="F6" s="115"/>
      <c r="G6" s="100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6" s="2" customFormat="1" hidden="1" outlineLevel="1" x14ac:dyDescent="0.2">
      <c r="A7" s="115" t="s">
        <v>195</v>
      </c>
      <c r="B7" s="115"/>
      <c r="D7" s="116"/>
      <c r="E7" s="115"/>
      <c r="F7" s="115"/>
      <c r="G7" s="100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0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6" s="2" customFormat="1" ht="4.5" customHeight="1" collapsed="1" x14ac:dyDescent="0.2"/>
    <row r="9" spans="1:36" s="2" customFormat="1" ht="15" x14ac:dyDescent="0.25">
      <c r="A9" s="18"/>
      <c r="B9" s="18"/>
      <c r="C9" s="18"/>
      <c r="D9" s="18"/>
      <c r="E9" s="18"/>
      <c r="F9" s="82"/>
      <c r="G9" s="19"/>
      <c r="H9" s="318">
        <f>'Option1 (base case)'!H9</f>
        <v>46203</v>
      </c>
      <c r="I9" s="19" t="str">
        <f>'Option1 (base case)'!I9</f>
        <v>2026-27</v>
      </c>
      <c r="J9" s="19" t="str">
        <f>'Option1 (base case)'!J9</f>
        <v>2027-28</v>
      </c>
      <c r="K9" s="19" t="str">
        <f>'Option1 (base case)'!K9</f>
        <v>2028-29</v>
      </c>
      <c r="L9" s="19" t="str">
        <f>'Option1 (base case)'!L9</f>
        <v>2029-30</v>
      </c>
      <c r="M9" s="19" t="str">
        <f>'Option1 (base case)'!M9</f>
        <v>2030-31</v>
      </c>
      <c r="N9" s="19" t="str">
        <f>'Option1 (base case)'!N9</f>
        <v>2031-32</v>
      </c>
      <c r="O9" s="19" t="str">
        <f>'Option1 (base case)'!O9</f>
        <v>2032-33</v>
      </c>
      <c r="P9" s="19" t="str">
        <f>'Option1 (base case)'!P9</f>
        <v>2033-34</v>
      </c>
      <c r="Q9" s="19" t="str">
        <f>'Option1 (base case)'!Q9</f>
        <v>2034-35</v>
      </c>
      <c r="R9" s="19" t="str">
        <f>'Option1 (base case)'!R9</f>
        <v>2035-36</v>
      </c>
      <c r="S9" s="19" t="str">
        <f>'Option1 (base case)'!S9</f>
        <v>2036-37</v>
      </c>
      <c r="T9" s="19" t="str">
        <f>'Option1 (base case)'!T9</f>
        <v>2037-38</v>
      </c>
      <c r="U9" s="19" t="str">
        <f>'Option1 (base case)'!U9</f>
        <v>2038-39</v>
      </c>
      <c r="V9" s="19" t="str">
        <f>'Option1 (base case)'!V9</f>
        <v>2039-40</v>
      </c>
      <c r="W9" s="19" t="str">
        <f>'Option1 (base case)'!W9</f>
        <v>2040-41</v>
      </c>
      <c r="X9" s="19" t="str">
        <f>'Option1 (base case)'!X9</f>
        <v>2041-42</v>
      </c>
      <c r="Y9" s="19" t="str">
        <f>'Option1 (base case)'!Y9</f>
        <v>2042-43</v>
      </c>
      <c r="Z9" s="19" t="str">
        <f>'Option1 (base case)'!Z9</f>
        <v>2043-44</v>
      </c>
      <c r="AA9" s="19" t="str">
        <f>'Option1 (base case)'!AA9</f>
        <v>2044-45</v>
      </c>
      <c r="AB9" s="19" t="str">
        <f>'Option1 (base case)'!AB9</f>
        <v>2045-46</v>
      </c>
      <c r="AC9" s="19" t="str">
        <f>'Option1 (base case)'!AC9</f>
        <v>2046-47</v>
      </c>
      <c r="AD9" s="19" t="str">
        <f>'Option1 (base case)'!AD9</f>
        <v>2047-48</v>
      </c>
      <c r="AE9" s="19" t="str">
        <f>'Option1 (base case)'!AE9</f>
        <v>2048-49</v>
      </c>
      <c r="AF9" s="19" t="str">
        <f>'Option1 (base case)'!AF9</f>
        <v>2049-50</v>
      </c>
      <c r="AG9" s="19" t="str">
        <f>'Option1 (base case)'!AG9</f>
        <v>2050-51</v>
      </c>
    </row>
    <row r="10" spans="1:36" s="2" customFormat="1" x14ac:dyDescent="0.2">
      <c r="D10" s="117"/>
      <c r="E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6" s="2" customFormat="1" ht="15" x14ac:dyDescent="0.2">
      <c r="A11" s="119"/>
      <c r="B11" s="119"/>
      <c r="C11" s="119"/>
      <c r="D11" s="120"/>
      <c r="E11" s="120"/>
      <c r="F11" s="69" t="s">
        <v>153</v>
      </c>
      <c r="G11" s="221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6" s="7" customFormat="1" x14ac:dyDescent="0.2">
      <c r="A12" s="244"/>
      <c r="B12" s="244"/>
      <c r="C12" s="244"/>
      <c r="D12" s="244"/>
      <c r="E12" s="244"/>
      <c r="F12" s="244"/>
      <c r="G12" s="24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>
        <f>Consol!AA36</f>
        <v>248114.64358765163</v>
      </c>
      <c r="AA12" s="30">
        <f>Consol!AB36</f>
        <v>197881.93640801942</v>
      </c>
      <c r="AB12" s="30">
        <f>Consol!AC36</f>
        <v>0</v>
      </c>
      <c r="AC12" s="30">
        <f>Consol!AD36</f>
        <v>0</v>
      </c>
      <c r="AD12" s="30">
        <f>Consol!AE36</f>
        <v>0</v>
      </c>
      <c r="AE12" s="30">
        <f>Consol!AF36</f>
        <v>0</v>
      </c>
      <c r="AF12" s="30">
        <f>Consol!AG36</f>
        <v>0</v>
      </c>
      <c r="AG12" s="245"/>
    </row>
    <row r="13" spans="1:36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6" s="7" customFormat="1" x14ac:dyDescent="0.2">
      <c r="A14" s="252" t="s">
        <v>142</v>
      </c>
      <c r="B14" s="252" t="s">
        <v>119</v>
      </c>
      <c r="C14" s="252" t="s">
        <v>188</v>
      </c>
      <c r="D14" s="252" t="str">
        <f>A14&amp;B14</f>
        <v>OPTION 1 (base case)NPV</v>
      </c>
      <c r="E14" s="253"/>
      <c r="F14" s="30">
        <f>SUMPRODUCT($H14:$AG14, $H$5:$AG$5)</f>
        <v>0</v>
      </c>
      <c r="G14" s="245"/>
      <c r="H14" s="30">
        <f>'Option1 (base case)'!I87*conv_2026</f>
        <v>0</v>
      </c>
      <c r="I14" s="30">
        <f>'Option1 (base case)'!J87*conv_2026</f>
        <v>0</v>
      </c>
      <c r="J14" s="30">
        <f>'Option1 (base case)'!K87*conv_2026</f>
        <v>0</v>
      </c>
      <c r="K14" s="30">
        <f>'Option1 (base case)'!L87*conv_2026</f>
        <v>0</v>
      </c>
      <c r="L14" s="30">
        <f>'Option1 (base case)'!M87*conv_2026</f>
        <v>0</v>
      </c>
      <c r="M14" s="30">
        <f>'Option1 (base case)'!N87*conv_2026</f>
        <v>0</v>
      </c>
      <c r="N14" s="30">
        <f>'Option1 (base case)'!O87*conv_2026</f>
        <v>0</v>
      </c>
      <c r="O14" s="30">
        <f>'Option1 (base case)'!P87*conv_2026</f>
        <v>0</v>
      </c>
      <c r="P14" s="30">
        <f>'Option1 (base case)'!Q87*conv_2026</f>
        <v>0</v>
      </c>
      <c r="Q14" s="30">
        <f>'Option1 (base case)'!R87*conv_2026</f>
        <v>0</v>
      </c>
      <c r="R14" s="30">
        <f>'Option1 (base case)'!S87*conv_2026</f>
        <v>0</v>
      </c>
      <c r="S14" s="30">
        <f>'Option1 (base case)'!T87*conv_2026</f>
        <v>0</v>
      </c>
      <c r="T14" s="30">
        <f>'Option1 (base case)'!U87*conv_2026</f>
        <v>0</v>
      </c>
      <c r="U14" s="30">
        <f>'Option1 (base case)'!V87*conv_2026</f>
        <v>0</v>
      </c>
      <c r="V14" s="30">
        <f>'Option1 (base case)'!W87*conv_2026</f>
        <v>0</v>
      </c>
      <c r="W14" s="30">
        <f>'Option1 (base case)'!X87*conv_2026</f>
        <v>0</v>
      </c>
      <c r="X14" s="30">
        <f>'Option1 (base case)'!Y87*conv_2026</f>
        <v>0</v>
      </c>
      <c r="Y14" s="30">
        <f>'Option1 (base case)'!Z87*conv_2026</f>
        <v>0</v>
      </c>
      <c r="Z14" s="30">
        <f>'Option1 (base case)'!AA87*conv_2026</f>
        <v>0</v>
      </c>
      <c r="AA14" s="30">
        <f>'Option1 (base case)'!AB87*conv_2026</f>
        <v>0</v>
      </c>
      <c r="AB14" s="30">
        <f>'Option1 (base case)'!AC87*conv_2026</f>
        <v>0</v>
      </c>
      <c r="AC14" s="30">
        <f>'Option1 (base case)'!AD87*conv_2026</f>
        <v>0</v>
      </c>
      <c r="AD14" s="30">
        <f>'Option1 (base case)'!AE87*conv_2026</f>
        <v>0</v>
      </c>
      <c r="AE14" s="30">
        <f>'Option1 (base case)'!AF87*conv_2026</f>
        <v>0</v>
      </c>
      <c r="AF14" s="30">
        <f>'Option1 (base case)'!AG87*conv_2026</f>
        <v>0</v>
      </c>
      <c r="AG14" s="30">
        <f>'Option1 (base case)'!AH87*conv_2026</f>
        <v>0</v>
      </c>
    </row>
    <row r="15" spans="1:36" s="7" customFormat="1" x14ac:dyDescent="0.2">
      <c r="A15" s="244"/>
      <c r="B15" s="244"/>
      <c r="C15" s="244"/>
      <c r="D15" s="244"/>
      <c r="E15" s="244"/>
      <c r="F15" s="244"/>
      <c r="G15" s="245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6" s="7" customFormat="1" x14ac:dyDescent="0.2">
      <c r="A16" s="252" t="s">
        <v>142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0">
        <f>SUMPRODUCT($H16:$AG16, $H$5:$AG$5)</f>
        <v>0</v>
      </c>
      <c r="G16" s="245"/>
      <c r="H16" s="30">
        <f>(INDEX('Option1 (base case)'!H$106:H$117, MATCH($D16, 'Option1 (base case)'!$G$106:$G$117,0)))*conv_2026*H$7</f>
        <v>0</v>
      </c>
      <c r="I16" s="30">
        <f>(INDEX('Option1 (base case)'!I$106:I$117, MATCH($D16, 'Option1 (base case)'!$G$106:$G$117,0)))*conv_2026*I$7</f>
        <v>0</v>
      </c>
      <c r="J16" s="30">
        <f>(INDEX('Option1 (base case)'!J$106:J$117, MATCH($D16, 'Option1 (base case)'!$G$106:$G$117,0)))*conv_2026*J$7</f>
        <v>0</v>
      </c>
      <c r="K16" s="30">
        <f>(INDEX('Option1 (base case)'!K$106:K$117, MATCH($D16, 'Option1 (base case)'!$G$106:$G$117,0)))*conv_2026*K$7</f>
        <v>0</v>
      </c>
      <c r="L16" s="30">
        <f>(INDEX('Option1 (base case)'!L$106:L$117, MATCH($D16, 'Option1 (base case)'!$G$106:$G$117,0)))*conv_2026*L$7</f>
        <v>0</v>
      </c>
      <c r="M16" s="30">
        <f>(INDEX('Option1 (base case)'!M$106:M$117, MATCH($D16, 'Option1 (base case)'!$G$106:$G$117,0)))*conv_2026*M$7</f>
        <v>0</v>
      </c>
      <c r="N16" s="30">
        <f>(INDEX('Option1 (base case)'!N$106:N$117, MATCH($D16, 'Option1 (base case)'!$G$106:$G$117,0)))*conv_2026*N$7</f>
        <v>0</v>
      </c>
      <c r="O16" s="30">
        <f>(INDEX('Option1 (base case)'!O$106:O$117, MATCH($D16, 'Option1 (base case)'!$G$106:$G$117,0)))*conv_2026*O$7</f>
        <v>0</v>
      </c>
      <c r="P16" s="30">
        <f>(INDEX('Option1 (base case)'!P$106:P$117, MATCH($D16, 'Option1 (base case)'!$G$106:$G$117,0)))*conv_2026*P$7</f>
        <v>0</v>
      </c>
      <c r="Q16" s="30">
        <f>(INDEX('Option1 (base case)'!Q$106:Q$117, MATCH($D16, 'Option1 (base case)'!$G$106:$G$117,0)))*conv_2026*Q$7</f>
        <v>0</v>
      </c>
      <c r="R16" s="30">
        <f>(INDEX('Option1 (base case)'!R$106:R$117, MATCH($D16, 'Option1 (base case)'!$G$106:$G$117,0)))*conv_2026*R$7</f>
        <v>0</v>
      </c>
      <c r="S16" s="30">
        <f>(INDEX('Option1 (base case)'!S$106:S$117, MATCH($D16, 'Option1 (base case)'!$G$106:$G$117,0)))*conv_2026*S$7</f>
        <v>0</v>
      </c>
      <c r="T16" s="30">
        <f>(INDEX('Option1 (base case)'!T$106:T$117, MATCH($D16, 'Option1 (base case)'!$G$106:$G$117,0)))*conv_2026*T$7</f>
        <v>0</v>
      </c>
      <c r="U16" s="30">
        <f>(INDEX('Option1 (base case)'!U$106:U$117, MATCH($D16, 'Option1 (base case)'!$G$106:$G$117,0)))*conv_2026*U$7</f>
        <v>0</v>
      </c>
      <c r="V16" s="30">
        <f>(INDEX('Option1 (base case)'!V$106:V$117, MATCH($D16, 'Option1 (base case)'!$G$106:$G$117,0)))*conv_2026*V$7</f>
        <v>0</v>
      </c>
      <c r="W16" s="30">
        <f>(INDEX('Option1 (base case)'!W$106:W$117, MATCH($D16, 'Option1 (base case)'!$G$106:$G$117,0)))*conv_2026*W$7</f>
        <v>0</v>
      </c>
      <c r="X16" s="30">
        <f>(INDEX('Option1 (base case)'!X$106:X$117, MATCH($D16, 'Option1 (base case)'!$G$106:$G$117,0)))*conv_2026*X$7</f>
        <v>0</v>
      </c>
      <c r="Y16" s="30">
        <f>(INDEX('Option1 (base case)'!Y$106:Y$117, MATCH($D16, 'Option1 (base case)'!$G$106:$G$117,0)))*conv_2026*Y$7</f>
        <v>0</v>
      </c>
      <c r="Z16" s="30">
        <f>(INDEX('Option1 (base case)'!Z$106:Z$117, MATCH($D16, 'Option1 (base case)'!$G$106:$G$117,0)))*conv_2026*Z$7</f>
        <v>0</v>
      </c>
      <c r="AA16" s="30">
        <f>(INDEX('Option1 (base case)'!AA$106:AA$117, MATCH($D16, 'Option1 (base case)'!$G$106:$G$117,0)))*conv_2026*AA$7</f>
        <v>0</v>
      </c>
      <c r="AB16" s="30">
        <f>(INDEX('Option1 (base case)'!AB$106:AB$117, MATCH($D16, 'Option1 (base case)'!$G$106:$G$117,0)))*conv_2026*AB$7</f>
        <v>0</v>
      </c>
      <c r="AC16" s="30">
        <f>(INDEX('Option1 (base case)'!AC$106:AC$117, MATCH($D16, 'Option1 (base case)'!$G$106:$G$117,0)))*conv_2026*AC$7</f>
        <v>0</v>
      </c>
      <c r="AD16" s="30">
        <f>(INDEX('Option1 (base case)'!AD$106:AD$117, MATCH($D16, 'Option1 (base case)'!$G$106:$G$117,0)))*conv_2026*AD$7</f>
        <v>0</v>
      </c>
      <c r="AE16" s="30">
        <f>(INDEX('Option1 (base case)'!AE$106:AE$117, MATCH($D16, 'Option1 (base case)'!$G$106:$G$117,0)))*conv_2026*AE$7</f>
        <v>0</v>
      </c>
      <c r="AF16" s="30">
        <f>(INDEX('Option1 (base case)'!AF$106:AF$117, MATCH($D16, 'Option1 (base case)'!$G$106:$G$117,0)))*conv_2026*AF$7</f>
        <v>0</v>
      </c>
      <c r="AG16" s="30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142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0">
        <f t="shared" ref="F17:F23" si="1">SUMPRODUCT($H17:$AG17, $H$5:$AG$5)</f>
        <v>0</v>
      </c>
      <c r="G17" s="252"/>
      <c r="H17" s="30">
        <f>(INDEX('Option1 (base case)'!H$106:H$117, MATCH($D17, 'Option1 (base case)'!$G$106:$G$117,0)))*conv_2026*H$7</f>
        <v>0</v>
      </c>
      <c r="I17" s="30">
        <f>(INDEX('Option1 (base case)'!I$106:I$117, MATCH($D17, 'Option1 (base case)'!$G$106:$G$117,0)))*conv_2026*I$7</f>
        <v>0</v>
      </c>
      <c r="J17" s="30">
        <f>(INDEX('Option1 (base case)'!J$106:J$117, MATCH($D17, 'Option1 (base case)'!$G$106:$G$117,0)))*conv_2026*J$7</f>
        <v>0</v>
      </c>
      <c r="K17" s="30">
        <f>(INDEX('Option1 (base case)'!K$106:K$117, MATCH($D17, 'Option1 (base case)'!$G$106:$G$117,0)))*conv_2026*K$7</f>
        <v>0</v>
      </c>
      <c r="L17" s="30">
        <f>(INDEX('Option1 (base case)'!L$106:L$117, MATCH($D17, 'Option1 (base case)'!$G$106:$G$117,0)))*conv_2026*L$7</f>
        <v>0</v>
      </c>
      <c r="M17" s="30">
        <f>(INDEX('Option1 (base case)'!M$106:M$117, MATCH($D17, 'Option1 (base case)'!$G$106:$G$117,0)))*conv_2026*M$7</f>
        <v>0</v>
      </c>
      <c r="N17" s="30">
        <f>(INDEX('Option1 (base case)'!N$106:N$117, MATCH($D17, 'Option1 (base case)'!$G$106:$G$117,0)))*conv_2026*N$7</f>
        <v>0</v>
      </c>
      <c r="O17" s="30">
        <f>(INDEX('Option1 (base case)'!O$106:O$117, MATCH($D17, 'Option1 (base case)'!$G$106:$G$117,0)))*conv_2026*O$7</f>
        <v>0</v>
      </c>
      <c r="P17" s="30">
        <f>(INDEX('Option1 (base case)'!P$106:P$117, MATCH($D17, 'Option1 (base case)'!$G$106:$G$117,0)))*conv_2026*P$7</f>
        <v>0</v>
      </c>
      <c r="Q17" s="30">
        <f>(INDEX('Option1 (base case)'!Q$106:Q$117, MATCH($D17, 'Option1 (base case)'!$G$106:$G$117,0)))*conv_2026*Q$7</f>
        <v>0</v>
      </c>
      <c r="R17" s="30">
        <f>(INDEX('Option1 (base case)'!R$106:R$117, MATCH($D17, 'Option1 (base case)'!$G$106:$G$117,0)))*conv_2026*R$7</f>
        <v>0</v>
      </c>
      <c r="S17" s="30">
        <f>(INDEX('Option1 (base case)'!S$106:S$117, MATCH($D17, 'Option1 (base case)'!$G$106:$G$117,0)))*conv_2026*S$7</f>
        <v>0</v>
      </c>
      <c r="T17" s="30">
        <f>(INDEX('Option1 (base case)'!T$106:T$117, MATCH($D17, 'Option1 (base case)'!$G$106:$G$117,0)))*conv_2026*T$7</f>
        <v>0</v>
      </c>
      <c r="U17" s="30">
        <f>(INDEX('Option1 (base case)'!U$106:U$117, MATCH($D17, 'Option1 (base case)'!$G$106:$G$117,0)))*conv_2026*U$7</f>
        <v>0</v>
      </c>
      <c r="V17" s="30">
        <f>(INDEX('Option1 (base case)'!V$106:V$117, MATCH($D17, 'Option1 (base case)'!$G$106:$G$117,0)))*conv_2026*V$7</f>
        <v>0</v>
      </c>
      <c r="W17" s="30">
        <f>(INDEX('Option1 (base case)'!W$106:W$117, MATCH($D17, 'Option1 (base case)'!$G$106:$G$117,0)))*conv_2026*W$7</f>
        <v>0</v>
      </c>
      <c r="X17" s="30">
        <f>(INDEX('Option1 (base case)'!X$106:X$117, MATCH($D17, 'Option1 (base case)'!$G$106:$G$117,0)))*conv_2026*X$7</f>
        <v>0</v>
      </c>
      <c r="Y17" s="30">
        <f>(INDEX('Option1 (base case)'!Y$106:Y$117, MATCH($D17, 'Option1 (base case)'!$G$106:$G$117,0)))*conv_2026*Y$7</f>
        <v>0</v>
      </c>
      <c r="Z17" s="30">
        <f>(INDEX('Option1 (base case)'!Z$106:Z$117, MATCH($D17, 'Option1 (base case)'!$G$106:$G$117,0)))*conv_2026*Z$7</f>
        <v>0</v>
      </c>
      <c r="AA17" s="30">
        <f>(INDEX('Option1 (base case)'!AA$106:AA$117, MATCH($D17, 'Option1 (base case)'!$G$106:$G$117,0)))*conv_2026*AA$7</f>
        <v>0</v>
      </c>
      <c r="AB17" s="30">
        <f>(INDEX('Option1 (base case)'!AB$106:AB$117, MATCH($D17, 'Option1 (base case)'!$G$106:$G$117,0)))*conv_2026*AB$7</f>
        <v>0</v>
      </c>
      <c r="AC17" s="30">
        <f>(INDEX('Option1 (base case)'!AC$106:AC$117, MATCH($D17, 'Option1 (base case)'!$G$106:$G$117,0)))*conv_2026*AC$7</f>
        <v>0</v>
      </c>
      <c r="AD17" s="30">
        <f>(INDEX('Option1 (base case)'!AD$106:AD$117, MATCH($D17, 'Option1 (base case)'!$G$106:$G$117,0)))*conv_2026*AD$7</f>
        <v>0</v>
      </c>
      <c r="AE17" s="30">
        <f>(INDEX('Option1 (base case)'!AE$106:AE$117, MATCH($D17, 'Option1 (base case)'!$G$106:$G$117,0)))*conv_2026*AE$7</f>
        <v>0</v>
      </c>
      <c r="AF17" s="30">
        <f>(INDEX('Option1 (base case)'!AF$106:AF$117, MATCH($D17, 'Option1 (base case)'!$G$106:$G$117,0)))*conv_2026*AF$7</f>
        <v>0</v>
      </c>
      <c r="AG17" s="30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142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0">
        <f t="shared" si="1"/>
        <v>0</v>
      </c>
      <c r="G18" s="8"/>
      <c r="H18" s="30">
        <f>(INDEX('Option1 (base case)'!H$106:H$117, MATCH($D18, 'Option1 (base case)'!$G$106:$G$117,0)))*conv_2026*H$7</f>
        <v>0</v>
      </c>
      <c r="I18" s="30">
        <f>(INDEX('Option1 (base case)'!I$106:I$117, MATCH($D18, 'Option1 (base case)'!$G$106:$G$117,0)))*conv_2026*I$7</f>
        <v>0</v>
      </c>
      <c r="J18" s="30">
        <f>(INDEX('Option1 (base case)'!J$106:J$117, MATCH($D18, 'Option1 (base case)'!$G$106:$G$117,0)))*conv_2026*J$7</f>
        <v>0</v>
      </c>
      <c r="K18" s="30">
        <f>(INDEX('Option1 (base case)'!K$106:K$117, MATCH($D18, 'Option1 (base case)'!$G$106:$G$117,0)))*conv_2026*K$7</f>
        <v>0</v>
      </c>
      <c r="L18" s="30">
        <f>(INDEX('Option1 (base case)'!L$106:L$117, MATCH($D18, 'Option1 (base case)'!$G$106:$G$117,0)))*conv_2026*L$7</f>
        <v>0</v>
      </c>
      <c r="M18" s="30">
        <f>(INDEX('Option1 (base case)'!M$106:M$117, MATCH($D18, 'Option1 (base case)'!$G$106:$G$117,0)))*conv_2026*M$7</f>
        <v>0</v>
      </c>
      <c r="N18" s="30">
        <f>(INDEX('Option1 (base case)'!N$106:N$117, MATCH($D18, 'Option1 (base case)'!$G$106:$G$117,0)))*conv_2026*N$7</f>
        <v>0</v>
      </c>
      <c r="O18" s="30">
        <f>(INDEX('Option1 (base case)'!O$106:O$117, MATCH($D18, 'Option1 (base case)'!$G$106:$G$117,0)))*conv_2026*O$7</f>
        <v>0</v>
      </c>
      <c r="P18" s="30">
        <f>(INDEX('Option1 (base case)'!P$106:P$117, MATCH($D18, 'Option1 (base case)'!$G$106:$G$117,0)))*conv_2026*P$7</f>
        <v>0</v>
      </c>
      <c r="Q18" s="30">
        <f>(INDEX('Option1 (base case)'!Q$106:Q$117, MATCH($D18, 'Option1 (base case)'!$G$106:$G$117,0)))*conv_2026*Q$7</f>
        <v>0</v>
      </c>
      <c r="R18" s="30">
        <f>(INDEX('Option1 (base case)'!R$106:R$117, MATCH($D18, 'Option1 (base case)'!$G$106:$G$117,0)))*conv_2026*R$7</f>
        <v>0</v>
      </c>
      <c r="S18" s="30">
        <f>(INDEX('Option1 (base case)'!S$106:S$117, MATCH($D18, 'Option1 (base case)'!$G$106:$G$117,0)))*conv_2026*S$7</f>
        <v>0</v>
      </c>
      <c r="T18" s="30">
        <f>(INDEX('Option1 (base case)'!T$106:T$117, MATCH($D18, 'Option1 (base case)'!$G$106:$G$117,0)))*conv_2026*T$7</f>
        <v>0</v>
      </c>
      <c r="U18" s="30">
        <f>(INDEX('Option1 (base case)'!U$106:U$117, MATCH($D18, 'Option1 (base case)'!$G$106:$G$117,0)))*conv_2026*U$7</f>
        <v>0</v>
      </c>
      <c r="V18" s="30">
        <f>(INDEX('Option1 (base case)'!V$106:V$117, MATCH($D18, 'Option1 (base case)'!$G$106:$G$117,0)))*conv_2026*V$7</f>
        <v>0</v>
      </c>
      <c r="W18" s="30">
        <f>(INDEX('Option1 (base case)'!W$106:W$117, MATCH($D18, 'Option1 (base case)'!$G$106:$G$117,0)))*conv_2026*W$7</f>
        <v>0</v>
      </c>
      <c r="X18" s="30">
        <f>(INDEX('Option1 (base case)'!X$106:X$117, MATCH($D18, 'Option1 (base case)'!$G$106:$G$117,0)))*conv_2026*X$7</f>
        <v>0</v>
      </c>
      <c r="Y18" s="30">
        <f>(INDEX('Option1 (base case)'!Y$106:Y$117, MATCH($D18, 'Option1 (base case)'!$G$106:$G$117,0)))*conv_2026*Y$7</f>
        <v>0</v>
      </c>
      <c r="Z18" s="30">
        <f>(INDEX('Option1 (base case)'!Z$106:Z$117, MATCH($D18, 'Option1 (base case)'!$G$106:$G$117,0)))*conv_2026*Z$7</f>
        <v>0</v>
      </c>
      <c r="AA18" s="30">
        <f>(INDEX('Option1 (base case)'!AA$106:AA$117, MATCH($D18, 'Option1 (base case)'!$G$106:$G$117,0)))*conv_2026*AA$7</f>
        <v>0</v>
      </c>
      <c r="AB18" s="30">
        <f>(INDEX('Option1 (base case)'!AB$106:AB$117, MATCH($D18, 'Option1 (base case)'!$G$106:$G$117,0)))*conv_2026*AB$7</f>
        <v>0</v>
      </c>
      <c r="AC18" s="30">
        <f>(INDEX('Option1 (base case)'!AC$106:AC$117, MATCH($D18, 'Option1 (base case)'!$G$106:$G$117,0)))*conv_2026*AC$7</f>
        <v>0</v>
      </c>
      <c r="AD18" s="30">
        <f>(INDEX('Option1 (base case)'!AD$106:AD$117, MATCH($D18, 'Option1 (base case)'!$G$106:$G$117,0)))*conv_2026*AD$7</f>
        <v>0</v>
      </c>
      <c r="AE18" s="30">
        <f>(INDEX('Option1 (base case)'!AE$106:AE$117, MATCH($D18, 'Option1 (base case)'!$G$106:$G$117,0)))*conv_2026*AE$7</f>
        <v>0</v>
      </c>
      <c r="AF18" s="30">
        <f>(INDEX('Option1 (base case)'!AF$106:AF$117, MATCH($D18, 'Option1 (base case)'!$G$106:$G$117,0)))*conv_2026*AF$7</f>
        <v>0</v>
      </c>
      <c r="AG18" s="30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142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0">
        <f t="shared" si="1"/>
        <v>0</v>
      </c>
      <c r="G19" s="8"/>
      <c r="H19" s="30">
        <f>(INDEX('Option1 (base case)'!H$106:H$117, MATCH($D19, 'Option1 (base case)'!$G$106:$G$117,0)))*conv_2026*H$7</f>
        <v>0</v>
      </c>
      <c r="I19" s="30">
        <f>(INDEX('Option1 (base case)'!I$106:I$117, MATCH($D19, 'Option1 (base case)'!$G$106:$G$117,0)))*conv_2026*I$7</f>
        <v>0</v>
      </c>
      <c r="J19" s="30">
        <f>(INDEX('Option1 (base case)'!J$106:J$117, MATCH($D19, 'Option1 (base case)'!$G$106:$G$117,0)))*conv_2026*J$7</f>
        <v>0</v>
      </c>
      <c r="K19" s="30">
        <f>(INDEX('Option1 (base case)'!K$106:K$117, MATCH($D19, 'Option1 (base case)'!$G$106:$G$117,0)))*conv_2026*K$7</f>
        <v>0</v>
      </c>
      <c r="L19" s="30">
        <f>(INDEX('Option1 (base case)'!L$106:L$117, MATCH($D19, 'Option1 (base case)'!$G$106:$G$117,0)))*conv_2026*L$7</f>
        <v>0</v>
      </c>
      <c r="M19" s="30">
        <f>(INDEX('Option1 (base case)'!M$106:M$117, MATCH($D19, 'Option1 (base case)'!$G$106:$G$117,0)))*conv_2026*M$7</f>
        <v>0</v>
      </c>
      <c r="N19" s="30">
        <f>(INDEX('Option1 (base case)'!N$106:N$117, MATCH($D19, 'Option1 (base case)'!$G$106:$G$117,0)))*conv_2026*N$7</f>
        <v>0</v>
      </c>
      <c r="O19" s="30">
        <f>(INDEX('Option1 (base case)'!O$106:O$117, MATCH($D19, 'Option1 (base case)'!$G$106:$G$117,0)))*conv_2026*O$7</f>
        <v>0</v>
      </c>
      <c r="P19" s="30">
        <f>(INDEX('Option1 (base case)'!P$106:P$117, MATCH($D19, 'Option1 (base case)'!$G$106:$G$117,0)))*conv_2026*P$7</f>
        <v>0</v>
      </c>
      <c r="Q19" s="30">
        <f>(INDEX('Option1 (base case)'!Q$106:Q$117, MATCH($D19, 'Option1 (base case)'!$G$106:$G$117,0)))*conv_2026*Q$7</f>
        <v>0</v>
      </c>
      <c r="R19" s="30">
        <f>(INDEX('Option1 (base case)'!R$106:R$117, MATCH($D19, 'Option1 (base case)'!$G$106:$G$117,0)))*conv_2026*R$7</f>
        <v>0</v>
      </c>
      <c r="S19" s="30">
        <f>(INDEX('Option1 (base case)'!S$106:S$117, MATCH($D19, 'Option1 (base case)'!$G$106:$G$117,0)))*conv_2026*S$7</f>
        <v>0</v>
      </c>
      <c r="T19" s="30">
        <f>(INDEX('Option1 (base case)'!T$106:T$117, MATCH($D19, 'Option1 (base case)'!$G$106:$G$117,0)))*conv_2026*T$7</f>
        <v>0</v>
      </c>
      <c r="U19" s="30">
        <f>(INDEX('Option1 (base case)'!U$106:U$117, MATCH($D19, 'Option1 (base case)'!$G$106:$G$117,0)))*conv_2026*U$7</f>
        <v>0</v>
      </c>
      <c r="V19" s="30">
        <f>(INDEX('Option1 (base case)'!V$106:V$117, MATCH($D19, 'Option1 (base case)'!$G$106:$G$117,0)))*conv_2026*V$7</f>
        <v>0</v>
      </c>
      <c r="W19" s="30">
        <f>(INDEX('Option1 (base case)'!W$106:W$117, MATCH($D19, 'Option1 (base case)'!$G$106:$G$117,0)))*conv_2026*W$7</f>
        <v>0</v>
      </c>
      <c r="X19" s="30">
        <f>(INDEX('Option1 (base case)'!X$106:X$117, MATCH($D19, 'Option1 (base case)'!$G$106:$G$117,0)))*conv_2026*X$7</f>
        <v>0</v>
      </c>
      <c r="Y19" s="30">
        <f>(INDEX('Option1 (base case)'!Y$106:Y$117, MATCH($D19, 'Option1 (base case)'!$G$106:$G$117,0)))*conv_2026*Y$7</f>
        <v>0</v>
      </c>
      <c r="Z19" s="30">
        <f>(INDEX('Option1 (base case)'!Z$106:Z$117, MATCH($D19, 'Option1 (base case)'!$G$106:$G$117,0)))*conv_2026*Z$7</f>
        <v>0</v>
      </c>
      <c r="AA19" s="30">
        <f>(INDEX('Option1 (base case)'!AA$106:AA$117, MATCH($D19, 'Option1 (base case)'!$G$106:$G$117,0)))*conv_2026*AA$7</f>
        <v>0</v>
      </c>
      <c r="AB19" s="30">
        <f>(INDEX('Option1 (base case)'!AB$106:AB$117, MATCH($D19, 'Option1 (base case)'!$G$106:$G$117,0)))*conv_2026*AB$7</f>
        <v>0</v>
      </c>
      <c r="AC19" s="30">
        <f>(INDEX('Option1 (base case)'!AC$106:AC$117, MATCH($D19, 'Option1 (base case)'!$G$106:$G$117,0)))*conv_2026*AC$7</f>
        <v>0</v>
      </c>
      <c r="AD19" s="30">
        <f>(INDEX('Option1 (base case)'!AD$106:AD$117, MATCH($D19, 'Option1 (base case)'!$G$106:$G$117,0)))*conv_2026*AD$7</f>
        <v>0</v>
      </c>
      <c r="AE19" s="30">
        <f>(INDEX('Option1 (base case)'!AE$106:AE$117, MATCH($D19, 'Option1 (base case)'!$G$106:$G$117,0)))*conv_2026*AE$7</f>
        <v>0</v>
      </c>
      <c r="AF19" s="30">
        <f>(INDEX('Option1 (base case)'!AF$106:AF$117, MATCH($D19, 'Option1 (base case)'!$G$106:$G$117,0)))*conv_2026*AF$7</f>
        <v>0</v>
      </c>
      <c r="AG19" s="30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142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0">
        <f t="shared" si="1"/>
        <v>0</v>
      </c>
      <c r="G20" s="8"/>
      <c r="H20" s="30">
        <f>(INDEX('Option1 (base case)'!H$106:H$117, MATCH($D20, 'Option1 (base case)'!$G$106:$G$117,0)))*conv_2026*H$7</f>
        <v>0</v>
      </c>
      <c r="I20" s="30">
        <f>(INDEX('Option1 (base case)'!I$106:I$117, MATCH($D20, 'Option1 (base case)'!$G$106:$G$117,0)))*conv_2026*I$7</f>
        <v>0</v>
      </c>
      <c r="J20" s="30">
        <f>(INDEX('Option1 (base case)'!J$106:J$117, MATCH($D20, 'Option1 (base case)'!$G$106:$G$117,0)))*conv_2026*J$7</f>
        <v>0</v>
      </c>
      <c r="K20" s="30">
        <f>(INDEX('Option1 (base case)'!K$106:K$117, MATCH($D20, 'Option1 (base case)'!$G$106:$G$117,0)))*conv_2026*K$7</f>
        <v>0</v>
      </c>
      <c r="L20" s="30">
        <f>(INDEX('Option1 (base case)'!L$106:L$117, MATCH($D20, 'Option1 (base case)'!$G$106:$G$117,0)))*conv_2026*L$7</f>
        <v>0</v>
      </c>
      <c r="M20" s="30">
        <f>(INDEX('Option1 (base case)'!M$106:M$117, MATCH($D20, 'Option1 (base case)'!$G$106:$G$117,0)))*conv_2026*M$7</f>
        <v>0</v>
      </c>
      <c r="N20" s="30">
        <f>(INDEX('Option1 (base case)'!N$106:N$117, MATCH($D20, 'Option1 (base case)'!$G$106:$G$117,0)))*conv_2026*N$7</f>
        <v>0</v>
      </c>
      <c r="O20" s="30">
        <f>(INDEX('Option1 (base case)'!O$106:O$117, MATCH($D20, 'Option1 (base case)'!$G$106:$G$117,0)))*conv_2026*O$7</f>
        <v>0</v>
      </c>
      <c r="P20" s="30">
        <f>(INDEX('Option1 (base case)'!P$106:P$117, MATCH($D20, 'Option1 (base case)'!$G$106:$G$117,0)))*conv_2026*P$7</f>
        <v>0</v>
      </c>
      <c r="Q20" s="30">
        <f>(INDEX('Option1 (base case)'!Q$106:Q$117, MATCH($D20, 'Option1 (base case)'!$G$106:$G$117,0)))*conv_2026*Q$7</f>
        <v>0</v>
      </c>
      <c r="R20" s="30">
        <f>(INDEX('Option1 (base case)'!R$106:R$117, MATCH($D20, 'Option1 (base case)'!$G$106:$G$117,0)))*conv_2026*R$7</f>
        <v>0</v>
      </c>
      <c r="S20" s="30">
        <f>(INDEX('Option1 (base case)'!S$106:S$117, MATCH($D20, 'Option1 (base case)'!$G$106:$G$117,0)))*conv_2026*S$7</f>
        <v>0</v>
      </c>
      <c r="T20" s="30">
        <f>(INDEX('Option1 (base case)'!T$106:T$117, MATCH($D20, 'Option1 (base case)'!$G$106:$G$117,0)))*conv_2026*T$7</f>
        <v>0</v>
      </c>
      <c r="U20" s="30">
        <f>(INDEX('Option1 (base case)'!U$106:U$117, MATCH($D20, 'Option1 (base case)'!$G$106:$G$117,0)))*conv_2026*U$7</f>
        <v>0</v>
      </c>
      <c r="V20" s="30">
        <f>(INDEX('Option1 (base case)'!V$106:V$117, MATCH($D20, 'Option1 (base case)'!$G$106:$G$117,0)))*conv_2026*V$7</f>
        <v>0</v>
      </c>
      <c r="W20" s="30">
        <f>(INDEX('Option1 (base case)'!W$106:W$117, MATCH($D20, 'Option1 (base case)'!$G$106:$G$117,0)))*conv_2026*W$7</f>
        <v>0</v>
      </c>
      <c r="X20" s="30">
        <f>(INDEX('Option1 (base case)'!X$106:X$117, MATCH($D20, 'Option1 (base case)'!$G$106:$G$117,0)))*conv_2026*X$7</f>
        <v>0</v>
      </c>
      <c r="Y20" s="30">
        <f>(INDEX('Option1 (base case)'!Y$106:Y$117, MATCH($D20, 'Option1 (base case)'!$G$106:$G$117,0)))*conv_2026*Y$7</f>
        <v>0</v>
      </c>
      <c r="Z20" s="30">
        <f>(INDEX('Option1 (base case)'!Z$106:Z$117, MATCH($D20, 'Option1 (base case)'!$G$106:$G$117,0)))*conv_2026*Z$7</f>
        <v>0</v>
      </c>
      <c r="AA20" s="30">
        <f>(INDEX('Option1 (base case)'!AA$106:AA$117, MATCH($D20, 'Option1 (base case)'!$G$106:$G$117,0)))*conv_2026*AA$7</f>
        <v>0</v>
      </c>
      <c r="AB20" s="30">
        <f>(INDEX('Option1 (base case)'!AB$106:AB$117, MATCH($D20, 'Option1 (base case)'!$G$106:$G$117,0)))*conv_2026*AB$7</f>
        <v>0</v>
      </c>
      <c r="AC20" s="30">
        <f>(INDEX('Option1 (base case)'!AC$106:AC$117, MATCH($D20, 'Option1 (base case)'!$G$106:$G$117,0)))*conv_2026*AC$7</f>
        <v>0</v>
      </c>
      <c r="AD20" s="30">
        <f>(INDEX('Option1 (base case)'!AD$106:AD$117, MATCH($D20, 'Option1 (base case)'!$G$106:$G$117,0)))*conv_2026*AD$7</f>
        <v>0</v>
      </c>
      <c r="AE20" s="30">
        <f>(INDEX('Option1 (base case)'!AE$106:AE$117, MATCH($D20, 'Option1 (base case)'!$G$106:$G$117,0)))*conv_2026*AE$7</f>
        <v>0</v>
      </c>
      <c r="AF20" s="30">
        <f>(INDEX('Option1 (base case)'!AF$106:AF$117, MATCH($D20, 'Option1 (base case)'!$G$106:$G$117,0)))*conv_2026*AF$7</f>
        <v>0</v>
      </c>
      <c r="AG20" s="30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142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0">
        <f t="shared" si="1"/>
        <v>0</v>
      </c>
      <c r="G21" s="8"/>
      <c r="H21" s="30">
        <f>(INDEX('Option1 (base case)'!H$106:H$117, MATCH($D21, 'Option1 (base case)'!$G$106:$G$117,0)))*conv_2026*H$7</f>
        <v>0</v>
      </c>
      <c r="I21" s="30">
        <f>(INDEX('Option1 (base case)'!I$106:I$117, MATCH($D21, 'Option1 (base case)'!$G$106:$G$117,0)))*conv_2026*I$7</f>
        <v>0</v>
      </c>
      <c r="J21" s="30">
        <f>(INDEX('Option1 (base case)'!J$106:J$117, MATCH($D21, 'Option1 (base case)'!$G$106:$G$117,0)))*conv_2026*J$7</f>
        <v>0</v>
      </c>
      <c r="K21" s="30">
        <f>(INDEX('Option1 (base case)'!K$106:K$117, MATCH($D21, 'Option1 (base case)'!$G$106:$G$117,0)))*conv_2026*K$7</f>
        <v>0</v>
      </c>
      <c r="L21" s="30">
        <f>(INDEX('Option1 (base case)'!L$106:L$117, MATCH($D21, 'Option1 (base case)'!$G$106:$G$117,0)))*conv_2026*L$7</f>
        <v>0</v>
      </c>
      <c r="M21" s="30">
        <f>(INDEX('Option1 (base case)'!M$106:M$117, MATCH($D21, 'Option1 (base case)'!$G$106:$G$117,0)))*conv_2026*M$7</f>
        <v>0</v>
      </c>
      <c r="N21" s="30">
        <f>(INDEX('Option1 (base case)'!N$106:N$117, MATCH($D21, 'Option1 (base case)'!$G$106:$G$117,0)))*conv_2026*N$7</f>
        <v>0</v>
      </c>
      <c r="O21" s="30">
        <f>(INDEX('Option1 (base case)'!O$106:O$117, MATCH($D21, 'Option1 (base case)'!$G$106:$G$117,0)))*conv_2026*O$7</f>
        <v>0</v>
      </c>
      <c r="P21" s="30">
        <f>(INDEX('Option1 (base case)'!P$106:P$117, MATCH($D21, 'Option1 (base case)'!$G$106:$G$117,0)))*conv_2026*P$7</f>
        <v>0</v>
      </c>
      <c r="Q21" s="30">
        <f>(INDEX('Option1 (base case)'!Q$106:Q$117, MATCH($D21, 'Option1 (base case)'!$G$106:$G$117,0)))*conv_2026*Q$7</f>
        <v>0</v>
      </c>
      <c r="R21" s="30">
        <f>(INDEX('Option1 (base case)'!R$106:R$117, MATCH($D21, 'Option1 (base case)'!$G$106:$G$117,0)))*conv_2026*R$7</f>
        <v>0</v>
      </c>
      <c r="S21" s="30">
        <f>(INDEX('Option1 (base case)'!S$106:S$117, MATCH($D21, 'Option1 (base case)'!$G$106:$G$117,0)))*conv_2026*S$7</f>
        <v>0</v>
      </c>
      <c r="T21" s="30">
        <f>(INDEX('Option1 (base case)'!T$106:T$117, MATCH($D21, 'Option1 (base case)'!$G$106:$G$117,0)))*conv_2026*T$7</f>
        <v>0</v>
      </c>
      <c r="U21" s="30">
        <f>(INDEX('Option1 (base case)'!U$106:U$117, MATCH($D21, 'Option1 (base case)'!$G$106:$G$117,0)))*conv_2026*U$7</f>
        <v>0</v>
      </c>
      <c r="V21" s="30">
        <f>(INDEX('Option1 (base case)'!V$106:V$117, MATCH($D21, 'Option1 (base case)'!$G$106:$G$117,0)))*conv_2026*V$7</f>
        <v>0</v>
      </c>
      <c r="W21" s="30">
        <f>(INDEX('Option1 (base case)'!W$106:W$117, MATCH($D21, 'Option1 (base case)'!$G$106:$G$117,0)))*conv_2026*W$7</f>
        <v>0</v>
      </c>
      <c r="X21" s="30">
        <f>(INDEX('Option1 (base case)'!X$106:X$117, MATCH($D21, 'Option1 (base case)'!$G$106:$G$117,0)))*conv_2026*X$7</f>
        <v>0</v>
      </c>
      <c r="Y21" s="30">
        <f>(INDEX('Option1 (base case)'!Y$106:Y$117, MATCH($D21, 'Option1 (base case)'!$G$106:$G$117,0)))*conv_2026*Y$7</f>
        <v>0</v>
      </c>
      <c r="Z21" s="30">
        <f>(INDEX('Option1 (base case)'!Z$106:Z$117, MATCH($D21, 'Option1 (base case)'!$G$106:$G$117,0)))*conv_2026*Z$7</f>
        <v>0</v>
      </c>
      <c r="AA21" s="30">
        <f>(INDEX('Option1 (base case)'!AA$106:AA$117, MATCH($D21, 'Option1 (base case)'!$G$106:$G$117,0)))*conv_2026*AA$7</f>
        <v>0</v>
      </c>
      <c r="AB21" s="30">
        <f>(INDEX('Option1 (base case)'!AB$106:AB$117, MATCH($D21, 'Option1 (base case)'!$G$106:$G$117,0)))*conv_2026*AB$7</f>
        <v>0</v>
      </c>
      <c r="AC21" s="30">
        <f>(INDEX('Option1 (base case)'!AC$106:AC$117, MATCH($D21, 'Option1 (base case)'!$G$106:$G$117,0)))*conv_2026*AC$7</f>
        <v>0</v>
      </c>
      <c r="AD21" s="30">
        <f>(INDEX('Option1 (base case)'!AD$106:AD$117, MATCH($D21, 'Option1 (base case)'!$G$106:$G$117,0)))*conv_2026*AD$7</f>
        <v>0</v>
      </c>
      <c r="AE21" s="30">
        <f>(INDEX('Option1 (base case)'!AE$106:AE$117, MATCH($D21, 'Option1 (base case)'!$G$106:$G$117,0)))*conv_2026*AE$7</f>
        <v>0</v>
      </c>
      <c r="AF21" s="30">
        <f>(INDEX('Option1 (base case)'!AF$106:AF$117, MATCH($D21, 'Option1 (base case)'!$G$106:$G$117,0)))*conv_2026*AF$7</f>
        <v>0</v>
      </c>
      <c r="AG21" s="30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142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0">
        <f t="shared" si="1"/>
        <v>0</v>
      </c>
      <c r="G22" s="8"/>
      <c r="H22" s="30">
        <f>(INDEX('Option1 (base case)'!H$106:H$117, MATCH($D22, 'Option1 (base case)'!$G$106:$G$117,0)))*conv_2026*H$7</f>
        <v>0</v>
      </c>
      <c r="I22" s="30">
        <f>(INDEX('Option1 (base case)'!I$106:I$117, MATCH($D22, 'Option1 (base case)'!$G$106:$G$117,0)))*conv_2026*I$7</f>
        <v>0</v>
      </c>
      <c r="J22" s="30">
        <f>(INDEX('Option1 (base case)'!J$106:J$117, MATCH($D22, 'Option1 (base case)'!$G$106:$G$117,0)))*conv_2026*J$7</f>
        <v>0</v>
      </c>
      <c r="K22" s="30">
        <f>(INDEX('Option1 (base case)'!K$106:K$117, MATCH($D22, 'Option1 (base case)'!$G$106:$G$117,0)))*conv_2026*K$7</f>
        <v>0</v>
      </c>
      <c r="L22" s="30">
        <f>(INDEX('Option1 (base case)'!L$106:L$117, MATCH($D22, 'Option1 (base case)'!$G$106:$G$117,0)))*conv_2026*L$7</f>
        <v>0</v>
      </c>
      <c r="M22" s="30">
        <f>(INDEX('Option1 (base case)'!M$106:M$117, MATCH($D22, 'Option1 (base case)'!$G$106:$G$117,0)))*conv_2026*M$7</f>
        <v>0</v>
      </c>
      <c r="N22" s="30">
        <f>(INDEX('Option1 (base case)'!N$106:N$117, MATCH($D22, 'Option1 (base case)'!$G$106:$G$117,0)))*conv_2026*N$7</f>
        <v>0</v>
      </c>
      <c r="O22" s="30">
        <f>(INDEX('Option1 (base case)'!O$106:O$117, MATCH($D22, 'Option1 (base case)'!$G$106:$G$117,0)))*conv_2026*O$7</f>
        <v>0</v>
      </c>
      <c r="P22" s="30">
        <f>(INDEX('Option1 (base case)'!P$106:P$117, MATCH($D22, 'Option1 (base case)'!$G$106:$G$117,0)))*conv_2026*P$7</f>
        <v>0</v>
      </c>
      <c r="Q22" s="30">
        <f>(INDEX('Option1 (base case)'!Q$106:Q$117, MATCH($D22, 'Option1 (base case)'!$G$106:$G$117,0)))*conv_2026*Q$7</f>
        <v>0</v>
      </c>
      <c r="R22" s="30">
        <f>(INDEX('Option1 (base case)'!R$106:R$117, MATCH($D22, 'Option1 (base case)'!$G$106:$G$117,0)))*conv_2026*R$7</f>
        <v>0</v>
      </c>
      <c r="S22" s="30">
        <f>(INDEX('Option1 (base case)'!S$106:S$117, MATCH($D22, 'Option1 (base case)'!$G$106:$G$117,0)))*conv_2026*S$7</f>
        <v>0</v>
      </c>
      <c r="T22" s="30">
        <f>(INDEX('Option1 (base case)'!T$106:T$117, MATCH($D22, 'Option1 (base case)'!$G$106:$G$117,0)))*conv_2026*T$7</f>
        <v>0</v>
      </c>
      <c r="U22" s="30">
        <f>(INDEX('Option1 (base case)'!U$106:U$117, MATCH($D22, 'Option1 (base case)'!$G$106:$G$117,0)))*conv_2026*U$7</f>
        <v>0</v>
      </c>
      <c r="V22" s="30">
        <f>(INDEX('Option1 (base case)'!V$106:V$117, MATCH($D22, 'Option1 (base case)'!$G$106:$G$117,0)))*conv_2026*V$7</f>
        <v>0</v>
      </c>
      <c r="W22" s="30">
        <f>(INDEX('Option1 (base case)'!W$106:W$117, MATCH($D22, 'Option1 (base case)'!$G$106:$G$117,0)))*conv_2026*W$7</f>
        <v>0</v>
      </c>
      <c r="X22" s="30">
        <f>(INDEX('Option1 (base case)'!X$106:X$117, MATCH($D22, 'Option1 (base case)'!$G$106:$G$117,0)))*conv_2026*X$7</f>
        <v>0</v>
      </c>
      <c r="Y22" s="30">
        <f>(INDEX('Option1 (base case)'!Y$106:Y$117, MATCH($D22, 'Option1 (base case)'!$G$106:$G$117,0)))*conv_2026*Y$7</f>
        <v>0</v>
      </c>
      <c r="Z22" s="30">
        <f>(INDEX('Option1 (base case)'!Z$106:Z$117, MATCH($D22, 'Option1 (base case)'!$G$106:$G$117,0)))*conv_2026*Z$7</f>
        <v>0</v>
      </c>
      <c r="AA22" s="30">
        <f>(INDEX('Option1 (base case)'!AA$106:AA$117, MATCH($D22, 'Option1 (base case)'!$G$106:$G$117,0)))*conv_2026*AA$7</f>
        <v>0</v>
      </c>
      <c r="AB22" s="30">
        <f>(INDEX('Option1 (base case)'!AB$106:AB$117, MATCH($D22, 'Option1 (base case)'!$G$106:$G$117,0)))*conv_2026*AB$7</f>
        <v>0</v>
      </c>
      <c r="AC22" s="30">
        <f>(INDEX('Option1 (base case)'!AC$106:AC$117, MATCH($D22, 'Option1 (base case)'!$G$106:$G$117,0)))*conv_2026*AC$7</f>
        <v>0</v>
      </c>
      <c r="AD22" s="30">
        <f>(INDEX('Option1 (base case)'!AD$106:AD$117, MATCH($D22, 'Option1 (base case)'!$G$106:$G$117,0)))*conv_2026*AD$7</f>
        <v>0</v>
      </c>
      <c r="AE22" s="30">
        <f>(INDEX('Option1 (base case)'!AE$106:AE$117, MATCH($D22, 'Option1 (base case)'!$G$106:$G$117,0)))*conv_2026*AE$7</f>
        <v>0</v>
      </c>
      <c r="AF22" s="30">
        <f>(INDEX('Option1 (base case)'!AF$106:AF$117, MATCH($D22, 'Option1 (base case)'!$G$106:$G$117,0)))*conv_2026*AF$7</f>
        <v>0</v>
      </c>
      <c r="AG22" s="30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142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0">
        <f t="shared" si="1"/>
        <v>0</v>
      </c>
      <c r="G23" s="8"/>
      <c r="H23" s="30">
        <f>(INDEX('Option1 (base case)'!H$106:H$117, MATCH($D23, 'Option1 (base case)'!$G$106:$G$117,0)))*conv_2026*H$7</f>
        <v>0</v>
      </c>
      <c r="I23" s="30">
        <f>(INDEX('Option1 (base case)'!I$106:I$117, MATCH($D23, 'Option1 (base case)'!$G$106:$G$117,0)))*conv_2026*I$7</f>
        <v>0</v>
      </c>
      <c r="J23" s="30">
        <f>(INDEX('Option1 (base case)'!J$106:J$117, MATCH($D23, 'Option1 (base case)'!$G$106:$G$117,0)))*conv_2026*J$7</f>
        <v>0</v>
      </c>
      <c r="K23" s="30">
        <f>(INDEX('Option1 (base case)'!K$106:K$117, MATCH($D23, 'Option1 (base case)'!$G$106:$G$117,0)))*conv_2026*K$7</f>
        <v>0</v>
      </c>
      <c r="L23" s="30">
        <f>(INDEX('Option1 (base case)'!L$106:L$117, MATCH($D23, 'Option1 (base case)'!$G$106:$G$117,0)))*conv_2026*L$7</f>
        <v>0</v>
      </c>
      <c r="M23" s="30">
        <f>(INDEX('Option1 (base case)'!M$106:M$117, MATCH($D23, 'Option1 (base case)'!$G$106:$G$117,0)))*conv_2026*M$7</f>
        <v>0</v>
      </c>
      <c r="N23" s="30">
        <f>(INDEX('Option1 (base case)'!N$106:N$117, MATCH($D23, 'Option1 (base case)'!$G$106:$G$117,0)))*conv_2026*N$7</f>
        <v>0</v>
      </c>
      <c r="O23" s="30">
        <f>(INDEX('Option1 (base case)'!O$106:O$117, MATCH($D23, 'Option1 (base case)'!$G$106:$G$117,0)))*conv_2026*O$7</f>
        <v>0</v>
      </c>
      <c r="P23" s="30">
        <f>(INDEX('Option1 (base case)'!P$106:P$117, MATCH($D23, 'Option1 (base case)'!$G$106:$G$117,0)))*conv_2026*P$7</f>
        <v>0</v>
      </c>
      <c r="Q23" s="30">
        <f>(INDEX('Option1 (base case)'!Q$106:Q$117, MATCH($D23, 'Option1 (base case)'!$G$106:$G$117,0)))*conv_2026*Q$7</f>
        <v>0</v>
      </c>
      <c r="R23" s="30">
        <f>(INDEX('Option1 (base case)'!R$106:R$117, MATCH($D23, 'Option1 (base case)'!$G$106:$G$117,0)))*conv_2026*R$7</f>
        <v>0</v>
      </c>
      <c r="S23" s="30">
        <f>(INDEX('Option1 (base case)'!S$106:S$117, MATCH($D23, 'Option1 (base case)'!$G$106:$G$117,0)))*conv_2026*S$7</f>
        <v>0</v>
      </c>
      <c r="T23" s="30">
        <f>(INDEX('Option1 (base case)'!T$106:T$117, MATCH($D23, 'Option1 (base case)'!$G$106:$G$117,0)))*conv_2026*T$7</f>
        <v>0</v>
      </c>
      <c r="U23" s="30">
        <f>(INDEX('Option1 (base case)'!U$106:U$117, MATCH($D23, 'Option1 (base case)'!$G$106:$G$117,0)))*conv_2026*U$7</f>
        <v>0</v>
      </c>
      <c r="V23" s="30">
        <f>(INDEX('Option1 (base case)'!V$106:V$117, MATCH($D23, 'Option1 (base case)'!$G$106:$G$117,0)))*conv_2026*V$7</f>
        <v>0</v>
      </c>
      <c r="W23" s="30">
        <f>(INDEX('Option1 (base case)'!W$106:W$117, MATCH($D23, 'Option1 (base case)'!$G$106:$G$117,0)))*conv_2026*W$7</f>
        <v>0</v>
      </c>
      <c r="X23" s="30">
        <f>(INDEX('Option1 (base case)'!X$106:X$117, MATCH($D23, 'Option1 (base case)'!$G$106:$G$117,0)))*conv_2026*X$7</f>
        <v>0</v>
      </c>
      <c r="Y23" s="30">
        <f>(INDEX('Option1 (base case)'!Y$106:Y$117, MATCH($D23, 'Option1 (base case)'!$G$106:$G$117,0)))*conv_2026*Y$7</f>
        <v>0</v>
      </c>
      <c r="Z23" s="30">
        <f>(INDEX('Option1 (base case)'!Z$106:Z$117, MATCH($D23, 'Option1 (base case)'!$G$106:$G$117,0)))*conv_2026*Z$7</f>
        <v>0</v>
      </c>
      <c r="AA23" s="30">
        <f>(INDEX('Option1 (base case)'!AA$106:AA$117, MATCH($D23, 'Option1 (base case)'!$G$106:$G$117,0)))*conv_2026*AA$7</f>
        <v>0</v>
      </c>
      <c r="AB23" s="30">
        <f>(INDEX('Option1 (base case)'!AB$106:AB$117, MATCH($D23, 'Option1 (base case)'!$G$106:$G$117,0)))*conv_2026*AB$7</f>
        <v>0</v>
      </c>
      <c r="AC23" s="30">
        <f>(INDEX('Option1 (base case)'!AC$106:AC$117, MATCH($D23, 'Option1 (base case)'!$G$106:$G$117,0)))*conv_2026*AC$7</f>
        <v>0</v>
      </c>
      <c r="AD23" s="30">
        <f>(INDEX('Option1 (base case)'!AD$106:AD$117, MATCH($D23, 'Option1 (base case)'!$G$106:$G$117,0)))*conv_2026*AD$7</f>
        <v>0</v>
      </c>
      <c r="AE23" s="30">
        <f>(INDEX('Option1 (base case)'!AE$106:AE$117, MATCH($D23, 'Option1 (base case)'!$G$106:$G$117,0)))*conv_2026*AE$7</f>
        <v>0</v>
      </c>
      <c r="AF23" s="30">
        <f>(INDEX('Option1 (base case)'!AF$106:AF$117, MATCH($D23, 'Option1 (base case)'!$G$106:$G$117,0)))*conv_2026*AF$7</f>
        <v>0</v>
      </c>
      <c r="AG23" s="30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5" s="7" customFormat="1" x14ac:dyDescent="0.2">
      <c r="A28" s="252" t="s">
        <v>131</v>
      </c>
      <c r="B28" s="252" t="s">
        <v>119</v>
      </c>
      <c r="C28" s="252" t="s">
        <v>188</v>
      </c>
      <c r="D28" s="252" t="str">
        <f>A28&amp;B28</f>
        <v>Option 2NPV</v>
      </c>
      <c r="E28" s="253"/>
      <c r="F28" s="30">
        <f>SUMPRODUCT($H28:$AG28, $H$5:$AG$5)</f>
        <v>907194.42702617729</v>
      </c>
      <c r="G28" s="245"/>
      <c r="H28" s="30">
        <f>(INDEX(Option2!H$106:H$117, MATCH($D28, Option2!$G$106:$G$117,0)))*conv_2026*H$7</f>
        <v>0</v>
      </c>
      <c r="I28" s="30">
        <f>(INDEX(Option2!I$106:I$117, MATCH($D28, Option2!$G$106:$G$117,0)))*conv_2026*I$7</f>
        <v>0</v>
      </c>
      <c r="J28" s="30">
        <f>(INDEX(Option2!J$106:J$117, MATCH($D28, Option2!$G$106:$G$117,0)))*conv_2026*J$7</f>
        <v>-10578.722531478841</v>
      </c>
      <c r="K28" s="30">
        <f>(INDEX(Option2!K$106:K$117, MATCH($D28, Option2!$G$106:$G$117,0)))*conv_2026*K$7</f>
        <v>-7633.9389236963243</v>
      </c>
      <c r="L28" s="30">
        <f>(INDEX(Option2!L$106:L$117, MATCH($D28, Option2!$G$106:$G$117,0)))*conv_2026*L$7</f>
        <v>-5036.5054325900865</v>
      </c>
      <c r="M28" s="30">
        <f>(INDEX(Option2!M$106:M$117, MATCH($D28, Option2!$G$106:$G$117,0)))*conv_2026*M$7</f>
        <v>-2279.8842570325878</v>
      </c>
      <c r="N28" s="30">
        <f>(INDEX(Option2!N$106:N$117, MATCH($D28, Option2!$G$106:$G$117,0)))*conv_2026*N$7</f>
        <v>1158.1799801009422</v>
      </c>
      <c r="O28" s="30">
        <f>(INDEX(Option2!O$106:O$117, MATCH($D28, Option2!$G$106:$G$117,0)))*conv_2026*O$7</f>
        <v>5992.4719775274816</v>
      </c>
      <c r="P28" s="30">
        <f>(INDEX(Option2!P$106:P$117, MATCH($D28, Option2!$G$106:$G$117,0)))*conv_2026*P$7</f>
        <v>12284.283151939662</v>
      </c>
      <c r="Q28" s="30">
        <f>(INDEX(Option2!Q$106:Q$117, MATCH($D28, Option2!$G$106:$G$117,0)))*conv_2026*Q$7</f>
        <v>19070.154235918657</v>
      </c>
      <c r="R28" s="30">
        <f>(INDEX(Option2!R$106:R$117, MATCH($D28, Option2!$G$106:$G$117,0)))*conv_2026*R$7</f>
        <v>27994.790102470575</v>
      </c>
      <c r="S28" s="30">
        <f>(INDEX(Option2!S$106:S$117, MATCH($D28, Option2!$G$106:$G$117,0)))*conv_2026*S$7</f>
        <v>39679.988392732324</v>
      </c>
      <c r="T28" s="30">
        <f>(INDEX(Option2!T$106:T$117, MATCH($D28, Option2!$G$106:$G$117,0)))*conv_2026*T$7</f>
        <v>54973.953870819998</v>
      </c>
      <c r="U28" s="30">
        <f>(INDEX(Option2!U$106:U$117, MATCH($D28, Option2!$G$106:$G$117,0)))*conv_2026*U$7</f>
        <v>75042.095003034265</v>
      </c>
      <c r="V28" s="30">
        <f>(INDEX(Option2!V$106:V$117, MATCH($D28, Option2!$G$106:$G$117,0)))*conv_2026*V$7</f>
        <v>101545.47514885668</v>
      </c>
      <c r="W28" s="30">
        <f>(INDEX(Option2!W$106:W$117, MATCH($D28, Option2!$G$106:$G$117,0)))*conv_2026*W$7</f>
        <v>136698.74053341549</v>
      </c>
      <c r="X28" s="30">
        <f>(INDEX(Option2!X$106:X$117, MATCH($D28, Option2!$G$106:$G$117,0)))*conv_2026*X$7</f>
        <v>183531.16264820279</v>
      </c>
      <c r="Y28" s="30">
        <f>(INDEX(Option2!Y$106:Y$117, MATCH($D28, Option2!$G$106:$G$117,0)))*conv_2026*Y$7</f>
        <v>232511.18398983931</v>
      </c>
      <c r="Z28" s="30">
        <f>(INDEX(Option2!Z$106:Z$117, MATCH($D28, Option2!$G$106:$G$117,0)))*conv_2026*Z$7</f>
        <v>271561.15013832005</v>
      </c>
      <c r="AA28" s="30">
        <f>(INDEX(Option2!AA$106:AA$117, MATCH($D28, Option2!$G$106:$G$117,0)))*conv_2026*AA$7</f>
        <v>248114.64358765163</v>
      </c>
      <c r="AB28" s="30">
        <f>(INDEX(Option2!AB$106:AB$117, MATCH($D28, Option2!$G$106:$G$117,0)))*conv_2026*AB$7</f>
        <v>197881.93640801939</v>
      </c>
      <c r="AC28" s="30">
        <f>(INDEX(Option2!AC$106:AC$117, MATCH($D28, Option2!$G$106:$G$117,0)))*conv_2026*AC$7</f>
        <v>0</v>
      </c>
      <c r="AD28" s="30">
        <f>(INDEX(Option2!AD$106:AD$117, MATCH($D28, Option2!$G$106:$G$117,0)))*conv_2026*AD$7</f>
        <v>0</v>
      </c>
      <c r="AE28" s="30">
        <f>(INDEX(Option2!AE$106:AE$117, MATCH($D28, Option2!$G$106:$G$117,0)))*conv_2026*AE$7</f>
        <v>0</v>
      </c>
      <c r="AF28" s="30">
        <f>(INDEX(Option2!AF$106:AF$117, MATCH($D28, Option2!$G$106:$G$117,0)))*conv_2026*AF$7</f>
        <v>0</v>
      </c>
      <c r="AG28" s="30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0">
        <f>SUMPRODUCT($H30:$AG30, $H$5:$AG$5)</f>
        <v>734554.9571814104</v>
      </c>
      <c r="G30" s="245"/>
      <c r="H30" s="30">
        <f>IF($B30=0,0, (INDEX(Option2!H$106:H$117, MATCH($D30, Option2!$G$106:$G$117,0)))*conv_2026*H$7)</f>
        <v>0</v>
      </c>
      <c r="I30" s="30">
        <f>IF($B30=0,0, (INDEX(Option2!I$106:I$117, MATCH($D30, Option2!$G$106:$G$117,0)))*conv_2026*I$7)</f>
        <v>0</v>
      </c>
      <c r="J30" s="30">
        <f>IF($B30=0,0, (INDEX(Option2!J$106:J$117, MATCH($D30, Option2!$G$106:$G$117,0)))*conv_2026*J$7)</f>
        <v>-23389.573057349982</v>
      </c>
      <c r="K30" s="30">
        <f>IF($B30=0,0, (INDEX(Option2!K$106:K$117, MATCH($D30, Option2!$G$106:$G$117,0)))*conv_2026*K$7)</f>
        <v>-20444.789449567466</v>
      </c>
      <c r="L30" s="30">
        <f>IF($B30=0,0, (INDEX(Option2!L$106:L$117, MATCH($D30, Option2!$G$106:$G$117,0)))*conv_2026*L$7)</f>
        <v>-17847.35595846123</v>
      </c>
      <c r="M30" s="30">
        <f>IF($B30=0,0, (INDEX(Option2!M$106:M$117, MATCH($D30, Option2!$G$106:$G$117,0)))*conv_2026*M$7)</f>
        <v>-15090.734782903732</v>
      </c>
      <c r="N30" s="30">
        <f>IF($B30=0,0, (INDEX(Option2!N$106:N$117, MATCH($D30, Option2!$G$106:$G$117,0)))*conv_2026*N$7)</f>
        <v>-11652.670545770201</v>
      </c>
      <c r="O30" s="30">
        <f>IF($B30=0,0, (INDEX(Option2!O$106:O$117, MATCH($D30, Option2!$G$106:$G$117,0)))*conv_2026*O$7)</f>
        <v>-6818.3785483436614</v>
      </c>
      <c r="P30" s="30">
        <f>IF($B30=0,0, (INDEX(Option2!P$106:P$117, MATCH($D30, Option2!$G$106:$G$117,0)))*conv_2026*P$7)</f>
        <v>-526.56737393148069</v>
      </c>
      <c r="Q30" s="30">
        <f>IF($B30=0,0, (INDEX(Option2!Q$106:Q$117, MATCH($D30, Option2!$G$106:$G$117,0)))*conv_2026*Q$7)</f>
        <v>6259.3037100475131</v>
      </c>
      <c r="R30" s="30">
        <f>IF($B30=0,0, (INDEX(Option2!R$106:R$117, MATCH($D30, Option2!$G$106:$G$117,0)))*conv_2026*R$7)</f>
        <v>15183.939576599434</v>
      </c>
      <c r="S30" s="30">
        <f>IF($B30=0,0, (INDEX(Option2!S$106:S$117, MATCH($D30, Option2!$G$106:$G$117,0)))*conv_2026*S$7)</f>
        <v>26869.137866861183</v>
      </c>
      <c r="T30" s="30">
        <f>IF($B30=0,0, (INDEX(Option2!T$106:T$117, MATCH($D30, Option2!$G$106:$G$117,0)))*conv_2026*T$7)</f>
        <v>42163.103344948853</v>
      </c>
      <c r="U30" s="30">
        <f>IF($B30=0,0, (INDEX(Option2!U$106:U$117, MATCH($D30, Option2!$G$106:$G$117,0)))*conv_2026*U$7)</f>
        <v>62231.24447716312</v>
      </c>
      <c r="V30" s="30">
        <f>IF($B30=0,0, (INDEX(Option2!V$106:V$117, MATCH($D30, Option2!$G$106:$G$117,0)))*conv_2026*V$7)</f>
        <v>88734.624622985546</v>
      </c>
      <c r="W30" s="30">
        <f>IF($B30=0,0, (INDEX(Option2!W$106:W$117, MATCH($D30, Option2!$G$106:$G$117,0)))*conv_2026*W$7)</f>
        <v>123887.89000754435</v>
      </c>
      <c r="X30" s="30">
        <f>IF($B30=0,0, (INDEX(Option2!X$106:X$117, MATCH($D30, Option2!$G$106:$G$117,0)))*conv_2026*X$7)</f>
        <v>170720.31212233164</v>
      </c>
      <c r="Y30" s="30">
        <f>IF($B30=0,0, (INDEX(Option2!Y$106:Y$117, MATCH($D30, Option2!$G$106:$G$117,0)))*conv_2026*Y$7)</f>
        <v>219700.33346396813</v>
      </c>
      <c r="Z30" s="30">
        <f>IF($B30=0,0, (INDEX(Option2!Z$106:Z$117, MATCH($D30, Option2!$G$106:$G$117,0)))*conv_2026*Z$7)</f>
        <v>258750.2996124489</v>
      </c>
      <c r="AA30" s="30">
        <f>IF($B30=0,0, (INDEX(Option2!AA$106:AA$117, MATCH($D30, Option2!$G$106:$G$117,0)))*conv_2026*AA$7)</f>
        <v>235303.79306178048</v>
      </c>
      <c r="AB30" s="30">
        <f>IF($B30=0,0, (INDEX(Option2!AB$106:AB$117, MATCH($D30, Option2!$G$106:$G$117,0)))*conv_2026*AB$7)</f>
        <v>185071.08588214824</v>
      </c>
      <c r="AC30" s="30">
        <f>IF($B30=0,0, (INDEX(Option2!AC$106:AC$117, MATCH($D30, Option2!$G$106:$G$117,0)))*conv_2026*AC$7)</f>
        <v>0</v>
      </c>
      <c r="AD30" s="30">
        <f>IF($B30=0,0, (INDEX(Option2!AD$106:AD$117, MATCH($D30, Option2!$G$106:$G$117,0)))*conv_2026*AD$7)</f>
        <v>0</v>
      </c>
      <c r="AE30" s="30">
        <f>IF($B30=0,0, (INDEX(Option2!AE$106:AE$117, MATCH($D30, Option2!$G$106:$G$117,0)))*conv_2026*AE$7)</f>
        <v>0</v>
      </c>
      <c r="AF30" s="30">
        <f>IF($B30=0,0, (INDEX(Option2!AF$106:AF$117, MATCH($D30, Option2!$G$106:$G$117,0)))*conv_2026*AF$7)</f>
        <v>0</v>
      </c>
      <c r="AG30" s="30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0">
        <f t="shared" ref="F31:F37" si="3">SUMPRODUCT($H31:$AG31, $H$5:$AG$5)</f>
        <v>1079833.8968709444</v>
      </c>
      <c r="G31" s="252"/>
      <c r="H31" s="30">
        <f>IF($B31=0,0, (INDEX(Option2!H$106:H$117, MATCH($D31, Option2!$G$106:$G$117,0)))*conv_2026*H$7)</f>
        <v>0</v>
      </c>
      <c r="I31" s="30">
        <f>IF($B31=0,0, (INDEX(Option2!I$106:I$117, MATCH($D31, Option2!$G$106:$G$117,0)))*conv_2026*I$7)</f>
        <v>0</v>
      </c>
      <c r="J31" s="30">
        <f>IF($B31=0,0, (INDEX(Option2!J$106:J$117, MATCH($D31, Option2!$G$106:$G$117,0)))*conv_2026*J$7)</f>
        <v>2232.1279943923028</v>
      </c>
      <c r="K31" s="30">
        <f>IF($B31=0,0, (INDEX(Option2!K$106:K$117, MATCH($D31, Option2!$G$106:$G$117,0)))*conv_2026*K$7)</f>
        <v>5176.9116021748187</v>
      </c>
      <c r="L31" s="30">
        <f>IF($B31=0,0, (INDEX(Option2!L$106:L$117, MATCH($D31, Option2!$G$106:$G$117,0)))*conv_2026*L$7)</f>
        <v>7774.3450932810574</v>
      </c>
      <c r="M31" s="30">
        <f>IF($B31=0,0, (INDEX(Option2!M$106:M$117, MATCH($D31, Option2!$G$106:$G$117,0)))*conv_2026*M$7)</f>
        <v>10530.966268838556</v>
      </c>
      <c r="N31" s="30">
        <f>IF($B31=0,0, (INDEX(Option2!N$106:N$117, MATCH($D31, Option2!$G$106:$G$117,0)))*conv_2026*N$7)</f>
        <v>13969.030505972085</v>
      </c>
      <c r="O31" s="30">
        <f>IF($B31=0,0, (INDEX(Option2!O$106:O$117, MATCH($D31, Option2!$G$106:$G$117,0)))*conv_2026*O$7)</f>
        <v>18803.322503398624</v>
      </c>
      <c r="P31" s="30">
        <f>IF($B31=0,0, (INDEX(Option2!P$106:P$117, MATCH($D31, Option2!$G$106:$G$117,0)))*conv_2026*P$7)</f>
        <v>25095.133677810805</v>
      </c>
      <c r="Q31" s="30">
        <f>IF($B31=0,0, (INDEX(Option2!Q$106:Q$117, MATCH($D31, Option2!$G$106:$G$117,0)))*conv_2026*Q$7)</f>
        <v>31881.004761789798</v>
      </c>
      <c r="R31" s="30">
        <f>IF($B31=0,0, (INDEX(Option2!R$106:R$117, MATCH($D31, Option2!$G$106:$G$117,0)))*conv_2026*R$7)</f>
        <v>40805.640628341716</v>
      </c>
      <c r="S31" s="30">
        <f>IF($B31=0,0, (INDEX(Option2!S$106:S$117, MATCH($D31, Option2!$G$106:$G$117,0)))*conv_2026*S$7)</f>
        <v>52490.838918603469</v>
      </c>
      <c r="T31" s="30">
        <f>IF($B31=0,0, (INDEX(Option2!T$106:T$117, MATCH($D31, Option2!$G$106:$G$117,0)))*conv_2026*T$7)</f>
        <v>67784.804396691135</v>
      </c>
      <c r="U31" s="30">
        <f>IF($B31=0,0, (INDEX(Option2!U$106:U$117, MATCH($D31, Option2!$G$106:$G$117,0)))*conv_2026*U$7)</f>
        <v>87852.945528905402</v>
      </c>
      <c r="V31" s="30">
        <f>IF($B31=0,0, (INDEX(Option2!V$106:V$117, MATCH($D31, Option2!$G$106:$G$117,0)))*conv_2026*V$7)</f>
        <v>114356.32567472782</v>
      </c>
      <c r="W31" s="30">
        <f>IF($B31=0,0, (INDEX(Option2!W$106:W$117, MATCH($D31, Option2!$G$106:$G$117,0)))*conv_2026*W$7)</f>
        <v>149509.59105928664</v>
      </c>
      <c r="X31" s="30">
        <f>IF($B31=0,0, (INDEX(Option2!X$106:X$117, MATCH($D31, Option2!$G$106:$G$117,0)))*conv_2026*X$7)</f>
        <v>196342.01317407395</v>
      </c>
      <c r="Y31" s="30">
        <f>IF($B31=0,0, (INDEX(Option2!Y$106:Y$117, MATCH($D31, Option2!$G$106:$G$117,0)))*conv_2026*Y$7)</f>
        <v>245322.03451571046</v>
      </c>
      <c r="Z31" s="30">
        <f>IF($B31=0,0, (INDEX(Option2!Z$106:Z$117, MATCH($D31, Option2!$G$106:$G$117,0)))*conv_2026*Z$7)</f>
        <v>284372.0006641912</v>
      </c>
      <c r="AA31" s="30">
        <f>IF($B31=0,0, (INDEX(Option2!AA$106:AA$117, MATCH($D31, Option2!$G$106:$G$117,0)))*conv_2026*AA$7)</f>
        <v>260925.49411352281</v>
      </c>
      <c r="AB31" s="30">
        <f>IF($B31=0,0, (INDEX(Option2!AB$106:AB$117, MATCH($D31, Option2!$G$106:$G$117,0)))*conv_2026*AB$7)</f>
        <v>210692.78693389054</v>
      </c>
      <c r="AC31" s="30">
        <f>IF($B31=0,0, (INDEX(Option2!AC$106:AC$117, MATCH($D31, Option2!$G$106:$G$117,0)))*conv_2026*AC$7)</f>
        <v>0</v>
      </c>
      <c r="AD31" s="30">
        <f>IF($B31=0,0, (INDEX(Option2!AD$106:AD$117, MATCH($D31, Option2!$G$106:$G$117,0)))*conv_2026*AD$7)</f>
        <v>0</v>
      </c>
      <c r="AE31" s="30">
        <f>IF($B31=0,0, (INDEX(Option2!AE$106:AE$117, MATCH($D31, Option2!$G$106:$G$117,0)))*conv_2026*AE$7)</f>
        <v>0</v>
      </c>
      <c r="AF31" s="30">
        <f>IF($B31=0,0, (INDEX(Option2!AF$106:AF$117, MATCH($D31, Option2!$G$106:$G$117,0)))*conv_2026*AF$7)</f>
        <v>0</v>
      </c>
      <c r="AG31" s="30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0">
        <f t="shared" si="3"/>
        <v>1170553.3395735621</v>
      </c>
      <c r="H32" s="30">
        <f>IF($B32=0,0, (INDEX(Option2!H$106:H$117, MATCH($D32, Option2!$G$106:$G$117,0)))*conv_2026*H$7)</f>
        <v>0</v>
      </c>
      <c r="I32" s="30">
        <f>IF($B32=0,0, (INDEX(Option2!I$106:I$117, MATCH($D32, Option2!$G$106:$G$117,0)))*conv_2026*I$7)</f>
        <v>0</v>
      </c>
      <c r="J32" s="30">
        <f>IF($B32=0,0, (INDEX(Option2!J$106:J$117, MATCH($D32, Option2!$G$106:$G$117,0)))*conv_2026*J$7)</f>
        <v>1174.2557412444191</v>
      </c>
      <c r="K32" s="30">
        <f>IF($B32=0,0, (INDEX(Option2!K$106:K$117, MATCH($D32, Option2!$G$106:$G$117,0)))*conv_2026*K$7)</f>
        <v>4413.5177098051863</v>
      </c>
      <c r="L32" s="30">
        <f>IF($B32=0,0, (INDEX(Option2!L$106:L$117, MATCH($D32, Option2!$G$106:$G$117,0)))*conv_2026*L$7)</f>
        <v>7270.6945500220481</v>
      </c>
      <c r="M32" s="30">
        <f>IF($B32=0,0, (INDEX(Option2!M$106:M$117, MATCH($D32, Option2!$G$106:$G$117,0)))*conv_2026*M$7)</f>
        <v>10302.977843135297</v>
      </c>
      <c r="N32" s="30">
        <f>IF($B32=0,0, (INDEX(Option2!N$106:N$117, MATCH($D32, Option2!$G$106:$G$117,0)))*conv_2026*N$7)</f>
        <v>14084.848503982181</v>
      </c>
      <c r="O32" s="30">
        <f>IF($B32=0,0, (INDEX(Option2!O$106:O$117, MATCH($D32, Option2!$G$106:$G$117,0)))*conv_2026*O$7)</f>
        <v>19402.569701151373</v>
      </c>
      <c r="P32" s="30">
        <f>IF($B32=0,0, (INDEX(Option2!P$106:P$117, MATCH($D32, Option2!$G$106:$G$117,0)))*conv_2026*P$7)</f>
        <v>26323.561993004772</v>
      </c>
      <c r="Q32" s="30">
        <f>IF($B32=0,0, (INDEX(Option2!Q$106:Q$117, MATCH($D32, Option2!$G$106:$G$117,0)))*conv_2026*Q$7)</f>
        <v>33788.020185381669</v>
      </c>
      <c r="R32" s="30">
        <f>IF($B32=0,0, (INDEX(Option2!R$106:R$117, MATCH($D32, Option2!$G$106:$G$117,0)))*conv_2026*R$7)</f>
        <v>43605.119638588782</v>
      </c>
      <c r="S32" s="30">
        <f>IF($B32=0,0, (INDEX(Option2!S$106:S$117, MATCH($D32, Option2!$G$106:$G$117,0)))*conv_2026*S$7)</f>
        <v>56458.837757876703</v>
      </c>
      <c r="T32" s="30">
        <f>IF($B32=0,0, (INDEX(Option2!T$106:T$117, MATCH($D32, Option2!$G$106:$G$117,0)))*conv_2026*T$7)</f>
        <v>73282.199783773147</v>
      </c>
      <c r="U32" s="30">
        <f>IF($B32=0,0, (INDEX(Option2!U$106:U$117, MATCH($D32, Option2!$G$106:$G$117,0)))*conv_2026*U$7)</f>
        <v>95357.155029208836</v>
      </c>
      <c r="V32" s="30">
        <f>IF($B32=0,0, (INDEX(Option2!V$106:V$117, MATCH($D32, Option2!$G$106:$G$117,0)))*conv_2026*V$7)</f>
        <v>124510.8731896135</v>
      </c>
      <c r="W32" s="30">
        <f>IF($B32=0,0, (INDEX(Option2!W$106:W$117, MATCH($D32, Option2!$G$106:$G$117,0)))*conv_2026*W$7)</f>
        <v>163179.46511262818</v>
      </c>
      <c r="X32" s="30">
        <f>IF($B32=0,0, (INDEX(Option2!X$106:X$117, MATCH($D32, Option2!$G$106:$G$117,0)))*conv_2026*X$7)</f>
        <v>214695.12943889422</v>
      </c>
      <c r="Y32" s="30">
        <f>IF($B32=0,0, (INDEX(Option2!Y$106:Y$117, MATCH($D32, Option2!$G$106:$G$117,0)))*conv_2026*Y$7)</f>
        <v>268573.15291469439</v>
      </c>
      <c r="Z32" s="30">
        <f>IF($B32=0,0, (INDEX(Option2!Z$106:Z$117, MATCH($D32, Option2!$G$106:$G$117,0)))*conv_2026*Z$7)</f>
        <v>311528.1156780232</v>
      </c>
      <c r="AA32" s="30">
        <f>IF($B32=0,0, (INDEX(Option2!AA$106:AA$117, MATCH($D32, Option2!$G$106:$G$117,0)))*conv_2026*AA$7)</f>
        <v>285736.95847228798</v>
      </c>
      <c r="AB32" s="30">
        <f>IF($B32=0,0, (INDEX(Option2!AB$106:AB$117, MATCH($D32, Option2!$G$106:$G$117,0)))*conv_2026*AB$7)</f>
        <v>230480.98057469248</v>
      </c>
      <c r="AC32" s="30">
        <f>IF($B32=0,0, (INDEX(Option2!AC$106:AC$117, MATCH($D32, Option2!$G$106:$G$117,0)))*conv_2026*AC$7)</f>
        <v>0</v>
      </c>
      <c r="AD32" s="30">
        <f>IF($B32=0,0, (INDEX(Option2!AD$106:AD$117, MATCH($D32, Option2!$G$106:$G$117,0)))*conv_2026*AD$7)</f>
        <v>0</v>
      </c>
      <c r="AE32" s="30">
        <f>IF($B32=0,0, (INDEX(Option2!AE$106:AE$117, MATCH($D32, Option2!$G$106:$G$117,0)))*conv_2026*AE$7)</f>
        <v>0</v>
      </c>
      <c r="AF32" s="30">
        <f>IF($B32=0,0, (INDEX(Option2!AF$106:AF$117, MATCH($D32, Option2!$G$106:$G$117,0)))*conv_2026*AF$7)</f>
        <v>0</v>
      </c>
      <c r="AG32" s="30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0">
        <f t="shared" si="3"/>
        <v>643835.51447879267</v>
      </c>
      <c r="H33" s="30">
        <f>IF($B33=0,0, (INDEX(Option2!H$106:H$117, MATCH($D33, Option2!$G$106:$G$117,0)))*conv_2026*H$7)</f>
        <v>0</v>
      </c>
      <c r="I33" s="30">
        <f>IF($B33=0,0, (INDEX(Option2!I$106:I$117, MATCH($D33, Option2!$G$106:$G$117,0)))*conv_2026*I$7)</f>
        <v>0</v>
      </c>
      <c r="J33" s="30">
        <f>IF($B33=0,0, (INDEX(Option2!J$106:J$117, MATCH($D33, Option2!$G$106:$G$117,0)))*conv_2026*J$7)</f>
        <v>-22331.700804202101</v>
      </c>
      <c r="K33" s="30">
        <f>IF($B33=0,0, (INDEX(Option2!K$106:K$117, MATCH($D33, Option2!$G$106:$G$117,0)))*conv_2026*K$7)</f>
        <v>-19681.395557197833</v>
      </c>
      <c r="L33" s="30">
        <f>IF($B33=0,0, (INDEX(Option2!L$106:L$117, MATCH($D33, Option2!$G$106:$G$117,0)))*conv_2026*L$7)</f>
        <v>-17343.705415202221</v>
      </c>
      <c r="M33" s="30">
        <f>IF($B33=0,0, (INDEX(Option2!M$106:M$117, MATCH($D33, Option2!$G$106:$G$117,0)))*conv_2026*M$7)</f>
        <v>-14862.746357200473</v>
      </c>
      <c r="N33" s="30">
        <f>IF($B33=0,0, (INDEX(Option2!N$106:N$117, MATCH($D33, Option2!$G$106:$G$117,0)))*conv_2026*N$7)</f>
        <v>-11768.488543780297</v>
      </c>
      <c r="O33" s="30">
        <f>IF($B33=0,0, (INDEX(Option2!O$106:O$117, MATCH($D33, Option2!$G$106:$G$117,0)))*conv_2026*O$7)</f>
        <v>-7417.6257460964098</v>
      </c>
      <c r="P33" s="30">
        <f>IF($B33=0,0, (INDEX(Option2!P$106:P$117, MATCH($D33, Option2!$G$106:$G$117,0)))*conv_2026*P$7)</f>
        <v>-1754.9956891254474</v>
      </c>
      <c r="Q33" s="30">
        <f>IF($B33=0,0, (INDEX(Option2!Q$106:Q$117, MATCH($D33, Option2!$G$106:$G$117,0)))*conv_2026*Q$7)</f>
        <v>4352.2882864556459</v>
      </c>
      <c r="R33" s="30">
        <f>IF($B33=0,0, (INDEX(Option2!R$106:R$117, MATCH($D33, Option2!$G$106:$G$117,0)))*conv_2026*R$7)</f>
        <v>12384.460566352374</v>
      </c>
      <c r="S33" s="30">
        <f>IF($B33=0,0, (INDEX(Option2!S$106:S$117, MATCH($D33, Option2!$G$106:$G$117,0)))*conv_2026*S$7)</f>
        <v>22901.139027587949</v>
      </c>
      <c r="T33" s="30">
        <f>IF($B33=0,0, (INDEX(Option2!T$106:T$117, MATCH($D33, Option2!$G$106:$G$117,0)))*conv_2026*T$7)</f>
        <v>36665.707957866849</v>
      </c>
      <c r="U33" s="30">
        <f>IF($B33=0,0, (INDEX(Option2!U$106:U$117, MATCH($D33, Option2!$G$106:$G$117,0)))*conv_2026*U$7)</f>
        <v>54727.034976859686</v>
      </c>
      <c r="V33" s="30">
        <f>IF($B33=0,0, (INDEX(Option2!V$106:V$117, MATCH($D33, Option2!$G$106:$G$117,0)))*conv_2026*V$7)</f>
        <v>78580.077108099867</v>
      </c>
      <c r="W33" s="30">
        <f>IF($B33=0,0, (INDEX(Option2!W$106:W$117, MATCH($D33, Option2!$G$106:$G$117,0)))*conv_2026*W$7)</f>
        <v>110218.0159542028</v>
      </c>
      <c r="X33" s="30">
        <f>IF($B33=0,0, (INDEX(Option2!X$106:X$117, MATCH($D33, Option2!$G$106:$G$117,0)))*conv_2026*X$7)</f>
        <v>152367.1958575114</v>
      </c>
      <c r="Y33" s="30">
        <f>IF($B33=0,0, (INDEX(Option2!Y$106:Y$117, MATCH($D33, Option2!$G$106:$G$117,0)))*conv_2026*Y$7)</f>
        <v>196449.21506498422</v>
      </c>
      <c r="Z33" s="30">
        <f>IF($B33=0,0, (INDEX(Option2!Z$106:Z$117, MATCH($D33, Option2!$G$106:$G$117,0)))*conv_2026*Z$7)</f>
        <v>231594.18459861691</v>
      </c>
      <c r="AA33" s="30">
        <f>IF($B33=0,0, (INDEX(Option2!AA$106:AA$117, MATCH($D33, Option2!$G$106:$G$117,0)))*conv_2026*AA$7)</f>
        <v>210492.32870301532</v>
      </c>
      <c r="AB33" s="30">
        <f>IF($B33=0,0, (INDEX(Option2!AB$106:AB$117, MATCH($D33, Option2!$G$106:$G$117,0)))*conv_2026*AB$7)</f>
        <v>165282.89224134633</v>
      </c>
      <c r="AC33" s="30">
        <f>IF($B33=0,0, (INDEX(Option2!AC$106:AC$117, MATCH($D33, Option2!$G$106:$G$117,0)))*conv_2026*AC$7)</f>
        <v>0</v>
      </c>
      <c r="AD33" s="30">
        <f>IF($B33=0,0, (INDEX(Option2!AD$106:AD$117, MATCH($D33, Option2!$G$106:$G$117,0)))*conv_2026*AD$7)</f>
        <v>0</v>
      </c>
      <c r="AE33" s="30">
        <f>IF($B33=0,0, (INDEX(Option2!AE$106:AE$117, MATCH($D33, Option2!$G$106:$G$117,0)))*conv_2026*AE$7)</f>
        <v>0</v>
      </c>
      <c r="AF33" s="30">
        <f>IF($B33=0,0, (INDEX(Option2!AF$106:AF$117, MATCH($D33, Option2!$G$106:$G$117,0)))*conv_2026*AF$7)</f>
        <v>0</v>
      </c>
      <c r="AG33" s="30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0">
        <f t="shared" si="3"/>
        <v>471196.04463402578</v>
      </c>
      <c r="H34" s="30">
        <f>IF($B34=0,0, (INDEX(Option2!H$106:H$117, MATCH($D34, Option2!$G$106:$G$117,0)))*conv_2026*H$7)</f>
        <v>0</v>
      </c>
      <c r="I34" s="30">
        <f>IF($B34=0,0, (INDEX(Option2!I$106:I$117, MATCH($D34, Option2!$G$106:$G$117,0)))*conv_2026*I$7)</f>
        <v>0</v>
      </c>
      <c r="J34" s="30">
        <f>IF($B34=0,0, (INDEX(Option2!J$106:J$117, MATCH($D34, Option2!$G$106:$G$117,0)))*conv_2026*J$7)</f>
        <v>-35142.551330073242</v>
      </c>
      <c r="K34" s="30">
        <f>IF($B34=0,0, (INDEX(Option2!K$106:K$117, MATCH($D34, Option2!$G$106:$G$117,0)))*conv_2026*K$7)</f>
        <v>-32492.246083068978</v>
      </c>
      <c r="L34" s="30">
        <f>IF($B34=0,0, (INDEX(Option2!L$106:L$117, MATCH($D34, Option2!$G$106:$G$117,0)))*conv_2026*L$7)</f>
        <v>-30154.555941073362</v>
      </c>
      <c r="M34" s="30">
        <f>IF($B34=0,0, (INDEX(Option2!M$106:M$117, MATCH($D34, Option2!$G$106:$G$117,0)))*conv_2026*M$7)</f>
        <v>-27673.596883071619</v>
      </c>
      <c r="N34" s="30">
        <f>IF($B34=0,0, (INDEX(Option2!N$106:N$117, MATCH($D34, Option2!$G$106:$G$117,0)))*conv_2026*N$7)</f>
        <v>-24579.33906965144</v>
      </c>
      <c r="O34" s="30">
        <f>IF($B34=0,0, (INDEX(Option2!O$106:O$117, MATCH($D34, Option2!$G$106:$G$117,0)))*conv_2026*O$7)</f>
        <v>-20228.476271967556</v>
      </c>
      <c r="P34" s="30">
        <f>IF($B34=0,0, (INDEX(Option2!P$106:P$117, MATCH($D34, Option2!$G$106:$G$117,0)))*conv_2026*P$7)</f>
        <v>-14565.846214996593</v>
      </c>
      <c r="Q34" s="30">
        <f>IF($B34=0,0, (INDEX(Option2!Q$106:Q$117, MATCH($D34, Option2!$G$106:$G$117,0)))*conv_2026*Q$7)</f>
        <v>-8458.5622394154943</v>
      </c>
      <c r="R34" s="30">
        <f>IF($B34=0,0, (INDEX(Option2!R$106:R$117, MATCH($D34, Option2!$G$106:$G$117,0)))*conv_2026*R$7)</f>
        <v>-426.38995951876791</v>
      </c>
      <c r="S34" s="30">
        <f>IF($B34=0,0, (INDEX(Option2!S$106:S$117, MATCH($D34, Option2!$G$106:$G$117,0)))*conv_2026*S$7)</f>
        <v>10090.288501716808</v>
      </c>
      <c r="T34" s="30">
        <f>IF($B34=0,0, (INDEX(Option2!T$106:T$117, MATCH($D34, Option2!$G$106:$G$117,0)))*conv_2026*T$7)</f>
        <v>23854.857431995712</v>
      </c>
      <c r="U34" s="30">
        <f>IF($B34=0,0, (INDEX(Option2!U$106:U$117, MATCH($D34, Option2!$G$106:$G$117,0)))*conv_2026*U$7)</f>
        <v>41916.184450988549</v>
      </c>
      <c r="V34" s="30">
        <f>IF($B34=0,0, (INDEX(Option2!V$106:V$117, MATCH($D34, Option2!$G$106:$G$117,0)))*conv_2026*V$7)</f>
        <v>65769.22658222873</v>
      </c>
      <c r="W34" s="30">
        <f>IF($B34=0,0, (INDEX(Option2!W$106:W$117, MATCH($D34, Option2!$G$106:$G$117,0)))*conv_2026*W$7)</f>
        <v>97407.16542833166</v>
      </c>
      <c r="X34" s="30">
        <f>IF($B34=0,0, (INDEX(Option2!X$106:X$117, MATCH($D34, Option2!$G$106:$G$117,0)))*conv_2026*X$7)</f>
        <v>139556.34533164022</v>
      </c>
      <c r="Y34" s="30">
        <f>IF($B34=0,0, (INDEX(Option2!Y$106:Y$117, MATCH($D34, Option2!$G$106:$G$117,0)))*conv_2026*Y$7)</f>
        <v>183638.36453911307</v>
      </c>
      <c r="Z34" s="30">
        <f>IF($B34=0,0, (INDEX(Option2!Z$106:Z$117, MATCH($D34, Option2!$G$106:$G$117,0)))*conv_2026*Z$7)</f>
        <v>218783.33407274575</v>
      </c>
      <c r="AA34" s="30">
        <f>IF($B34=0,0, (INDEX(Option2!AA$106:AA$117, MATCH($D34, Option2!$G$106:$G$117,0)))*conv_2026*AA$7)</f>
        <v>197681.47817714419</v>
      </c>
      <c r="AB34" s="30">
        <f>IF($B34=0,0, (INDEX(Option2!AB$106:AB$117, MATCH($D34, Option2!$G$106:$G$117,0)))*conv_2026*AB$7)</f>
        <v>152472.04171547518</v>
      </c>
      <c r="AC34" s="30">
        <f>IF($B34=0,0, (INDEX(Option2!AC$106:AC$117, MATCH($D34, Option2!$G$106:$G$117,0)))*conv_2026*AC$7)</f>
        <v>0</v>
      </c>
      <c r="AD34" s="30">
        <f>IF($B34=0,0, (INDEX(Option2!AD$106:AD$117, MATCH($D34, Option2!$G$106:$G$117,0)))*conv_2026*AD$7)</f>
        <v>0</v>
      </c>
      <c r="AE34" s="30">
        <f>IF($B34=0,0, (INDEX(Option2!AE$106:AE$117, MATCH($D34, Option2!$G$106:$G$117,0)))*conv_2026*AE$7)</f>
        <v>0</v>
      </c>
      <c r="AF34" s="30">
        <f>IF($B34=0,0, (INDEX(Option2!AF$106:AF$117, MATCH($D34, Option2!$G$106:$G$117,0)))*conv_2026*AF$7)</f>
        <v>0</v>
      </c>
      <c r="AG34" s="30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0">
        <f t="shared" si="3"/>
        <v>907194.42702617729</v>
      </c>
      <c r="H35" s="30">
        <f>IF($B35=0,0, (INDEX(Option2!H$106:H$117, MATCH($D35, Option2!$G$106:$G$117,0)))*conv_2026*H$7)</f>
        <v>0</v>
      </c>
      <c r="I35" s="30">
        <f>IF($B35=0,0, (INDEX(Option2!I$106:I$117, MATCH($D35, Option2!$G$106:$G$117,0)))*conv_2026*I$7)</f>
        <v>0</v>
      </c>
      <c r="J35" s="30">
        <f>IF($B35=0,0, (INDEX(Option2!J$106:J$117, MATCH($D35, Option2!$G$106:$G$117,0)))*conv_2026*J$7)</f>
        <v>-10578.722531478841</v>
      </c>
      <c r="K35" s="30">
        <f>IF($B35=0,0, (INDEX(Option2!K$106:K$117, MATCH($D35, Option2!$G$106:$G$117,0)))*conv_2026*K$7)</f>
        <v>-7633.9389236963243</v>
      </c>
      <c r="L35" s="30">
        <f>IF($B35=0,0, (INDEX(Option2!L$106:L$117, MATCH($D35, Option2!$G$106:$G$117,0)))*conv_2026*L$7)</f>
        <v>-5036.5054325900865</v>
      </c>
      <c r="M35" s="30">
        <f>IF($B35=0,0, (INDEX(Option2!M$106:M$117, MATCH($D35, Option2!$G$106:$G$117,0)))*conv_2026*M$7)</f>
        <v>-2279.8842570325878</v>
      </c>
      <c r="N35" s="30">
        <f>IF($B35=0,0, (INDEX(Option2!N$106:N$117, MATCH($D35, Option2!$G$106:$G$117,0)))*conv_2026*N$7)</f>
        <v>1158.1799801009422</v>
      </c>
      <c r="O35" s="30">
        <f>IF($B35=0,0, (INDEX(Option2!O$106:O$117, MATCH($D35, Option2!$G$106:$G$117,0)))*conv_2026*O$7)</f>
        <v>5992.4719775274816</v>
      </c>
      <c r="P35" s="30">
        <f>IF($B35=0,0, (INDEX(Option2!P$106:P$117, MATCH($D35, Option2!$G$106:$G$117,0)))*conv_2026*P$7)</f>
        <v>12284.283151939662</v>
      </c>
      <c r="Q35" s="30">
        <f>IF($B35=0,0, (INDEX(Option2!Q$106:Q$117, MATCH($D35, Option2!$G$106:$G$117,0)))*conv_2026*Q$7)</f>
        <v>19070.154235918657</v>
      </c>
      <c r="R35" s="30">
        <f>IF($B35=0,0, (INDEX(Option2!R$106:R$117, MATCH($D35, Option2!$G$106:$G$117,0)))*conv_2026*R$7)</f>
        <v>27994.790102470575</v>
      </c>
      <c r="S35" s="30">
        <f>IF($B35=0,0, (INDEX(Option2!S$106:S$117, MATCH($D35, Option2!$G$106:$G$117,0)))*conv_2026*S$7)</f>
        <v>39679.988392732324</v>
      </c>
      <c r="T35" s="30">
        <f>IF($B35=0,0, (INDEX(Option2!T$106:T$117, MATCH($D35, Option2!$G$106:$G$117,0)))*conv_2026*T$7)</f>
        <v>54973.953870819998</v>
      </c>
      <c r="U35" s="30">
        <f>IF($B35=0,0, (INDEX(Option2!U$106:U$117, MATCH($D35, Option2!$G$106:$G$117,0)))*conv_2026*U$7)</f>
        <v>75042.095003034265</v>
      </c>
      <c r="V35" s="30">
        <f>IF($B35=0,0, (INDEX(Option2!V$106:V$117, MATCH($D35, Option2!$G$106:$G$117,0)))*conv_2026*V$7)</f>
        <v>101545.47514885668</v>
      </c>
      <c r="W35" s="30">
        <f>IF($B35=0,0, (INDEX(Option2!W$106:W$117, MATCH($D35, Option2!$G$106:$G$117,0)))*conv_2026*W$7)</f>
        <v>136698.74053341549</v>
      </c>
      <c r="X35" s="30">
        <f>IF($B35=0,0, (INDEX(Option2!X$106:X$117, MATCH($D35, Option2!$G$106:$G$117,0)))*conv_2026*X$7)</f>
        <v>183531.16264820279</v>
      </c>
      <c r="Y35" s="30">
        <f>IF($B35=0,0, (INDEX(Option2!Y$106:Y$117, MATCH($D35, Option2!$G$106:$G$117,0)))*conv_2026*Y$7)</f>
        <v>232511.18398983931</v>
      </c>
      <c r="Z35" s="30">
        <f>IF($B35=0,0, (INDEX(Option2!Z$106:Z$117, MATCH($D35, Option2!$G$106:$G$117,0)))*conv_2026*Z$7)</f>
        <v>271561.15013832005</v>
      </c>
      <c r="AA35" s="30">
        <f>IF($B35=0,0, (INDEX(Option2!AA$106:AA$117, MATCH($D35, Option2!$G$106:$G$117,0)))*conv_2026*AA$7)</f>
        <v>248114.64358765163</v>
      </c>
      <c r="AB35" s="30">
        <f>IF($B35=0,0, (INDEX(Option2!AB$106:AB$117, MATCH($D35, Option2!$G$106:$G$117,0)))*conv_2026*AB$7)</f>
        <v>197881.93640801939</v>
      </c>
      <c r="AC35" s="30">
        <f>IF($B35=0,0, (INDEX(Option2!AC$106:AC$117, MATCH($D35, Option2!$G$106:$G$117,0)))*conv_2026*AC$7)</f>
        <v>0</v>
      </c>
      <c r="AD35" s="30">
        <f>IF($B35=0,0, (INDEX(Option2!AD$106:AD$117, MATCH($D35, Option2!$G$106:$G$117,0)))*conv_2026*AD$7)</f>
        <v>0</v>
      </c>
      <c r="AE35" s="30">
        <f>IF($B35=0,0, (INDEX(Option2!AE$106:AE$117, MATCH($D35, Option2!$G$106:$G$117,0)))*conv_2026*AE$7)</f>
        <v>0</v>
      </c>
      <c r="AF35" s="30">
        <f>IF($B35=0,0, (INDEX(Option2!AF$106:AF$117, MATCH($D35, Option2!$G$106:$G$117,0)))*conv_2026*AF$7)</f>
        <v>0</v>
      </c>
      <c r="AG35" s="30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0">
        <f t="shared" si="3"/>
        <v>907194.42702617729</v>
      </c>
      <c r="H36" s="30">
        <f>IF($B36=0,0, (INDEX(Option2!H$106:H$117, MATCH($D36, Option2!$G$106:$G$117,0)))*conv_2026*H$7)</f>
        <v>0</v>
      </c>
      <c r="I36" s="30">
        <f>IF($B36=0,0, (INDEX(Option2!I$106:I$117, MATCH($D36, Option2!$G$106:$G$117,0)))*conv_2026*I$7)</f>
        <v>0</v>
      </c>
      <c r="J36" s="30">
        <f>IF($B36=0,0, (INDEX(Option2!J$106:J$117, MATCH($D36, Option2!$G$106:$G$117,0)))*conv_2026*J$7)</f>
        <v>-10578.722531478841</v>
      </c>
      <c r="K36" s="30">
        <f>IF($B36=0,0, (INDEX(Option2!K$106:K$117, MATCH($D36, Option2!$G$106:$G$117,0)))*conv_2026*K$7)</f>
        <v>-7633.9389236963243</v>
      </c>
      <c r="L36" s="30">
        <f>IF($B36=0,0, (INDEX(Option2!L$106:L$117, MATCH($D36, Option2!$G$106:$G$117,0)))*conv_2026*L$7)</f>
        <v>-5036.5054325900865</v>
      </c>
      <c r="M36" s="30">
        <f>IF($B36=0,0, (INDEX(Option2!M$106:M$117, MATCH($D36, Option2!$G$106:$G$117,0)))*conv_2026*M$7)</f>
        <v>-2279.8842570325878</v>
      </c>
      <c r="N36" s="30">
        <f>IF($B36=0,0, (INDEX(Option2!N$106:N$117, MATCH($D36, Option2!$G$106:$G$117,0)))*conv_2026*N$7)</f>
        <v>1158.1799801009422</v>
      </c>
      <c r="O36" s="30">
        <f>IF($B36=0,0, (INDEX(Option2!O$106:O$117, MATCH($D36, Option2!$G$106:$G$117,0)))*conv_2026*O$7)</f>
        <v>5992.4719775274816</v>
      </c>
      <c r="P36" s="30">
        <f>IF($B36=0,0, (INDEX(Option2!P$106:P$117, MATCH($D36, Option2!$G$106:$G$117,0)))*conv_2026*P$7)</f>
        <v>12284.283151939662</v>
      </c>
      <c r="Q36" s="30">
        <f>IF($B36=0,0, (INDEX(Option2!Q$106:Q$117, MATCH($D36, Option2!$G$106:$G$117,0)))*conv_2026*Q$7)</f>
        <v>19070.154235918657</v>
      </c>
      <c r="R36" s="30">
        <f>IF($B36=0,0, (INDEX(Option2!R$106:R$117, MATCH($D36, Option2!$G$106:$G$117,0)))*conv_2026*R$7)</f>
        <v>27994.790102470575</v>
      </c>
      <c r="S36" s="30">
        <f>IF($B36=0,0, (INDEX(Option2!S$106:S$117, MATCH($D36, Option2!$G$106:$G$117,0)))*conv_2026*S$7)</f>
        <v>39679.988392732324</v>
      </c>
      <c r="T36" s="30">
        <f>IF($B36=0,0, (INDEX(Option2!T$106:T$117, MATCH($D36, Option2!$G$106:$G$117,0)))*conv_2026*T$7)</f>
        <v>54973.953870819998</v>
      </c>
      <c r="U36" s="30">
        <f>IF($B36=0,0, (INDEX(Option2!U$106:U$117, MATCH($D36, Option2!$G$106:$G$117,0)))*conv_2026*U$7)</f>
        <v>75042.095003034265</v>
      </c>
      <c r="V36" s="30">
        <f>IF($B36=0,0, (INDEX(Option2!V$106:V$117, MATCH($D36, Option2!$G$106:$G$117,0)))*conv_2026*V$7)</f>
        <v>101545.47514885668</v>
      </c>
      <c r="W36" s="30">
        <f>IF($B36=0,0, (INDEX(Option2!W$106:W$117, MATCH($D36, Option2!$G$106:$G$117,0)))*conv_2026*W$7)</f>
        <v>136698.74053341549</v>
      </c>
      <c r="X36" s="30">
        <f>IF($B36=0,0, (INDEX(Option2!X$106:X$117, MATCH($D36, Option2!$G$106:$G$117,0)))*conv_2026*X$7)</f>
        <v>183531.16264820279</v>
      </c>
      <c r="Y36" s="30">
        <f>IF($B36=0,0, (INDEX(Option2!Y$106:Y$117, MATCH($D36, Option2!$G$106:$G$117,0)))*conv_2026*Y$7)</f>
        <v>232511.18398983931</v>
      </c>
      <c r="Z36" s="30">
        <f>IF($B36=0,0, (INDEX(Option2!Z$106:Z$117, MATCH($D36, Option2!$G$106:$G$117,0)))*conv_2026*Z$7)</f>
        <v>271561.15013832005</v>
      </c>
      <c r="AA36" s="30">
        <f>IF($B36=0,0, (INDEX(Option2!AA$106:AA$117, MATCH($D36, Option2!$G$106:$G$117,0)))*conv_2026*AA$7)</f>
        <v>248114.64358765163</v>
      </c>
      <c r="AB36" s="30">
        <f>IF($B36=0,0, (INDEX(Option2!AB$106:AB$117, MATCH($D36, Option2!$G$106:$G$117,0)))*conv_2026*AB$7)</f>
        <v>197881.93640801939</v>
      </c>
      <c r="AC36" s="30">
        <f>IF($B36=0,0, (INDEX(Option2!AC$106:AC$117, MATCH($D36, Option2!$G$106:$G$117,0)))*conv_2026*AC$7)</f>
        <v>0</v>
      </c>
      <c r="AD36" s="30">
        <f>IF($B36=0,0, (INDEX(Option2!AD$106:AD$117, MATCH($D36, Option2!$G$106:$G$117,0)))*conv_2026*AD$7)</f>
        <v>0</v>
      </c>
      <c r="AE36" s="30">
        <f>IF($B36=0,0, (INDEX(Option2!AE$106:AE$117, MATCH($D36, Option2!$G$106:$G$117,0)))*conv_2026*AE$7)</f>
        <v>0</v>
      </c>
      <c r="AF36" s="30">
        <f>IF($B36=0,0, (INDEX(Option2!AF$106:AF$117, MATCH($D36, Option2!$G$106:$G$117,0)))*conv_2026*AF$7)</f>
        <v>0</v>
      </c>
      <c r="AG36" s="30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0">
        <f t="shared" si="3"/>
        <v>907194.42702617729</v>
      </c>
      <c r="H37" s="30">
        <f>IF($B37=0,0, (INDEX(Option2!H$106:H$117, MATCH($D37, Option2!$G$106:$G$117,0)))*conv_2026*H$7)</f>
        <v>0</v>
      </c>
      <c r="I37" s="30">
        <f>IF($B37=0,0, (INDEX(Option2!I$106:I$117, MATCH($D37, Option2!$G$106:$G$117,0)))*conv_2026*I$7)</f>
        <v>0</v>
      </c>
      <c r="J37" s="30">
        <f>IF($B37=0,0, (INDEX(Option2!J$106:J$117, MATCH($D37, Option2!$G$106:$G$117,0)))*conv_2026*J$7)</f>
        <v>-10578.722531478841</v>
      </c>
      <c r="K37" s="30">
        <f>IF($B37=0,0, (INDEX(Option2!K$106:K$117, MATCH($D37, Option2!$G$106:$G$117,0)))*conv_2026*K$7)</f>
        <v>-7633.9389236963243</v>
      </c>
      <c r="L37" s="30">
        <f>IF($B37=0,0, (INDEX(Option2!L$106:L$117, MATCH($D37, Option2!$G$106:$G$117,0)))*conv_2026*L$7)</f>
        <v>-5036.5054325900865</v>
      </c>
      <c r="M37" s="30">
        <f>IF($B37=0,0, (INDEX(Option2!M$106:M$117, MATCH($D37, Option2!$G$106:$G$117,0)))*conv_2026*M$7)</f>
        <v>-2279.8842570325878</v>
      </c>
      <c r="N37" s="30">
        <f>IF($B37=0,0, (INDEX(Option2!N$106:N$117, MATCH($D37, Option2!$G$106:$G$117,0)))*conv_2026*N$7)</f>
        <v>1158.1799801009422</v>
      </c>
      <c r="O37" s="30">
        <f>IF($B37=0,0, (INDEX(Option2!O$106:O$117, MATCH($D37, Option2!$G$106:$G$117,0)))*conv_2026*O$7)</f>
        <v>5992.4719775274816</v>
      </c>
      <c r="P37" s="30">
        <f>IF($B37=0,0, (INDEX(Option2!P$106:P$117, MATCH($D37, Option2!$G$106:$G$117,0)))*conv_2026*P$7)</f>
        <v>12284.283151939662</v>
      </c>
      <c r="Q37" s="30">
        <f>IF($B37=0,0, (INDEX(Option2!Q$106:Q$117, MATCH($D37, Option2!$G$106:$G$117,0)))*conv_2026*Q$7)</f>
        <v>19070.154235918657</v>
      </c>
      <c r="R37" s="30">
        <f>IF($B37=0,0, (INDEX(Option2!R$106:R$117, MATCH($D37, Option2!$G$106:$G$117,0)))*conv_2026*R$7)</f>
        <v>27994.790102470575</v>
      </c>
      <c r="S37" s="30">
        <f>IF($B37=0,0, (INDEX(Option2!S$106:S$117, MATCH($D37, Option2!$G$106:$G$117,0)))*conv_2026*S$7)</f>
        <v>39679.988392732324</v>
      </c>
      <c r="T37" s="30">
        <f>IF($B37=0,0, (INDEX(Option2!T$106:T$117, MATCH($D37, Option2!$G$106:$G$117,0)))*conv_2026*T$7)</f>
        <v>54973.953870819998</v>
      </c>
      <c r="U37" s="30">
        <f>IF($B37=0,0, (INDEX(Option2!U$106:U$117, MATCH($D37, Option2!$G$106:$G$117,0)))*conv_2026*U$7)</f>
        <v>75042.095003034265</v>
      </c>
      <c r="V37" s="30">
        <f>IF($B37=0,0, (INDEX(Option2!V$106:V$117, MATCH($D37, Option2!$G$106:$G$117,0)))*conv_2026*V$7)</f>
        <v>101545.47514885668</v>
      </c>
      <c r="W37" s="30">
        <f>IF($B37=0,0, (INDEX(Option2!W$106:W$117, MATCH($D37, Option2!$G$106:$G$117,0)))*conv_2026*W$7)</f>
        <v>136698.74053341549</v>
      </c>
      <c r="X37" s="30">
        <f>IF($B37=0,0, (INDEX(Option2!X$106:X$117, MATCH($D37, Option2!$G$106:$G$117,0)))*conv_2026*X$7)</f>
        <v>183531.16264820279</v>
      </c>
      <c r="Y37" s="30">
        <f>IF($B37=0,0, (INDEX(Option2!Y$106:Y$117, MATCH($D37, Option2!$G$106:$G$117,0)))*conv_2026*Y$7)</f>
        <v>232511.18398983931</v>
      </c>
      <c r="Z37" s="30">
        <f>IF($B37=0,0, (INDEX(Option2!Z$106:Z$117, MATCH($D37, Option2!$G$106:$G$117,0)))*conv_2026*Z$7)</f>
        <v>271561.15013832005</v>
      </c>
      <c r="AA37" s="30">
        <f>IF($B37=0,0, (INDEX(Option2!AA$106:AA$117, MATCH($D37, Option2!$G$106:$G$117,0)))*conv_2026*AA$7)</f>
        <v>248114.64358765163</v>
      </c>
      <c r="AB37" s="30">
        <f>IF($B37=0,0, (INDEX(Option2!AB$106:AB$117, MATCH($D37, Option2!$G$106:$G$117,0)))*conv_2026*AB$7)</f>
        <v>197881.93640801939</v>
      </c>
      <c r="AC37" s="30">
        <f>IF($B37=0,0, (INDEX(Option2!AC$106:AC$117, MATCH($D37, Option2!$G$106:$G$117,0)))*conv_2026*AC$7)</f>
        <v>0</v>
      </c>
      <c r="AD37" s="30">
        <f>IF($B37=0,0, (INDEX(Option2!AD$106:AD$117, MATCH($D37, Option2!$G$106:$G$117,0)))*conv_2026*AD$7)</f>
        <v>0</v>
      </c>
      <c r="AE37" s="30">
        <f>IF($B37=0,0, (INDEX(Option2!AE$106:AE$117, MATCH($D37, Option2!$G$106:$G$117,0)))*conv_2026*AE$7)</f>
        <v>0</v>
      </c>
      <c r="AF37" s="30">
        <f>IF($B37=0,0, (INDEX(Option2!AF$106:AF$117, MATCH($D37, Option2!$G$106:$G$117,0)))*conv_2026*AF$7)</f>
        <v>0</v>
      </c>
      <c r="AG37" s="30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0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0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0"/>
      <c r="H40" s="30">
        <f>Consol!H50</f>
        <v>0</v>
      </c>
      <c r="I40" s="30">
        <f>Consol!I50</f>
        <v>0</v>
      </c>
      <c r="J40" s="30">
        <f>Consol!J50</f>
        <v>-87798.245988132534</v>
      </c>
      <c r="K40" s="30">
        <f>Consol!K50</f>
        <v>-84788.906887171761</v>
      </c>
      <c r="L40" s="30">
        <f>Consol!L50</f>
        <v>-82170.907866407564</v>
      </c>
      <c r="M40" s="30">
        <f>Consol!M50</f>
        <v>-79412.417766575745</v>
      </c>
      <c r="N40" s="30">
        <f>Consol!N50</f>
        <v>-75969.158602316631</v>
      </c>
      <c r="O40" s="30">
        <f>Consol!O50</f>
        <v>-71106.028291781491</v>
      </c>
      <c r="P40" s="30">
        <f>Consol!P50</f>
        <v>-64770.933436219493</v>
      </c>
      <c r="Q40" s="30">
        <f>Consol!Q50</f>
        <v>-57988.290587352822</v>
      </c>
      <c r="R40" s="30">
        <f>Consol!R50</f>
        <v>-49063.6547208009</v>
      </c>
      <c r="S40" s="30">
        <f>Consol!S50</f>
        <v>-37378.45643053914</v>
      </c>
      <c r="T40" s="30">
        <f>Consol!T50</f>
        <v>-22084.490952451481</v>
      </c>
      <c r="U40" s="30">
        <f>Consol!U50</f>
        <v>-2016.3498202372284</v>
      </c>
      <c r="V40" s="30">
        <f>Consol!V50</f>
        <v>24487.030325585161</v>
      </c>
      <c r="W40" s="30">
        <f>Consol!W50</f>
        <v>59640.295710144012</v>
      </c>
      <c r="X40" s="30">
        <f>Consol!X50</f>
        <v>106472.71782493134</v>
      </c>
      <c r="Y40" s="30">
        <f>Consol!Y50</f>
        <v>155452.73916656783</v>
      </c>
      <c r="Z40" s="30">
        <f>Consol!Z50</f>
        <v>194502.7053150486</v>
      </c>
      <c r="AA40" s="30">
        <f>Consol!AA50</f>
        <v>171056.1987643801</v>
      </c>
      <c r="AB40" s="30">
        <f>Consol!AB50</f>
        <v>120823.49158474794</v>
      </c>
      <c r="AC40" s="30">
        <f>Consol!AC50</f>
        <v>0</v>
      </c>
      <c r="AD40" s="30">
        <f>Consol!AD50</f>
        <v>0</v>
      </c>
      <c r="AE40" s="30">
        <f>Consol!AE50</f>
        <v>0</v>
      </c>
      <c r="AF40" s="30">
        <f>Consol!AF50</f>
        <v>0</v>
      </c>
      <c r="AG40" s="30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0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188</v>
      </c>
      <c r="D42" s="252" t="str">
        <f>A42&amp;B42</f>
        <v>Option 3NPV</v>
      </c>
      <c r="E42" s="253"/>
      <c r="F42" s="30">
        <f t="shared" ref="F42:F51" si="4">SUMPRODUCT($H42:$AG42, $H$5:$AG$5)</f>
        <v>-131706.77418781584</v>
      </c>
      <c r="G42" s="245"/>
      <c r="H42" s="30">
        <f>(INDEX(Option3!H$106:H$117, MATCH($D42, Option3!$G$106:$G$117,0)))*conv_2026*H$7</f>
        <v>0</v>
      </c>
      <c r="I42" s="30">
        <f>(INDEX(Option3!I$106:I$117, MATCH($D42, Option3!$G$106:$G$117,0)))*conv_2026*I$7</f>
        <v>0</v>
      </c>
      <c r="J42" s="30">
        <f>(INDEX(Option3!J$106:J$117, MATCH($D42, Option3!$G$106:$G$117,0)))*conv_2026*J$7</f>
        <v>-87798.245988132534</v>
      </c>
      <c r="K42" s="30">
        <f>(INDEX(Option3!K$106:K$117, MATCH($D42, Option3!$G$106:$G$117,0)))*conv_2026*K$7</f>
        <v>-84788.906887171761</v>
      </c>
      <c r="L42" s="30">
        <f>(INDEX(Option3!L$106:L$117, MATCH($D42, Option3!$G$106:$G$117,0)))*conv_2026*L$7</f>
        <v>-82170.907866407564</v>
      </c>
      <c r="M42" s="30">
        <f>(INDEX(Option3!M$106:M$117, MATCH($D42, Option3!$G$106:$G$117,0)))*conv_2026*M$7</f>
        <v>-79412.417766575745</v>
      </c>
      <c r="N42" s="30">
        <f>(INDEX(Option3!N$106:N$117, MATCH($D42, Option3!$G$106:$G$117,0)))*conv_2026*N$7</f>
        <v>-75969.158602316616</v>
      </c>
      <c r="O42" s="30">
        <f>(INDEX(Option3!O$106:O$117, MATCH($D42, Option3!$G$106:$G$117,0)))*conv_2026*O$7</f>
        <v>-71106.028291781491</v>
      </c>
      <c r="P42" s="30">
        <f>(INDEX(Option3!P$106:P$117, MATCH($D42, Option3!$G$106:$G$117,0)))*conv_2026*P$7</f>
        <v>-64770.933436219486</v>
      </c>
      <c r="Q42" s="30">
        <f>(INDEX(Option3!Q$106:Q$117, MATCH($D42, Option3!$G$106:$G$117,0)))*conv_2026*Q$7</f>
        <v>-57988.290587352822</v>
      </c>
      <c r="R42" s="30">
        <f>(INDEX(Option3!R$106:R$117, MATCH($D42, Option3!$G$106:$G$117,0)))*conv_2026*R$7</f>
        <v>-49063.6547208009</v>
      </c>
      <c r="S42" s="30">
        <f>(INDEX(Option3!S$106:S$117, MATCH($D42, Option3!$G$106:$G$117,0)))*conv_2026*S$7</f>
        <v>-37378.456430539154</v>
      </c>
      <c r="T42" s="30">
        <f>(INDEX(Option3!T$106:T$117, MATCH($D42, Option3!$G$106:$G$117,0)))*conv_2026*T$7</f>
        <v>-22084.490952451481</v>
      </c>
      <c r="U42" s="30">
        <f>(INDEX(Option3!U$106:U$117, MATCH($D42, Option3!$G$106:$G$117,0)))*conv_2026*U$7</f>
        <v>-2016.3498202372168</v>
      </c>
      <c r="V42" s="30">
        <f>(INDEX(Option3!V$106:V$117, MATCH($D42, Option3!$G$106:$G$117,0)))*conv_2026*V$7</f>
        <v>24487.030325585172</v>
      </c>
      <c r="W42" s="30">
        <f>(INDEX(Option3!W$106:W$117, MATCH($D42, Option3!$G$106:$G$117,0)))*conv_2026*W$7</f>
        <v>59640.295710144012</v>
      </c>
      <c r="X42" s="30">
        <f>(INDEX(Option3!X$106:X$117, MATCH($D42, Option3!$G$106:$G$117,0)))*conv_2026*X$7</f>
        <v>106472.71782493133</v>
      </c>
      <c r="Y42" s="30">
        <f>(INDEX(Option3!Y$106:Y$117, MATCH($D42, Option3!$G$106:$G$117,0)))*conv_2026*Y$7</f>
        <v>155452.73916656783</v>
      </c>
      <c r="Z42" s="30">
        <f>(INDEX(Option3!Z$106:Z$117, MATCH($D42, Option3!$G$106:$G$117,0)))*conv_2026*Z$7</f>
        <v>194502.7053150486</v>
      </c>
      <c r="AA42" s="30">
        <f>(INDEX(Option3!AA$106:AA$117, MATCH($D42, Option3!$G$106:$G$117,0)))*conv_2026*AA$7</f>
        <v>171056.19876438013</v>
      </c>
      <c r="AB42" s="30">
        <f>(INDEX(Option3!AB$106:AB$117, MATCH($D42, Option3!$G$106:$G$117,0)))*conv_2026*AB$7</f>
        <v>120823.49158474794</v>
      </c>
      <c r="AC42" s="30">
        <f>(INDEX(Option3!AC$106:AC$117, MATCH($D42, Option3!$G$106:$G$117,0)))*conv_2026*AC$7</f>
        <v>0</v>
      </c>
      <c r="AD42" s="30">
        <f>(INDEX(Option3!AD$106:AD$117, MATCH($D42, Option3!$G$106:$G$117,0)))*conv_2026*AD$7</f>
        <v>0</v>
      </c>
      <c r="AE42" s="30">
        <f>(INDEX(Option3!AE$106:AE$117, MATCH($D42, Option3!$G$106:$G$117,0)))*conv_2026*AE$7</f>
        <v>0</v>
      </c>
      <c r="AF42" s="30">
        <f>(INDEX(Option3!AF$106:AF$117, MATCH($D42, Option3!$G$106:$G$117,0)))*conv_2026*AF$7</f>
        <v>0</v>
      </c>
      <c r="AG42" s="30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0">
        <f t="shared" si="4"/>
        <v>-413045.16949039907</v>
      </c>
      <c r="G44" s="245"/>
      <c r="H44" s="30">
        <f>(INDEX(Option3!H$106:H$117, MATCH($D44, Option3!$G$106:$G$117,0)))*conv_2026*H$7</f>
        <v>0</v>
      </c>
      <c r="I44" s="30">
        <f>(INDEX(Option3!I$106:I$117, MATCH($D44, Option3!$G$106:$G$117,0)))*conv_2026*I$7</f>
        <v>0</v>
      </c>
      <c r="J44" s="30">
        <f>(INDEX(Option3!J$106:J$117, MATCH($D44, Option3!$G$106:$G$117,0)))*conv_2026*J$7</f>
        <v>-108675.18758584847</v>
      </c>
      <c r="K44" s="30">
        <f>(INDEX(Option3!K$106:K$117, MATCH($D44, Option3!$G$106:$G$117,0)))*conv_2026*K$7</f>
        <v>-105665.8484848877</v>
      </c>
      <c r="L44" s="30">
        <f>(INDEX(Option3!L$106:L$117, MATCH($D44, Option3!$G$106:$G$117,0)))*conv_2026*L$7</f>
        <v>-103047.8494641235</v>
      </c>
      <c r="M44" s="30">
        <f>(INDEX(Option3!M$106:M$117, MATCH($D44, Option3!$G$106:$G$117,0)))*conv_2026*M$7</f>
        <v>-100289.35936429168</v>
      </c>
      <c r="N44" s="30">
        <f>(INDEX(Option3!N$106:N$117, MATCH($D44, Option3!$G$106:$G$117,0)))*conv_2026*N$7</f>
        <v>-96846.100200032553</v>
      </c>
      <c r="O44" s="30">
        <f>(INDEX(Option3!O$106:O$117, MATCH($D44, Option3!$G$106:$G$117,0)))*conv_2026*O$7</f>
        <v>-91982.969889497443</v>
      </c>
      <c r="P44" s="30">
        <f>(INDEX(Option3!P$106:P$117, MATCH($D44, Option3!$G$106:$G$117,0)))*conv_2026*P$7</f>
        <v>-85647.87503393543</v>
      </c>
      <c r="Q44" s="30">
        <f>(INDEX(Option3!Q$106:Q$117, MATCH($D44, Option3!$G$106:$G$117,0)))*conv_2026*Q$7</f>
        <v>-78865.232185068759</v>
      </c>
      <c r="R44" s="30">
        <f>(INDEX(Option3!R$106:R$117, MATCH($D44, Option3!$G$106:$G$117,0)))*conv_2026*R$7</f>
        <v>-69940.596318516837</v>
      </c>
      <c r="S44" s="30">
        <f>(INDEX(Option3!S$106:S$117, MATCH($D44, Option3!$G$106:$G$117,0)))*conv_2026*S$7</f>
        <v>-58255.398028255091</v>
      </c>
      <c r="T44" s="30">
        <f>(INDEX(Option3!T$106:T$117, MATCH($D44, Option3!$G$106:$G$117,0)))*conv_2026*T$7</f>
        <v>-42961.432550167425</v>
      </c>
      <c r="U44" s="30">
        <f>(INDEX(Option3!U$106:U$117, MATCH($D44, Option3!$G$106:$G$117,0)))*conv_2026*U$7</f>
        <v>-22893.291417953154</v>
      </c>
      <c r="V44" s="30">
        <f>(INDEX(Option3!V$106:V$117, MATCH($D44, Option3!$G$106:$G$117,0)))*conv_2026*V$7</f>
        <v>3610.0887278692367</v>
      </c>
      <c r="W44" s="30">
        <f>(INDEX(Option3!W$106:W$117, MATCH($D44, Option3!$G$106:$G$117,0)))*conv_2026*W$7</f>
        <v>38763.354112428075</v>
      </c>
      <c r="X44" s="30">
        <f>(INDEX(Option3!X$106:X$117, MATCH($D44, Option3!$G$106:$G$117,0)))*conv_2026*X$7</f>
        <v>85595.776227215392</v>
      </c>
      <c r="Y44" s="30">
        <f>(INDEX(Option3!Y$106:Y$117, MATCH($D44, Option3!$G$106:$G$117,0)))*conv_2026*Y$7</f>
        <v>134575.79756885191</v>
      </c>
      <c r="Z44" s="30">
        <f>(INDEX(Option3!Z$106:Z$117, MATCH($D44, Option3!$G$106:$G$117,0)))*conv_2026*Z$7</f>
        <v>173625.76371733265</v>
      </c>
      <c r="AA44" s="30">
        <f>(INDEX(Option3!AA$106:AA$117, MATCH($D44, Option3!$G$106:$G$117,0)))*conv_2026*AA$7</f>
        <v>150179.2571666642</v>
      </c>
      <c r="AB44" s="30">
        <f>(INDEX(Option3!AB$106:AB$117, MATCH($D44, Option3!$G$106:$G$117,0)))*conv_2026*AB$7</f>
        <v>99946.549987032005</v>
      </c>
      <c r="AC44" s="30">
        <f>(INDEX(Option3!AC$106:AC$117, MATCH($D44, Option3!$G$106:$G$117,0)))*conv_2026*AC$7</f>
        <v>0</v>
      </c>
      <c r="AD44" s="30">
        <f>(INDEX(Option3!AD$106:AD$117, MATCH($D44, Option3!$G$106:$G$117,0)))*conv_2026*AD$7</f>
        <v>0</v>
      </c>
      <c r="AE44" s="30">
        <f>(INDEX(Option3!AE$106:AE$117, MATCH($D44, Option3!$G$106:$G$117,0)))*conv_2026*AE$7</f>
        <v>0</v>
      </c>
      <c r="AF44" s="30">
        <f>(INDEX(Option3!AF$106:AF$117, MATCH($D44, Option3!$G$106:$G$117,0)))*conv_2026*AF$7</f>
        <v>0</v>
      </c>
      <c r="AG44" s="30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0">
        <f t="shared" si="4"/>
        <v>149631.62111476727</v>
      </c>
      <c r="G45" s="252"/>
      <c r="H45" s="30">
        <f>(INDEX(Option3!H$106:H$117, MATCH($D45, Option3!$G$106:$G$117,0)))*conv_2026*H$7</f>
        <v>0</v>
      </c>
      <c r="I45" s="30">
        <f>(INDEX(Option3!I$106:I$117, MATCH($D45, Option3!$G$106:$G$117,0)))*conv_2026*I$7</f>
        <v>0</v>
      </c>
      <c r="J45" s="30">
        <f>(INDEX(Option3!J$106:J$117, MATCH($D45, Option3!$G$106:$G$117,0)))*conv_2026*J$7</f>
        <v>-66921.304390416597</v>
      </c>
      <c r="K45" s="30">
        <f>(INDEX(Option3!K$106:K$117, MATCH($D45, Option3!$G$106:$G$117,0)))*conv_2026*K$7</f>
        <v>-63911.965289455824</v>
      </c>
      <c r="L45" s="30">
        <f>(INDEX(Option3!L$106:L$117, MATCH($D45, Option3!$G$106:$G$117,0)))*conv_2026*L$7</f>
        <v>-61293.96626869162</v>
      </c>
      <c r="M45" s="30">
        <f>(INDEX(Option3!M$106:M$117, MATCH($D45, Option3!$G$106:$G$117,0)))*conv_2026*M$7</f>
        <v>-58535.476168859801</v>
      </c>
      <c r="N45" s="30">
        <f>(INDEX(Option3!N$106:N$117, MATCH($D45, Option3!$G$106:$G$117,0)))*conv_2026*N$7</f>
        <v>-55092.21700460068</v>
      </c>
      <c r="O45" s="30">
        <f>(INDEX(Option3!O$106:O$117, MATCH($D45, Option3!$G$106:$G$117,0)))*conv_2026*O$7</f>
        <v>-50229.086694065554</v>
      </c>
      <c r="P45" s="30">
        <f>(INDEX(Option3!P$106:P$117, MATCH($D45, Option3!$G$106:$G$117,0)))*conv_2026*P$7</f>
        <v>-43893.991838503542</v>
      </c>
      <c r="Q45" s="30">
        <f>(INDEX(Option3!Q$106:Q$117, MATCH($D45, Option3!$G$106:$G$117,0)))*conv_2026*Q$7</f>
        <v>-37111.348989636877</v>
      </c>
      <c r="R45" s="30">
        <f>(INDEX(Option3!R$106:R$117, MATCH($D45, Option3!$G$106:$G$117,0)))*conv_2026*R$7</f>
        <v>-28186.713123084963</v>
      </c>
      <c r="S45" s="30">
        <f>(INDEX(Option3!S$106:S$117, MATCH($D45, Option3!$G$106:$G$117,0)))*conv_2026*S$7</f>
        <v>-16501.514832823217</v>
      </c>
      <c r="T45" s="30">
        <f>(INDEX(Option3!T$106:T$117, MATCH($D45, Option3!$G$106:$G$117,0)))*conv_2026*T$7</f>
        <v>-1207.549354735545</v>
      </c>
      <c r="U45" s="30">
        <f>(INDEX(Option3!U$106:U$117, MATCH($D45, Option3!$G$106:$G$117,0)))*conv_2026*U$7</f>
        <v>18860.591777478719</v>
      </c>
      <c r="V45" s="30">
        <f>(INDEX(Option3!V$106:V$117, MATCH($D45, Option3!$G$106:$G$117,0)))*conv_2026*V$7</f>
        <v>45363.971923301113</v>
      </c>
      <c r="W45" s="30">
        <f>(INDEX(Option3!W$106:W$117, MATCH($D45, Option3!$G$106:$G$117,0)))*conv_2026*W$7</f>
        <v>80517.237307859948</v>
      </c>
      <c r="X45" s="30">
        <f>(INDEX(Option3!X$106:X$117, MATCH($D45, Option3!$G$106:$G$117,0)))*conv_2026*X$7</f>
        <v>127349.65942264728</v>
      </c>
      <c r="Y45" s="30">
        <f>(INDEX(Option3!Y$106:Y$117, MATCH($D45, Option3!$G$106:$G$117,0)))*conv_2026*Y$7</f>
        <v>176329.68076428375</v>
      </c>
      <c r="Z45" s="30">
        <f>(INDEX(Option3!Z$106:Z$117, MATCH($D45, Option3!$G$106:$G$117,0)))*conv_2026*Z$7</f>
        <v>215379.64691276453</v>
      </c>
      <c r="AA45" s="30">
        <f>(INDEX(Option3!AA$106:AA$117, MATCH($D45, Option3!$G$106:$G$117,0)))*conv_2026*AA$7</f>
        <v>191933.14036209605</v>
      </c>
      <c r="AB45" s="30">
        <f>(INDEX(Option3!AB$106:AB$117, MATCH($D45, Option3!$G$106:$G$117,0)))*conv_2026*AB$7</f>
        <v>141700.43318246389</v>
      </c>
      <c r="AC45" s="30">
        <f>(INDEX(Option3!AC$106:AC$117, MATCH($D45, Option3!$G$106:$G$117,0)))*conv_2026*AC$7</f>
        <v>0</v>
      </c>
      <c r="AD45" s="30">
        <f>(INDEX(Option3!AD$106:AD$117, MATCH($D45, Option3!$G$106:$G$117,0)))*conv_2026*AD$7</f>
        <v>0</v>
      </c>
      <c r="AE45" s="30">
        <f>(INDEX(Option3!AE$106:AE$117, MATCH($D45, Option3!$G$106:$G$117,0)))*conv_2026*AE$7</f>
        <v>0</v>
      </c>
      <c r="AF45" s="30">
        <f>(INDEX(Option3!AF$106:AF$117, MATCH($D45, Option3!$G$106:$G$117,0)))*conv_2026*AF$7</f>
        <v>0</v>
      </c>
      <c r="AG45" s="30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0">
        <f t="shared" si="4"/>
        <v>136460.94369598571</v>
      </c>
      <c r="H46" s="30">
        <f>(INDEX(Option3!H$106:H$117, MATCH($D46, Option3!$G$106:$G$117,0)))*conv_2026*H$7</f>
        <v>0</v>
      </c>
      <c r="I46" s="30">
        <f>(INDEX(Option3!I$106:I$117, MATCH($D46, Option3!$G$106:$G$117,0)))*conv_2026*I$7</f>
        <v>0</v>
      </c>
      <c r="J46" s="30">
        <f>(INDEX(Option3!J$106:J$117, MATCH($D46, Option3!$G$106:$G$117,0)))*conv_2026*J$7</f>
        <v>-75701.128989229852</v>
      </c>
      <c r="K46" s="30">
        <f>(INDEX(Option3!K$106:K$117, MATCH($D46, Option3!$G$106:$G$117,0)))*conv_2026*K$7</f>
        <v>-72390.855978173</v>
      </c>
      <c r="L46" s="30">
        <f>(INDEX(Option3!L$106:L$117, MATCH($D46, Option3!$G$106:$G$117,0)))*conv_2026*L$7</f>
        <v>-69511.057055332378</v>
      </c>
      <c r="M46" s="30">
        <f>(INDEX(Option3!M$106:M$117, MATCH($D46, Option3!$G$106:$G$117,0)))*conv_2026*M$7</f>
        <v>-66476.71794551739</v>
      </c>
      <c r="N46" s="30">
        <f>(INDEX(Option3!N$106:N$117, MATCH($D46, Option3!$G$106:$G$117,0)))*conv_2026*N$7</f>
        <v>-62689.132864832347</v>
      </c>
      <c r="O46" s="30">
        <f>(INDEX(Option3!O$106:O$117, MATCH($D46, Option3!$G$106:$G$117,0)))*conv_2026*O$7</f>
        <v>-57339.689523243709</v>
      </c>
      <c r="P46" s="30">
        <f>(INDEX(Option3!P$106:P$117, MATCH($D46, Option3!$G$106:$G$117,0)))*conv_2026*P$7</f>
        <v>-50371.085182125491</v>
      </c>
      <c r="Q46" s="30">
        <f>(INDEX(Option3!Q$106:Q$117, MATCH($D46, Option3!$G$106:$G$117,0)))*conv_2026*Q$7</f>
        <v>-42910.178048372167</v>
      </c>
      <c r="R46" s="30">
        <f>(INDEX(Option3!R$106:R$117, MATCH($D46, Option3!$G$106:$G$117,0)))*conv_2026*R$7</f>
        <v>-33093.078595165054</v>
      </c>
      <c r="S46" s="30">
        <f>(INDEX(Option3!S$106:S$117, MATCH($D46, Option3!$G$106:$G$117,0)))*conv_2026*S$7</f>
        <v>-20239.360475877125</v>
      </c>
      <c r="T46" s="30">
        <f>(INDEX(Option3!T$106:T$117, MATCH($D46, Option3!$G$106:$G$117,0)))*conv_2026*T$7</f>
        <v>-3415.9984499806915</v>
      </c>
      <c r="U46" s="30">
        <f>(INDEX(Option3!U$106:U$117, MATCH($D46, Option3!$G$106:$G$117,0)))*conv_2026*U$7</f>
        <v>18658.956795455</v>
      </c>
      <c r="V46" s="30">
        <f>(INDEX(Option3!V$106:V$117, MATCH($D46, Option3!$G$106:$G$117,0)))*conv_2026*V$7</f>
        <v>47812.67495585962</v>
      </c>
      <c r="W46" s="30">
        <f>(INDEX(Option3!W$106:W$117, MATCH($D46, Option3!$G$106:$G$117,0)))*conv_2026*W$7</f>
        <v>86481.266878874361</v>
      </c>
      <c r="X46" s="30">
        <f>(INDEX(Option3!X$106:X$117, MATCH($D46, Option3!$G$106:$G$117,0)))*conv_2026*X$7</f>
        <v>137996.93120514043</v>
      </c>
      <c r="Y46" s="30">
        <f>(INDEX(Option3!Y$106:Y$117, MATCH($D46, Option3!$G$106:$G$117,0)))*conv_2026*Y$7</f>
        <v>191874.95468094054</v>
      </c>
      <c r="Z46" s="30">
        <f>(INDEX(Option3!Z$106:Z$117, MATCH($D46, Option3!$G$106:$G$117,0)))*conv_2026*Z$7</f>
        <v>234829.91744426938</v>
      </c>
      <c r="AA46" s="30">
        <f>(INDEX(Option3!AA$106:AA$117, MATCH($D46, Option3!$G$106:$G$117,0)))*conv_2026*AA$7</f>
        <v>209038.76023853407</v>
      </c>
      <c r="AB46" s="30">
        <f>(INDEX(Option3!AB$106:AB$117, MATCH($D46, Option3!$G$106:$G$117,0)))*conv_2026*AB$7</f>
        <v>153782.78234093869</v>
      </c>
      <c r="AC46" s="30">
        <f>(INDEX(Option3!AC$106:AC$117, MATCH($D46, Option3!$G$106:$G$117,0)))*conv_2026*AC$7</f>
        <v>0</v>
      </c>
      <c r="AD46" s="30">
        <f>(INDEX(Option3!AD$106:AD$117, MATCH($D46, Option3!$G$106:$G$117,0)))*conv_2026*AD$7</f>
        <v>0</v>
      </c>
      <c r="AE46" s="30">
        <f>(INDEX(Option3!AE$106:AE$117, MATCH($D46, Option3!$G$106:$G$117,0)))*conv_2026*AE$7</f>
        <v>0</v>
      </c>
      <c r="AF46" s="30">
        <f>(INDEX(Option3!AF$106:AF$117, MATCH($D46, Option3!$G$106:$G$117,0)))*conv_2026*AF$7</f>
        <v>0</v>
      </c>
      <c r="AG46" s="30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0">
        <f t="shared" si="4"/>
        <v>-399874.49207161751</v>
      </c>
      <c r="H47" s="30">
        <f>(INDEX(Option3!H$106:H$117, MATCH($D47, Option3!$G$106:$G$117,0)))*conv_2026*H$7</f>
        <v>0</v>
      </c>
      <c r="I47" s="30">
        <f>(INDEX(Option3!I$106:I$117, MATCH($D47, Option3!$G$106:$G$117,0)))*conv_2026*I$7</f>
        <v>0</v>
      </c>
      <c r="J47" s="30">
        <f>(INDEX(Option3!J$106:J$117, MATCH($D47, Option3!$G$106:$G$117,0)))*conv_2026*J$7</f>
        <v>-99895.362987035216</v>
      </c>
      <c r="K47" s="30">
        <f>(INDEX(Option3!K$106:K$117, MATCH($D47, Option3!$G$106:$G$117,0)))*conv_2026*K$7</f>
        <v>-97186.957796170522</v>
      </c>
      <c r="L47" s="30">
        <f>(INDEX(Option3!L$106:L$117, MATCH($D47, Option3!$G$106:$G$117,0)))*conv_2026*L$7</f>
        <v>-94830.75867748275</v>
      </c>
      <c r="M47" s="30">
        <f>(INDEX(Option3!M$106:M$117, MATCH($D47, Option3!$G$106:$G$117,0)))*conv_2026*M$7</f>
        <v>-92348.1175876341</v>
      </c>
      <c r="N47" s="30">
        <f>(INDEX(Option3!N$106:N$117, MATCH($D47, Option3!$G$106:$G$117,0)))*conv_2026*N$7</f>
        <v>-89249.184339800893</v>
      </c>
      <c r="O47" s="30">
        <f>(INDEX(Option3!O$106:O$117, MATCH($D47, Option3!$G$106:$G$117,0)))*conv_2026*O$7</f>
        <v>-84872.367060319288</v>
      </c>
      <c r="P47" s="30">
        <f>(INDEX(Option3!P$106:P$117, MATCH($D47, Option3!$G$106:$G$117,0)))*conv_2026*P$7</f>
        <v>-79170.781690313481</v>
      </c>
      <c r="Q47" s="30">
        <f>(INDEX(Option3!Q$106:Q$117, MATCH($D47, Option3!$G$106:$G$117,0)))*conv_2026*Q$7</f>
        <v>-73066.403126333476</v>
      </c>
      <c r="R47" s="30">
        <f>(INDEX(Option3!R$106:R$117, MATCH($D47, Option3!$G$106:$G$117,0)))*conv_2026*R$7</f>
        <v>-65034.230846436745</v>
      </c>
      <c r="S47" s="30">
        <f>(INDEX(Option3!S$106:S$117, MATCH($D47, Option3!$G$106:$G$117,0)))*conv_2026*S$7</f>
        <v>-54517.552385201176</v>
      </c>
      <c r="T47" s="30">
        <f>(INDEX(Option3!T$106:T$117, MATCH($D47, Option3!$G$106:$G$117,0)))*conv_2026*T$7</f>
        <v>-40752.983454922265</v>
      </c>
      <c r="U47" s="30">
        <f>(INDEX(Option3!U$106:U$117, MATCH($D47, Option3!$G$106:$G$117,0)))*conv_2026*U$7</f>
        <v>-22691.656435929435</v>
      </c>
      <c r="V47" s="30">
        <f>(INDEX(Option3!V$106:V$117, MATCH($D47, Option3!$G$106:$G$117,0)))*conv_2026*V$7</f>
        <v>1161.3856953107177</v>
      </c>
      <c r="W47" s="30">
        <f>(INDEX(Option3!W$106:W$117, MATCH($D47, Option3!$G$106:$G$117,0)))*conv_2026*W$7</f>
        <v>32799.324541413669</v>
      </c>
      <c r="X47" s="30">
        <f>(INDEX(Option3!X$106:X$117, MATCH($D47, Option3!$G$106:$G$117,0)))*conv_2026*X$7</f>
        <v>74948.504444722261</v>
      </c>
      <c r="Y47" s="30">
        <f>(INDEX(Option3!Y$106:Y$117, MATCH($D47, Option3!$G$106:$G$117,0)))*conv_2026*Y$7</f>
        <v>119030.52365219512</v>
      </c>
      <c r="Z47" s="30">
        <f>(INDEX(Option3!Z$106:Z$117, MATCH($D47, Option3!$G$106:$G$117,0)))*conv_2026*Z$7</f>
        <v>154175.4931858278</v>
      </c>
      <c r="AA47" s="30">
        <f>(INDEX(Option3!AA$106:AA$117, MATCH($D47, Option3!$G$106:$G$117,0)))*conv_2026*AA$7</f>
        <v>133073.63729022615</v>
      </c>
      <c r="AB47" s="30">
        <f>(INDEX(Option3!AB$106:AB$117, MATCH($D47, Option3!$G$106:$G$117,0)))*conv_2026*AB$7</f>
        <v>87864.200828557208</v>
      </c>
      <c r="AC47" s="30">
        <f>(INDEX(Option3!AC$106:AC$117, MATCH($D47, Option3!$G$106:$G$117,0)))*conv_2026*AC$7</f>
        <v>0</v>
      </c>
      <c r="AD47" s="30">
        <f>(INDEX(Option3!AD$106:AD$117, MATCH($D47, Option3!$G$106:$G$117,0)))*conv_2026*AD$7</f>
        <v>0</v>
      </c>
      <c r="AE47" s="30">
        <f>(INDEX(Option3!AE$106:AE$117, MATCH($D47, Option3!$G$106:$G$117,0)))*conv_2026*AE$7</f>
        <v>0</v>
      </c>
      <c r="AF47" s="30">
        <f>(INDEX(Option3!AF$106:AF$117, MATCH($D47, Option3!$G$106:$G$117,0)))*conv_2026*AF$7</f>
        <v>0</v>
      </c>
      <c r="AG47" s="30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0">
        <f t="shared" si="4"/>
        <v>-681212.88737420051</v>
      </c>
      <c r="H48" s="30">
        <f>(INDEX(Option3!H$106:H$117, MATCH($D48, Option3!$G$106:$G$117,0)))*conv_2026*H$7</f>
        <v>0</v>
      </c>
      <c r="I48" s="30">
        <f>(INDEX(Option3!I$106:I$117, MATCH($D48, Option3!$G$106:$G$117,0)))*conv_2026*I$7</f>
        <v>0</v>
      </c>
      <c r="J48" s="30">
        <f>(INDEX(Option3!J$106:J$117, MATCH($D48, Option3!$G$106:$G$117,0)))*conv_2026*J$7</f>
        <v>-120772.30458475114</v>
      </c>
      <c r="K48" s="30">
        <f>(INDEX(Option3!K$106:K$117, MATCH($D48, Option3!$G$106:$G$117,0)))*conv_2026*K$7</f>
        <v>-118063.89939388647</v>
      </c>
      <c r="L48" s="30">
        <f>(INDEX(Option3!L$106:L$117, MATCH($D48, Option3!$G$106:$G$117,0)))*conv_2026*L$7</f>
        <v>-115707.70027519869</v>
      </c>
      <c r="M48" s="30">
        <f>(INDEX(Option3!M$106:M$117, MATCH($D48, Option3!$G$106:$G$117,0)))*conv_2026*M$7</f>
        <v>-113225.05918535004</v>
      </c>
      <c r="N48" s="30">
        <f>(INDEX(Option3!N$106:N$117, MATCH($D48, Option3!$G$106:$G$117,0)))*conv_2026*N$7</f>
        <v>-110126.12593751683</v>
      </c>
      <c r="O48" s="30">
        <f>(INDEX(Option3!O$106:O$117, MATCH($D48, Option3!$G$106:$G$117,0)))*conv_2026*O$7</f>
        <v>-105749.30865803521</v>
      </c>
      <c r="P48" s="30">
        <f>(INDEX(Option3!P$106:P$117, MATCH($D48, Option3!$G$106:$G$117,0)))*conv_2026*P$7</f>
        <v>-100047.7232880294</v>
      </c>
      <c r="Q48" s="30">
        <f>(INDEX(Option3!Q$106:Q$117, MATCH($D48, Option3!$G$106:$G$117,0)))*conv_2026*Q$7</f>
        <v>-93943.344724049413</v>
      </c>
      <c r="R48" s="30">
        <f>(INDEX(Option3!R$106:R$117, MATCH($D48, Option3!$G$106:$G$117,0)))*conv_2026*R$7</f>
        <v>-85911.172444152689</v>
      </c>
      <c r="S48" s="30">
        <f>(INDEX(Option3!S$106:S$117, MATCH($D48, Option3!$G$106:$G$117,0)))*conv_2026*S$7</f>
        <v>-75394.49398291712</v>
      </c>
      <c r="T48" s="30">
        <f>(INDEX(Option3!T$106:T$117, MATCH($D48, Option3!$G$106:$G$117,0)))*conv_2026*T$7</f>
        <v>-61629.925052638209</v>
      </c>
      <c r="U48" s="30">
        <f>(INDEX(Option3!U$106:U$117, MATCH($D48, Option3!$G$106:$G$117,0)))*conv_2026*U$7</f>
        <v>-43568.598033645372</v>
      </c>
      <c r="V48" s="30">
        <f>(INDEX(Option3!V$106:V$117, MATCH($D48, Option3!$G$106:$G$117,0)))*conv_2026*V$7</f>
        <v>-19715.55590240522</v>
      </c>
      <c r="W48" s="30">
        <f>(INDEX(Option3!W$106:W$117, MATCH($D48, Option3!$G$106:$G$117,0)))*conv_2026*W$7</f>
        <v>11922.38294369773</v>
      </c>
      <c r="X48" s="30">
        <f>(INDEX(Option3!X$106:X$117, MATCH($D48, Option3!$G$106:$G$117,0)))*conv_2026*X$7</f>
        <v>54071.562847006324</v>
      </c>
      <c r="Y48" s="30">
        <f>(INDEX(Option3!Y$106:Y$117, MATCH($D48, Option3!$G$106:$G$117,0)))*conv_2026*Y$7</f>
        <v>98153.582054479179</v>
      </c>
      <c r="Z48" s="30">
        <f>(INDEX(Option3!Z$106:Z$117, MATCH($D48, Option3!$G$106:$G$117,0)))*conv_2026*Z$7</f>
        <v>133298.55158811185</v>
      </c>
      <c r="AA48" s="30">
        <f>(INDEX(Option3!AA$106:AA$117, MATCH($D48, Option3!$G$106:$G$117,0)))*conv_2026*AA$7</f>
        <v>112196.69569251024</v>
      </c>
      <c r="AB48" s="30">
        <f>(INDEX(Option3!AB$106:AB$117, MATCH($D48, Option3!$G$106:$G$117,0)))*conv_2026*AB$7</f>
        <v>66987.259230841271</v>
      </c>
      <c r="AC48" s="30">
        <f>(INDEX(Option3!AC$106:AC$117, MATCH($D48, Option3!$G$106:$G$117,0)))*conv_2026*AC$7</f>
        <v>0</v>
      </c>
      <c r="AD48" s="30">
        <f>(INDEX(Option3!AD$106:AD$117, MATCH($D48, Option3!$G$106:$G$117,0)))*conv_2026*AD$7</f>
        <v>0</v>
      </c>
      <c r="AE48" s="30">
        <f>(INDEX(Option3!AE$106:AE$117, MATCH($D48, Option3!$G$106:$G$117,0)))*conv_2026*AE$7</f>
        <v>0</v>
      </c>
      <c r="AF48" s="30">
        <f>(INDEX(Option3!AF$106:AF$117, MATCH($D48, Option3!$G$106:$G$117,0)))*conv_2026*AF$7</f>
        <v>0</v>
      </c>
      <c r="AG48" s="30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0">
        <f t="shared" si="4"/>
        <v>-131706.77418781584</v>
      </c>
      <c r="H49" s="30">
        <f>(INDEX(Option3!H$106:H$117, MATCH($D49, Option3!$G$106:$G$117,0)))*conv_2026*H$7</f>
        <v>0</v>
      </c>
      <c r="I49" s="30">
        <f>(INDEX(Option3!I$106:I$117, MATCH($D49, Option3!$G$106:$G$117,0)))*conv_2026*I$7</f>
        <v>0</v>
      </c>
      <c r="J49" s="30">
        <f>(INDEX(Option3!J$106:J$117, MATCH($D49, Option3!$G$106:$G$117,0)))*conv_2026*J$7</f>
        <v>-87798.245988132534</v>
      </c>
      <c r="K49" s="30">
        <f>(INDEX(Option3!K$106:K$117, MATCH($D49, Option3!$G$106:$G$117,0)))*conv_2026*K$7</f>
        <v>-84788.906887171761</v>
      </c>
      <c r="L49" s="30">
        <f>(INDEX(Option3!L$106:L$117, MATCH($D49, Option3!$G$106:$G$117,0)))*conv_2026*L$7</f>
        <v>-82170.907866407564</v>
      </c>
      <c r="M49" s="30">
        <f>(INDEX(Option3!M$106:M$117, MATCH($D49, Option3!$G$106:$G$117,0)))*conv_2026*M$7</f>
        <v>-79412.417766575745</v>
      </c>
      <c r="N49" s="30">
        <f>(INDEX(Option3!N$106:N$117, MATCH($D49, Option3!$G$106:$G$117,0)))*conv_2026*N$7</f>
        <v>-75969.158602316616</v>
      </c>
      <c r="O49" s="30">
        <f>(INDEX(Option3!O$106:O$117, MATCH($D49, Option3!$G$106:$G$117,0)))*conv_2026*O$7</f>
        <v>-71106.028291781491</v>
      </c>
      <c r="P49" s="30">
        <f>(INDEX(Option3!P$106:P$117, MATCH($D49, Option3!$G$106:$G$117,0)))*conv_2026*P$7</f>
        <v>-64770.933436219486</v>
      </c>
      <c r="Q49" s="30">
        <f>(INDEX(Option3!Q$106:Q$117, MATCH($D49, Option3!$G$106:$G$117,0)))*conv_2026*Q$7</f>
        <v>-57988.290587352822</v>
      </c>
      <c r="R49" s="30">
        <f>(INDEX(Option3!R$106:R$117, MATCH($D49, Option3!$G$106:$G$117,0)))*conv_2026*R$7</f>
        <v>-49063.6547208009</v>
      </c>
      <c r="S49" s="30">
        <f>(INDEX(Option3!S$106:S$117, MATCH($D49, Option3!$G$106:$G$117,0)))*conv_2026*S$7</f>
        <v>-37378.456430539154</v>
      </c>
      <c r="T49" s="30">
        <f>(INDEX(Option3!T$106:T$117, MATCH($D49, Option3!$G$106:$G$117,0)))*conv_2026*T$7</f>
        <v>-22084.490952451481</v>
      </c>
      <c r="U49" s="30">
        <f>(INDEX(Option3!U$106:U$117, MATCH($D49, Option3!$G$106:$G$117,0)))*conv_2026*U$7</f>
        <v>-2016.3498202372168</v>
      </c>
      <c r="V49" s="30">
        <f>(INDEX(Option3!V$106:V$117, MATCH($D49, Option3!$G$106:$G$117,0)))*conv_2026*V$7</f>
        <v>24487.030325585172</v>
      </c>
      <c r="W49" s="30">
        <f>(INDEX(Option3!W$106:W$117, MATCH($D49, Option3!$G$106:$G$117,0)))*conv_2026*W$7</f>
        <v>59640.295710144012</v>
      </c>
      <c r="X49" s="30">
        <f>(INDEX(Option3!X$106:X$117, MATCH($D49, Option3!$G$106:$G$117,0)))*conv_2026*X$7</f>
        <v>106472.71782493133</v>
      </c>
      <c r="Y49" s="30">
        <f>(INDEX(Option3!Y$106:Y$117, MATCH($D49, Option3!$G$106:$G$117,0)))*conv_2026*Y$7</f>
        <v>155452.73916656783</v>
      </c>
      <c r="Z49" s="30">
        <f>(INDEX(Option3!Z$106:Z$117, MATCH($D49, Option3!$G$106:$G$117,0)))*conv_2026*Z$7</f>
        <v>194502.7053150486</v>
      </c>
      <c r="AA49" s="30">
        <f>(INDEX(Option3!AA$106:AA$117, MATCH($D49, Option3!$G$106:$G$117,0)))*conv_2026*AA$7</f>
        <v>171056.19876438013</v>
      </c>
      <c r="AB49" s="30">
        <f>(INDEX(Option3!AB$106:AB$117, MATCH($D49, Option3!$G$106:$G$117,0)))*conv_2026*AB$7</f>
        <v>120823.49158474794</v>
      </c>
      <c r="AC49" s="30">
        <f>(INDEX(Option3!AC$106:AC$117, MATCH($D49, Option3!$G$106:$G$117,0)))*conv_2026*AC$7</f>
        <v>0</v>
      </c>
      <c r="AD49" s="30">
        <f>(INDEX(Option3!AD$106:AD$117, MATCH($D49, Option3!$G$106:$G$117,0)))*conv_2026*AD$7</f>
        <v>0</v>
      </c>
      <c r="AE49" s="30">
        <f>(INDEX(Option3!AE$106:AE$117, MATCH($D49, Option3!$G$106:$G$117,0)))*conv_2026*AE$7</f>
        <v>0</v>
      </c>
      <c r="AF49" s="30">
        <f>(INDEX(Option3!AF$106:AF$117, MATCH($D49, Option3!$G$106:$G$117,0)))*conv_2026*AF$7</f>
        <v>0</v>
      </c>
      <c r="AG49" s="30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0">
        <f t="shared" si="4"/>
        <v>-131706.77418781584</v>
      </c>
      <c r="H50" s="30">
        <f>(INDEX(Option3!H$106:H$117, MATCH($D50, Option3!$G$106:$G$117,0)))*conv_2026*H$7</f>
        <v>0</v>
      </c>
      <c r="I50" s="30">
        <f>(INDEX(Option3!I$106:I$117, MATCH($D50, Option3!$G$106:$G$117,0)))*conv_2026*I$7</f>
        <v>0</v>
      </c>
      <c r="J50" s="30">
        <f>(INDEX(Option3!J$106:J$117, MATCH($D50, Option3!$G$106:$G$117,0)))*conv_2026*J$7</f>
        <v>-87798.245988132534</v>
      </c>
      <c r="K50" s="30">
        <f>(INDEX(Option3!K$106:K$117, MATCH($D50, Option3!$G$106:$G$117,0)))*conv_2026*K$7</f>
        <v>-84788.906887171761</v>
      </c>
      <c r="L50" s="30">
        <f>(INDEX(Option3!L$106:L$117, MATCH($D50, Option3!$G$106:$G$117,0)))*conv_2026*L$7</f>
        <v>-82170.907866407564</v>
      </c>
      <c r="M50" s="30">
        <f>(INDEX(Option3!M$106:M$117, MATCH($D50, Option3!$G$106:$G$117,0)))*conv_2026*M$7</f>
        <v>-79412.417766575745</v>
      </c>
      <c r="N50" s="30">
        <f>(INDEX(Option3!N$106:N$117, MATCH($D50, Option3!$G$106:$G$117,0)))*conv_2026*N$7</f>
        <v>-75969.158602316616</v>
      </c>
      <c r="O50" s="30">
        <f>(INDEX(Option3!O$106:O$117, MATCH($D50, Option3!$G$106:$G$117,0)))*conv_2026*O$7</f>
        <v>-71106.028291781491</v>
      </c>
      <c r="P50" s="30">
        <f>(INDEX(Option3!P$106:P$117, MATCH($D50, Option3!$G$106:$G$117,0)))*conv_2026*P$7</f>
        <v>-64770.933436219486</v>
      </c>
      <c r="Q50" s="30">
        <f>(INDEX(Option3!Q$106:Q$117, MATCH($D50, Option3!$G$106:$G$117,0)))*conv_2026*Q$7</f>
        <v>-57988.290587352822</v>
      </c>
      <c r="R50" s="30">
        <f>(INDEX(Option3!R$106:R$117, MATCH($D50, Option3!$G$106:$G$117,0)))*conv_2026*R$7</f>
        <v>-49063.6547208009</v>
      </c>
      <c r="S50" s="30">
        <f>(INDEX(Option3!S$106:S$117, MATCH($D50, Option3!$G$106:$G$117,0)))*conv_2026*S$7</f>
        <v>-37378.456430539154</v>
      </c>
      <c r="T50" s="30">
        <f>(INDEX(Option3!T$106:T$117, MATCH($D50, Option3!$G$106:$G$117,0)))*conv_2026*T$7</f>
        <v>-22084.490952451481</v>
      </c>
      <c r="U50" s="30">
        <f>(INDEX(Option3!U$106:U$117, MATCH($D50, Option3!$G$106:$G$117,0)))*conv_2026*U$7</f>
        <v>-2016.3498202372168</v>
      </c>
      <c r="V50" s="30">
        <f>(INDEX(Option3!V$106:V$117, MATCH($D50, Option3!$G$106:$G$117,0)))*conv_2026*V$7</f>
        <v>24487.030325585172</v>
      </c>
      <c r="W50" s="30">
        <f>(INDEX(Option3!W$106:W$117, MATCH($D50, Option3!$G$106:$G$117,0)))*conv_2026*W$7</f>
        <v>59640.295710144012</v>
      </c>
      <c r="X50" s="30">
        <f>(INDEX(Option3!X$106:X$117, MATCH($D50, Option3!$G$106:$G$117,0)))*conv_2026*X$7</f>
        <v>106472.71782493133</v>
      </c>
      <c r="Y50" s="30">
        <f>(INDEX(Option3!Y$106:Y$117, MATCH($D50, Option3!$G$106:$G$117,0)))*conv_2026*Y$7</f>
        <v>155452.73916656783</v>
      </c>
      <c r="Z50" s="30">
        <f>(INDEX(Option3!Z$106:Z$117, MATCH($D50, Option3!$G$106:$G$117,0)))*conv_2026*Z$7</f>
        <v>194502.7053150486</v>
      </c>
      <c r="AA50" s="30">
        <f>(INDEX(Option3!AA$106:AA$117, MATCH($D50, Option3!$G$106:$G$117,0)))*conv_2026*AA$7</f>
        <v>171056.19876438013</v>
      </c>
      <c r="AB50" s="30">
        <f>(INDEX(Option3!AB$106:AB$117, MATCH($D50, Option3!$G$106:$G$117,0)))*conv_2026*AB$7</f>
        <v>120823.49158474794</v>
      </c>
      <c r="AC50" s="30">
        <f>(INDEX(Option3!AC$106:AC$117, MATCH($D50, Option3!$G$106:$G$117,0)))*conv_2026*AC$7</f>
        <v>0</v>
      </c>
      <c r="AD50" s="30">
        <f>(INDEX(Option3!AD$106:AD$117, MATCH($D50, Option3!$G$106:$G$117,0)))*conv_2026*AD$7</f>
        <v>0</v>
      </c>
      <c r="AE50" s="30">
        <f>(INDEX(Option3!AE$106:AE$117, MATCH($D50, Option3!$G$106:$G$117,0)))*conv_2026*AE$7</f>
        <v>0</v>
      </c>
      <c r="AF50" s="30">
        <f>(INDEX(Option3!AF$106:AF$117, MATCH($D50, Option3!$G$106:$G$117,0)))*conv_2026*AF$7</f>
        <v>0</v>
      </c>
      <c r="AG50" s="30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0">
        <f t="shared" si="4"/>
        <v>-131706.77418781584</v>
      </c>
      <c r="H51" s="30">
        <f>(INDEX(Option3!H$106:H$117, MATCH($D51, Option3!$G$106:$G$117,0)))*conv_2026*H$7</f>
        <v>0</v>
      </c>
      <c r="I51" s="30">
        <f>(INDEX(Option3!I$106:I$117, MATCH($D51, Option3!$G$106:$G$117,0)))*conv_2026*I$7</f>
        <v>0</v>
      </c>
      <c r="J51" s="30">
        <f>(INDEX(Option3!J$106:J$117, MATCH($D51, Option3!$G$106:$G$117,0)))*conv_2026*J$7</f>
        <v>-87798.245988132534</v>
      </c>
      <c r="K51" s="30">
        <f>(INDEX(Option3!K$106:K$117, MATCH($D51, Option3!$G$106:$G$117,0)))*conv_2026*K$7</f>
        <v>-84788.906887171761</v>
      </c>
      <c r="L51" s="30">
        <f>(INDEX(Option3!L$106:L$117, MATCH($D51, Option3!$G$106:$G$117,0)))*conv_2026*L$7</f>
        <v>-82170.907866407564</v>
      </c>
      <c r="M51" s="30">
        <f>(INDEX(Option3!M$106:M$117, MATCH($D51, Option3!$G$106:$G$117,0)))*conv_2026*M$7</f>
        <v>-79412.417766575745</v>
      </c>
      <c r="N51" s="30">
        <f>(INDEX(Option3!N$106:N$117, MATCH($D51, Option3!$G$106:$G$117,0)))*conv_2026*N$7</f>
        <v>-75969.158602316616</v>
      </c>
      <c r="O51" s="30">
        <f>(INDEX(Option3!O$106:O$117, MATCH($D51, Option3!$G$106:$G$117,0)))*conv_2026*O$7</f>
        <v>-71106.028291781491</v>
      </c>
      <c r="P51" s="30">
        <f>(INDEX(Option3!P$106:P$117, MATCH($D51, Option3!$G$106:$G$117,0)))*conv_2026*P$7</f>
        <v>-64770.933436219486</v>
      </c>
      <c r="Q51" s="30">
        <f>(INDEX(Option3!Q$106:Q$117, MATCH($D51, Option3!$G$106:$G$117,0)))*conv_2026*Q$7</f>
        <v>-57988.290587352822</v>
      </c>
      <c r="R51" s="30">
        <f>(INDEX(Option3!R$106:R$117, MATCH($D51, Option3!$G$106:$G$117,0)))*conv_2026*R$7</f>
        <v>-49063.6547208009</v>
      </c>
      <c r="S51" s="30">
        <f>(INDEX(Option3!S$106:S$117, MATCH($D51, Option3!$G$106:$G$117,0)))*conv_2026*S$7</f>
        <v>-37378.456430539154</v>
      </c>
      <c r="T51" s="30">
        <f>(INDEX(Option3!T$106:T$117, MATCH($D51, Option3!$G$106:$G$117,0)))*conv_2026*T$7</f>
        <v>-22084.490952451481</v>
      </c>
      <c r="U51" s="30">
        <f>(INDEX(Option3!U$106:U$117, MATCH($D51, Option3!$G$106:$G$117,0)))*conv_2026*U$7</f>
        <v>-2016.3498202372168</v>
      </c>
      <c r="V51" s="30">
        <f>(INDEX(Option3!V$106:V$117, MATCH($D51, Option3!$G$106:$G$117,0)))*conv_2026*V$7</f>
        <v>24487.030325585172</v>
      </c>
      <c r="W51" s="30">
        <f>(INDEX(Option3!W$106:W$117, MATCH($D51, Option3!$G$106:$G$117,0)))*conv_2026*W$7</f>
        <v>59640.295710144012</v>
      </c>
      <c r="X51" s="30">
        <f>(INDEX(Option3!X$106:X$117, MATCH($D51, Option3!$G$106:$G$117,0)))*conv_2026*X$7</f>
        <v>106472.71782493133</v>
      </c>
      <c r="Y51" s="30">
        <f>(INDEX(Option3!Y$106:Y$117, MATCH($D51, Option3!$G$106:$G$117,0)))*conv_2026*Y$7</f>
        <v>155452.73916656783</v>
      </c>
      <c r="Z51" s="30">
        <f>(INDEX(Option3!Z$106:Z$117, MATCH($D51, Option3!$G$106:$G$117,0)))*conv_2026*Z$7</f>
        <v>194502.7053150486</v>
      </c>
      <c r="AA51" s="30">
        <f>(INDEX(Option3!AA$106:AA$117, MATCH($D51, Option3!$G$106:$G$117,0)))*conv_2026*AA$7</f>
        <v>171056.19876438013</v>
      </c>
      <c r="AB51" s="30">
        <f>(INDEX(Option3!AB$106:AB$117, MATCH($D51, Option3!$G$106:$G$117,0)))*conv_2026*AB$7</f>
        <v>120823.49158474794</v>
      </c>
      <c r="AC51" s="30">
        <f>(INDEX(Option3!AC$106:AC$117, MATCH($D51, Option3!$G$106:$G$117,0)))*conv_2026*AC$7</f>
        <v>0</v>
      </c>
      <c r="AD51" s="30">
        <f>(INDEX(Option3!AD$106:AD$117, MATCH($D51, Option3!$G$106:$G$117,0)))*conv_2026*AD$7</f>
        <v>0</v>
      </c>
      <c r="AE51" s="30">
        <f>(INDEX(Option3!AE$106:AE$117, MATCH($D51, Option3!$G$106:$G$117,0)))*conv_2026*AE$7</f>
        <v>0</v>
      </c>
      <c r="AF51" s="30">
        <f>(INDEX(Option3!AF$106:AF$117, MATCH($D51, Option3!$G$106:$G$117,0)))*conv_2026*AF$7</f>
        <v>0</v>
      </c>
      <c r="AG51" s="30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0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0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0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0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188</v>
      </c>
      <c r="D56" s="252" t="str">
        <f>A56&amp;B56</f>
        <v>Option 4NPV</v>
      </c>
      <c r="E56" s="253"/>
      <c r="F56" s="30">
        <f t="shared" ref="F56:F65" si="6">SUMPRODUCT($H56:$AG56, $H$5:$AG$5)</f>
        <v>0</v>
      </c>
      <c r="G56" s="245"/>
      <c r="H56" s="30">
        <f>(INDEX(Option4!H$106:H$117, MATCH($D56, Option4!$G$106:$G$117,0)))*conv_2026*H$7</f>
        <v>0</v>
      </c>
      <c r="I56" s="30">
        <f>(INDEX(Option4!I$106:I$117, MATCH($D56, Option4!$G$106:$G$117,0)))*conv_2026*I$7</f>
        <v>0</v>
      </c>
      <c r="J56" s="30">
        <f>(INDEX(Option4!J$106:J$117, MATCH($D56, Option4!$G$106:$G$117,0)))*conv_2026*J$7</f>
        <v>0</v>
      </c>
      <c r="K56" s="30">
        <f>(INDEX(Option4!K$106:K$117, MATCH($D56, Option4!$G$106:$G$117,0)))*conv_2026*K$7</f>
        <v>0</v>
      </c>
      <c r="L56" s="30">
        <f>(INDEX(Option4!L$106:L$117, MATCH($D56, Option4!$G$106:$G$117,0)))*conv_2026*L$7</f>
        <v>0</v>
      </c>
      <c r="M56" s="30">
        <f>(INDEX(Option4!M$106:M$117, MATCH($D56, Option4!$G$106:$G$117,0)))*conv_2026*M$7</f>
        <v>0</v>
      </c>
      <c r="N56" s="30">
        <f>(INDEX(Option4!N$106:N$117, MATCH($D56, Option4!$G$106:$G$117,0)))*conv_2026*N$7</f>
        <v>0</v>
      </c>
      <c r="O56" s="30">
        <f>(INDEX(Option4!O$106:O$117, MATCH($D56, Option4!$G$106:$G$117,0)))*conv_2026*O$7</f>
        <v>0</v>
      </c>
      <c r="P56" s="30">
        <f>(INDEX(Option4!P$106:P$117, MATCH($D56, Option4!$G$106:$G$117,0)))*conv_2026*P$7</f>
        <v>0</v>
      </c>
      <c r="Q56" s="30">
        <f>(INDEX(Option4!Q$106:Q$117, MATCH($D56, Option4!$G$106:$G$117,0)))*conv_2026*Q$7</f>
        <v>0</v>
      </c>
      <c r="R56" s="30">
        <f>(INDEX(Option4!R$106:R$117, MATCH($D56, Option4!$G$106:$G$117,0)))*conv_2026*R$7</f>
        <v>0</v>
      </c>
      <c r="S56" s="30">
        <f>(INDEX(Option4!S$106:S$117, MATCH($D56, Option4!$G$106:$G$117,0)))*conv_2026*S$7</f>
        <v>0</v>
      </c>
      <c r="T56" s="30">
        <f>(INDEX(Option4!T$106:T$117, MATCH($D56, Option4!$G$106:$G$117,0)))*conv_2026*T$7</f>
        <v>0</v>
      </c>
      <c r="U56" s="30">
        <f>(INDEX(Option4!U$106:U$117, MATCH($D56, Option4!$G$106:$G$117,0)))*conv_2026*U$7</f>
        <v>0</v>
      </c>
      <c r="V56" s="30">
        <f>(INDEX(Option4!V$106:V$117, MATCH($D56, Option4!$G$106:$G$117,0)))*conv_2026*V$7</f>
        <v>0</v>
      </c>
      <c r="W56" s="30">
        <f>(INDEX(Option4!W$106:W$117, MATCH($D56, Option4!$G$106:$G$117,0)))*conv_2026*W$7</f>
        <v>0</v>
      </c>
      <c r="X56" s="30">
        <f>(INDEX(Option4!X$106:X$117, MATCH($D56, Option4!$G$106:$G$117,0)))*conv_2026*X$7</f>
        <v>0</v>
      </c>
      <c r="Y56" s="30">
        <f>(INDEX(Option4!Y$106:Y$117, MATCH($D56, Option4!$G$106:$G$117,0)))*conv_2026*Y$7</f>
        <v>0</v>
      </c>
      <c r="Z56" s="30">
        <f>(INDEX(Option4!Z$106:Z$117, MATCH($D56, Option4!$G$106:$G$117,0)))*conv_2026*Z$7</f>
        <v>0</v>
      </c>
      <c r="AA56" s="30">
        <f>(INDEX(Option4!AA$106:AA$117, MATCH($D56, Option4!$G$106:$G$117,0)))*conv_2026*AA$7</f>
        <v>0</v>
      </c>
      <c r="AB56" s="30">
        <f>(INDEX(Option4!AB$106:AB$117, MATCH($D56, Option4!$G$106:$G$117,0)))*conv_2026*AB$7</f>
        <v>0</v>
      </c>
      <c r="AC56" s="30">
        <f>(INDEX(Option4!AC$106:AC$117, MATCH($D56, Option4!$G$106:$G$117,0)))*conv_2026*AC$7</f>
        <v>0</v>
      </c>
      <c r="AD56" s="30">
        <f>(INDEX(Option4!AD$106:AD$117, MATCH($D56, Option4!$G$106:$G$117,0)))*conv_2026*AD$7</f>
        <v>0</v>
      </c>
      <c r="AE56" s="30">
        <f>(INDEX(Option4!AE$106:AE$117, MATCH($D56, Option4!$G$106:$G$117,0)))*conv_2026*AE$7</f>
        <v>0</v>
      </c>
      <c r="AF56" s="30">
        <f>(INDEX(Option4!AF$106:AF$117, MATCH($D56, Option4!$G$106:$G$117,0)))*conv_2026*AF$7</f>
        <v>0</v>
      </c>
      <c r="AG56" s="30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0">
        <f t="shared" si="6"/>
        <v>0</v>
      </c>
      <c r="G58" s="245"/>
      <c r="H58" s="30">
        <f>(INDEX(Option4!H$106:H$117, MATCH($D58, Option4!$G$106:$G$117,0)))*conv_2026*H$7</f>
        <v>0</v>
      </c>
      <c r="I58" s="30">
        <f>(INDEX(Option4!I$106:I$117, MATCH($D58, Option4!$G$106:$G$117,0)))*conv_2026*I$7</f>
        <v>0</v>
      </c>
      <c r="J58" s="30">
        <f>(INDEX(Option4!J$106:J$117, MATCH($D58, Option4!$G$106:$G$117,0)))*conv_2026*J$7</f>
        <v>0</v>
      </c>
      <c r="K58" s="30">
        <f>(INDEX(Option4!K$106:K$117, MATCH($D58, Option4!$G$106:$G$117,0)))*conv_2026*K$7</f>
        <v>0</v>
      </c>
      <c r="L58" s="30">
        <f>(INDEX(Option4!L$106:L$117, MATCH($D58, Option4!$G$106:$G$117,0)))*conv_2026*L$7</f>
        <v>0</v>
      </c>
      <c r="M58" s="30">
        <f>(INDEX(Option4!M$106:M$117, MATCH($D58, Option4!$G$106:$G$117,0)))*conv_2026*M$7</f>
        <v>0</v>
      </c>
      <c r="N58" s="30">
        <f>(INDEX(Option4!N$106:N$117, MATCH($D58, Option4!$G$106:$G$117,0)))*conv_2026*N$7</f>
        <v>0</v>
      </c>
      <c r="O58" s="30">
        <f>(INDEX(Option4!O$106:O$117, MATCH($D58, Option4!$G$106:$G$117,0)))*conv_2026*O$7</f>
        <v>0</v>
      </c>
      <c r="P58" s="30">
        <f>(INDEX(Option4!P$106:P$117, MATCH($D58, Option4!$G$106:$G$117,0)))*conv_2026*P$7</f>
        <v>0</v>
      </c>
      <c r="Q58" s="30">
        <f>(INDEX(Option4!Q$106:Q$117, MATCH($D58, Option4!$G$106:$G$117,0)))*conv_2026*Q$7</f>
        <v>0</v>
      </c>
      <c r="R58" s="30">
        <f>(INDEX(Option4!R$106:R$117, MATCH($D58, Option4!$G$106:$G$117,0)))*conv_2026*R$7</f>
        <v>0</v>
      </c>
      <c r="S58" s="30">
        <f>(INDEX(Option4!S$106:S$117, MATCH($D58, Option4!$G$106:$G$117,0)))*conv_2026*S$7</f>
        <v>0</v>
      </c>
      <c r="T58" s="30">
        <f>(INDEX(Option4!T$106:T$117, MATCH($D58, Option4!$G$106:$G$117,0)))*conv_2026*T$7</f>
        <v>0</v>
      </c>
      <c r="U58" s="30">
        <f>(INDEX(Option4!U$106:U$117, MATCH($D58, Option4!$G$106:$G$117,0)))*conv_2026*U$7</f>
        <v>0</v>
      </c>
      <c r="V58" s="30">
        <f>(INDEX(Option4!V$106:V$117, MATCH($D58, Option4!$G$106:$G$117,0)))*conv_2026*V$7</f>
        <v>0</v>
      </c>
      <c r="W58" s="30">
        <f>(INDEX(Option4!W$106:W$117, MATCH($D58, Option4!$G$106:$G$117,0)))*conv_2026*W$7</f>
        <v>0</v>
      </c>
      <c r="X58" s="30">
        <f>(INDEX(Option4!X$106:X$117, MATCH($D58, Option4!$G$106:$G$117,0)))*conv_2026*X$7</f>
        <v>0</v>
      </c>
      <c r="Y58" s="30">
        <f>(INDEX(Option4!Y$106:Y$117, MATCH($D58, Option4!$G$106:$G$117,0)))*conv_2026*Y$7</f>
        <v>0</v>
      </c>
      <c r="Z58" s="30">
        <f>(INDEX(Option4!Z$106:Z$117, MATCH($D58, Option4!$G$106:$G$117,0)))*conv_2026*Z$7</f>
        <v>0</v>
      </c>
      <c r="AA58" s="30">
        <f>(INDEX(Option4!AA$106:AA$117, MATCH($D58, Option4!$G$106:$G$117,0)))*conv_2026*AA$7</f>
        <v>0</v>
      </c>
      <c r="AB58" s="30">
        <f>(INDEX(Option4!AB$106:AB$117, MATCH($D58, Option4!$G$106:$G$117,0)))*conv_2026*AB$7</f>
        <v>0</v>
      </c>
      <c r="AC58" s="30">
        <f>(INDEX(Option4!AC$106:AC$117, MATCH($D58, Option4!$G$106:$G$117,0)))*conv_2026*AC$7</f>
        <v>0</v>
      </c>
      <c r="AD58" s="30">
        <f>(INDEX(Option4!AD$106:AD$117, MATCH($D58, Option4!$G$106:$G$117,0)))*conv_2026*AD$7</f>
        <v>0</v>
      </c>
      <c r="AE58" s="30">
        <f>(INDEX(Option4!AE$106:AE$117, MATCH($D58, Option4!$G$106:$G$117,0)))*conv_2026*AE$7</f>
        <v>0</v>
      </c>
      <c r="AF58" s="30">
        <f>(INDEX(Option4!AF$106:AF$117, MATCH($D58, Option4!$G$106:$G$117,0)))*conv_2026*AF$7</f>
        <v>0</v>
      </c>
      <c r="AG58" s="30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0">
        <f t="shared" si="6"/>
        <v>0</v>
      </c>
      <c r="G59" s="252"/>
      <c r="H59" s="30">
        <f>(INDEX(Option4!H$106:H$117, MATCH($D59, Option4!$G$106:$G$117,0)))*conv_2026*H$7</f>
        <v>0</v>
      </c>
      <c r="I59" s="30">
        <f>(INDEX(Option4!I$106:I$117, MATCH($D59, Option4!$G$106:$G$117,0)))*conv_2026*I$7</f>
        <v>0</v>
      </c>
      <c r="J59" s="30">
        <f>(INDEX(Option4!J$106:J$117, MATCH($D59, Option4!$G$106:$G$117,0)))*conv_2026*J$7</f>
        <v>0</v>
      </c>
      <c r="K59" s="30">
        <f>(INDEX(Option4!K$106:K$117, MATCH($D59, Option4!$G$106:$G$117,0)))*conv_2026*K$7</f>
        <v>0</v>
      </c>
      <c r="L59" s="30">
        <f>(INDEX(Option4!L$106:L$117, MATCH($D59, Option4!$G$106:$G$117,0)))*conv_2026*L$7</f>
        <v>0</v>
      </c>
      <c r="M59" s="30">
        <f>(INDEX(Option4!M$106:M$117, MATCH($D59, Option4!$G$106:$G$117,0)))*conv_2026*M$7</f>
        <v>0</v>
      </c>
      <c r="N59" s="30">
        <f>(INDEX(Option4!N$106:N$117, MATCH($D59, Option4!$G$106:$G$117,0)))*conv_2026*N$7</f>
        <v>0</v>
      </c>
      <c r="O59" s="30">
        <f>(INDEX(Option4!O$106:O$117, MATCH($D59, Option4!$G$106:$G$117,0)))*conv_2026*O$7</f>
        <v>0</v>
      </c>
      <c r="P59" s="30">
        <f>(INDEX(Option4!P$106:P$117, MATCH($D59, Option4!$G$106:$G$117,0)))*conv_2026*P$7</f>
        <v>0</v>
      </c>
      <c r="Q59" s="30">
        <f>(INDEX(Option4!Q$106:Q$117, MATCH($D59, Option4!$G$106:$G$117,0)))*conv_2026*Q$7</f>
        <v>0</v>
      </c>
      <c r="R59" s="30">
        <f>(INDEX(Option4!R$106:R$117, MATCH($D59, Option4!$G$106:$G$117,0)))*conv_2026*R$7</f>
        <v>0</v>
      </c>
      <c r="S59" s="30">
        <f>(INDEX(Option4!S$106:S$117, MATCH($D59, Option4!$G$106:$G$117,0)))*conv_2026*S$7</f>
        <v>0</v>
      </c>
      <c r="T59" s="30">
        <f>(INDEX(Option4!T$106:T$117, MATCH($D59, Option4!$G$106:$G$117,0)))*conv_2026*T$7</f>
        <v>0</v>
      </c>
      <c r="U59" s="30">
        <f>(INDEX(Option4!U$106:U$117, MATCH($D59, Option4!$G$106:$G$117,0)))*conv_2026*U$7</f>
        <v>0</v>
      </c>
      <c r="V59" s="30">
        <f>(INDEX(Option4!V$106:V$117, MATCH($D59, Option4!$G$106:$G$117,0)))*conv_2026*V$7</f>
        <v>0</v>
      </c>
      <c r="W59" s="30">
        <f>(INDEX(Option4!W$106:W$117, MATCH($D59, Option4!$G$106:$G$117,0)))*conv_2026*W$7</f>
        <v>0</v>
      </c>
      <c r="X59" s="30">
        <f>(INDEX(Option4!X$106:X$117, MATCH($D59, Option4!$G$106:$G$117,0)))*conv_2026*X$7</f>
        <v>0</v>
      </c>
      <c r="Y59" s="30">
        <f>(INDEX(Option4!Y$106:Y$117, MATCH($D59, Option4!$G$106:$G$117,0)))*conv_2026*Y$7</f>
        <v>0</v>
      </c>
      <c r="Z59" s="30">
        <f>(INDEX(Option4!Z$106:Z$117, MATCH($D59, Option4!$G$106:$G$117,0)))*conv_2026*Z$7</f>
        <v>0</v>
      </c>
      <c r="AA59" s="30">
        <f>(INDEX(Option4!AA$106:AA$117, MATCH($D59, Option4!$G$106:$G$117,0)))*conv_2026*AA$7</f>
        <v>0</v>
      </c>
      <c r="AB59" s="30">
        <f>(INDEX(Option4!AB$106:AB$117, MATCH($D59, Option4!$G$106:$G$117,0)))*conv_2026*AB$7</f>
        <v>0</v>
      </c>
      <c r="AC59" s="30">
        <f>(INDEX(Option4!AC$106:AC$117, MATCH($D59, Option4!$G$106:$G$117,0)))*conv_2026*AC$7</f>
        <v>0</v>
      </c>
      <c r="AD59" s="30">
        <f>(INDEX(Option4!AD$106:AD$117, MATCH($D59, Option4!$G$106:$G$117,0)))*conv_2026*AD$7</f>
        <v>0</v>
      </c>
      <c r="AE59" s="30">
        <f>(INDEX(Option4!AE$106:AE$117, MATCH($D59, Option4!$G$106:$G$117,0)))*conv_2026*AE$7</f>
        <v>0</v>
      </c>
      <c r="AF59" s="30">
        <f>(INDEX(Option4!AF$106:AF$117, MATCH($D59, Option4!$G$106:$G$117,0)))*conv_2026*AF$7</f>
        <v>0</v>
      </c>
      <c r="AG59" s="30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0">
        <f t="shared" si="6"/>
        <v>0</v>
      </c>
      <c r="H60" s="30">
        <f>(INDEX(Option4!H$106:H$117, MATCH($D60, Option4!$G$106:$G$117,0)))*conv_2026*H$7</f>
        <v>0</v>
      </c>
      <c r="I60" s="30">
        <f>(INDEX(Option4!I$106:I$117, MATCH($D60, Option4!$G$106:$G$117,0)))*conv_2026*I$7</f>
        <v>0</v>
      </c>
      <c r="J60" s="30">
        <f>(INDEX(Option4!J$106:J$117, MATCH($D60, Option4!$G$106:$G$117,0)))*conv_2026*J$7</f>
        <v>0</v>
      </c>
      <c r="K60" s="30">
        <f>(INDEX(Option4!K$106:K$117, MATCH($D60, Option4!$G$106:$G$117,0)))*conv_2026*K$7</f>
        <v>0</v>
      </c>
      <c r="L60" s="30">
        <f>(INDEX(Option4!L$106:L$117, MATCH($D60, Option4!$G$106:$G$117,0)))*conv_2026*L$7</f>
        <v>0</v>
      </c>
      <c r="M60" s="30">
        <f>(INDEX(Option4!M$106:M$117, MATCH($D60, Option4!$G$106:$G$117,0)))*conv_2026*M$7</f>
        <v>0</v>
      </c>
      <c r="N60" s="30">
        <f>(INDEX(Option4!N$106:N$117, MATCH($D60, Option4!$G$106:$G$117,0)))*conv_2026*N$7</f>
        <v>0</v>
      </c>
      <c r="O60" s="30">
        <f>(INDEX(Option4!O$106:O$117, MATCH($D60, Option4!$G$106:$G$117,0)))*conv_2026*O$7</f>
        <v>0</v>
      </c>
      <c r="P60" s="30">
        <f>(INDEX(Option4!P$106:P$117, MATCH($D60, Option4!$G$106:$G$117,0)))*conv_2026*P$7</f>
        <v>0</v>
      </c>
      <c r="Q60" s="30">
        <f>(INDEX(Option4!Q$106:Q$117, MATCH($D60, Option4!$G$106:$G$117,0)))*conv_2026*Q$7</f>
        <v>0</v>
      </c>
      <c r="R60" s="30">
        <f>(INDEX(Option4!R$106:R$117, MATCH($D60, Option4!$G$106:$G$117,0)))*conv_2026*R$7</f>
        <v>0</v>
      </c>
      <c r="S60" s="30">
        <f>(INDEX(Option4!S$106:S$117, MATCH($D60, Option4!$G$106:$G$117,0)))*conv_2026*S$7</f>
        <v>0</v>
      </c>
      <c r="T60" s="30">
        <f>(INDEX(Option4!T$106:T$117, MATCH($D60, Option4!$G$106:$G$117,0)))*conv_2026*T$7</f>
        <v>0</v>
      </c>
      <c r="U60" s="30">
        <f>(INDEX(Option4!U$106:U$117, MATCH($D60, Option4!$G$106:$G$117,0)))*conv_2026*U$7</f>
        <v>0</v>
      </c>
      <c r="V60" s="30">
        <f>(INDEX(Option4!V$106:V$117, MATCH($D60, Option4!$G$106:$G$117,0)))*conv_2026*V$7</f>
        <v>0</v>
      </c>
      <c r="W60" s="30">
        <f>(INDEX(Option4!W$106:W$117, MATCH($D60, Option4!$G$106:$G$117,0)))*conv_2026*W$7</f>
        <v>0</v>
      </c>
      <c r="X60" s="30">
        <f>(INDEX(Option4!X$106:X$117, MATCH($D60, Option4!$G$106:$G$117,0)))*conv_2026*X$7</f>
        <v>0</v>
      </c>
      <c r="Y60" s="30">
        <f>(INDEX(Option4!Y$106:Y$117, MATCH($D60, Option4!$G$106:$G$117,0)))*conv_2026*Y$7</f>
        <v>0</v>
      </c>
      <c r="Z60" s="30">
        <f>(INDEX(Option4!Z$106:Z$117, MATCH($D60, Option4!$G$106:$G$117,0)))*conv_2026*Z$7</f>
        <v>0</v>
      </c>
      <c r="AA60" s="30">
        <f>(INDEX(Option4!AA$106:AA$117, MATCH($D60, Option4!$G$106:$G$117,0)))*conv_2026*AA$7</f>
        <v>0</v>
      </c>
      <c r="AB60" s="30">
        <f>(INDEX(Option4!AB$106:AB$117, MATCH($D60, Option4!$G$106:$G$117,0)))*conv_2026*AB$7</f>
        <v>0</v>
      </c>
      <c r="AC60" s="30">
        <f>(INDEX(Option4!AC$106:AC$117, MATCH($D60, Option4!$G$106:$G$117,0)))*conv_2026*AC$7</f>
        <v>0</v>
      </c>
      <c r="AD60" s="30">
        <f>(INDEX(Option4!AD$106:AD$117, MATCH($D60, Option4!$G$106:$G$117,0)))*conv_2026*AD$7</f>
        <v>0</v>
      </c>
      <c r="AE60" s="30">
        <f>(INDEX(Option4!AE$106:AE$117, MATCH($D60, Option4!$G$106:$G$117,0)))*conv_2026*AE$7</f>
        <v>0</v>
      </c>
      <c r="AF60" s="30">
        <f>(INDEX(Option4!AF$106:AF$117, MATCH($D60, Option4!$G$106:$G$117,0)))*conv_2026*AF$7</f>
        <v>0</v>
      </c>
      <c r="AG60" s="30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0">
        <f t="shared" si="6"/>
        <v>0</v>
      </c>
      <c r="H61" s="30">
        <f>(INDEX(Option4!H$106:H$117, MATCH($D61, Option4!$G$106:$G$117,0)))*conv_2026*H$7</f>
        <v>0</v>
      </c>
      <c r="I61" s="30">
        <f>(INDEX(Option4!I$106:I$117, MATCH($D61, Option4!$G$106:$G$117,0)))*conv_2026*I$7</f>
        <v>0</v>
      </c>
      <c r="J61" s="30">
        <f>(INDEX(Option4!J$106:J$117, MATCH($D61, Option4!$G$106:$G$117,0)))*conv_2026*J$7</f>
        <v>0</v>
      </c>
      <c r="K61" s="30">
        <f>(INDEX(Option4!K$106:K$117, MATCH($D61, Option4!$G$106:$G$117,0)))*conv_2026*K$7</f>
        <v>0</v>
      </c>
      <c r="L61" s="30">
        <f>(INDEX(Option4!L$106:L$117, MATCH($D61, Option4!$G$106:$G$117,0)))*conv_2026*L$7</f>
        <v>0</v>
      </c>
      <c r="M61" s="30">
        <f>(INDEX(Option4!M$106:M$117, MATCH($D61, Option4!$G$106:$G$117,0)))*conv_2026*M$7</f>
        <v>0</v>
      </c>
      <c r="N61" s="30">
        <f>(INDEX(Option4!N$106:N$117, MATCH($D61, Option4!$G$106:$G$117,0)))*conv_2026*N$7</f>
        <v>0</v>
      </c>
      <c r="O61" s="30">
        <f>(INDEX(Option4!O$106:O$117, MATCH($D61, Option4!$G$106:$G$117,0)))*conv_2026*O$7</f>
        <v>0</v>
      </c>
      <c r="P61" s="30">
        <f>(INDEX(Option4!P$106:P$117, MATCH($D61, Option4!$G$106:$G$117,0)))*conv_2026*P$7</f>
        <v>0</v>
      </c>
      <c r="Q61" s="30">
        <f>(INDEX(Option4!Q$106:Q$117, MATCH($D61, Option4!$G$106:$G$117,0)))*conv_2026*Q$7</f>
        <v>0</v>
      </c>
      <c r="R61" s="30">
        <f>(INDEX(Option4!R$106:R$117, MATCH($D61, Option4!$G$106:$G$117,0)))*conv_2026*R$7</f>
        <v>0</v>
      </c>
      <c r="S61" s="30">
        <f>(INDEX(Option4!S$106:S$117, MATCH($D61, Option4!$G$106:$G$117,0)))*conv_2026*S$7</f>
        <v>0</v>
      </c>
      <c r="T61" s="30">
        <f>(INDEX(Option4!T$106:T$117, MATCH($D61, Option4!$G$106:$G$117,0)))*conv_2026*T$7</f>
        <v>0</v>
      </c>
      <c r="U61" s="30">
        <f>(INDEX(Option4!U$106:U$117, MATCH($D61, Option4!$G$106:$G$117,0)))*conv_2026*U$7</f>
        <v>0</v>
      </c>
      <c r="V61" s="30">
        <f>(INDEX(Option4!V$106:V$117, MATCH($D61, Option4!$G$106:$G$117,0)))*conv_2026*V$7</f>
        <v>0</v>
      </c>
      <c r="W61" s="30">
        <f>(INDEX(Option4!W$106:W$117, MATCH($D61, Option4!$G$106:$G$117,0)))*conv_2026*W$7</f>
        <v>0</v>
      </c>
      <c r="X61" s="30">
        <f>(INDEX(Option4!X$106:X$117, MATCH($D61, Option4!$G$106:$G$117,0)))*conv_2026*X$7</f>
        <v>0</v>
      </c>
      <c r="Y61" s="30">
        <f>(INDEX(Option4!Y$106:Y$117, MATCH($D61, Option4!$G$106:$G$117,0)))*conv_2026*Y$7</f>
        <v>0</v>
      </c>
      <c r="Z61" s="30">
        <f>(INDEX(Option4!Z$106:Z$117, MATCH($D61, Option4!$G$106:$G$117,0)))*conv_2026*Z$7</f>
        <v>0</v>
      </c>
      <c r="AA61" s="30">
        <f>(INDEX(Option4!AA$106:AA$117, MATCH($D61, Option4!$G$106:$G$117,0)))*conv_2026*AA$7</f>
        <v>0</v>
      </c>
      <c r="AB61" s="30">
        <f>(INDEX(Option4!AB$106:AB$117, MATCH($D61, Option4!$G$106:$G$117,0)))*conv_2026*AB$7</f>
        <v>0</v>
      </c>
      <c r="AC61" s="30">
        <f>(INDEX(Option4!AC$106:AC$117, MATCH($D61, Option4!$G$106:$G$117,0)))*conv_2026*AC$7</f>
        <v>0</v>
      </c>
      <c r="AD61" s="30">
        <f>(INDEX(Option4!AD$106:AD$117, MATCH($D61, Option4!$G$106:$G$117,0)))*conv_2026*AD$7</f>
        <v>0</v>
      </c>
      <c r="AE61" s="30">
        <f>(INDEX(Option4!AE$106:AE$117, MATCH($D61, Option4!$G$106:$G$117,0)))*conv_2026*AE$7</f>
        <v>0</v>
      </c>
      <c r="AF61" s="30">
        <f>(INDEX(Option4!AF$106:AF$117, MATCH($D61, Option4!$G$106:$G$117,0)))*conv_2026*AF$7</f>
        <v>0</v>
      </c>
      <c r="AG61" s="30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0">
        <f t="shared" si="6"/>
        <v>0</v>
      </c>
      <c r="H62" s="30">
        <f>(INDEX(Option4!H$106:H$117, MATCH($D62, Option4!$G$106:$G$117,0)))*conv_2026*H$7</f>
        <v>0</v>
      </c>
      <c r="I62" s="30">
        <f>(INDEX(Option4!I$106:I$117, MATCH($D62, Option4!$G$106:$G$117,0)))*conv_2026*I$7</f>
        <v>0</v>
      </c>
      <c r="J62" s="30">
        <f>(INDEX(Option4!J$106:J$117, MATCH($D62, Option4!$G$106:$G$117,0)))*conv_2026*J$7</f>
        <v>0</v>
      </c>
      <c r="K62" s="30">
        <f>(INDEX(Option4!K$106:K$117, MATCH($D62, Option4!$G$106:$G$117,0)))*conv_2026*K$7</f>
        <v>0</v>
      </c>
      <c r="L62" s="30">
        <f>(INDEX(Option4!L$106:L$117, MATCH($D62, Option4!$G$106:$G$117,0)))*conv_2026*L$7</f>
        <v>0</v>
      </c>
      <c r="M62" s="30">
        <f>(INDEX(Option4!M$106:M$117, MATCH($D62, Option4!$G$106:$G$117,0)))*conv_2026*M$7</f>
        <v>0</v>
      </c>
      <c r="N62" s="30">
        <f>(INDEX(Option4!N$106:N$117, MATCH($D62, Option4!$G$106:$G$117,0)))*conv_2026*N$7</f>
        <v>0</v>
      </c>
      <c r="O62" s="30">
        <f>(INDEX(Option4!O$106:O$117, MATCH($D62, Option4!$G$106:$G$117,0)))*conv_2026*O$7</f>
        <v>0</v>
      </c>
      <c r="P62" s="30">
        <f>(INDEX(Option4!P$106:P$117, MATCH($D62, Option4!$G$106:$G$117,0)))*conv_2026*P$7</f>
        <v>0</v>
      </c>
      <c r="Q62" s="30">
        <f>(INDEX(Option4!Q$106:Q$117, MATCH($D62, Option4!$G$106:$G$117,0)))*conv_2026*Q$7</f>
        <v>0</v>
      </c>
      <c r="R62" s="30">
        <f>(INDEX(Option4!R$106:R$117, MATCH($D62, Option4!$G$106:$G$117,0)))*conv_2026*R$7</f>
        <v>0</v>
      </c>
      <c r="S62" s="30">
        <f>(INDEX(Option4!S$106:S$117, MATCH($D62, Option4!$G$106:$G$117,0)))*conv_2026*S$7</f>
        <v>0</v>
      </c>
      <c r="T62" s="30">
        <f>(INDEX(Option4!T$106:T$117, MATCH($D62, Option4!$G$106:$G$117,0)))*conv_2026*T$7</f>
        <v>0</v>
      </c>
      <c r="U62" s="30">
        <f>(INDEX(Option4!U$106:U$117, MATCH($D62, Option4!$G$106:$G$117,0)))*conv_2026*U$7</f>
        <v>0</v>
      </c>
      <c r="V62" s="30">
        <f>(INDEX(Option4!V$106:V$117, MATCH($D62, Option4!$G$106:$G$117,0)))*conv_2026*V$7</f>
        <v>0</v>
      </c>
      <c r="W62" s="30">
        <f>(INDEX(Option4!W$106:W$117, MATCH($D62, Option4!$G$106:$G$117,0)))*conv_2026*W$7</f>
        <v>0</v>
      </c>
      <c r="X62" s="30">
        <f>(INDEX(Option4!X$106:X$117, MATCH($D62, Option4!$G$106:$G$117,0)))*conv_2026*X$7</f>
        <v>0</v>
      </c>
      <c r="Y62" s="30">
        <f>(INDEX(Option4!Y$106:Y$117, MATCH($D62, Option4!$G$106:$G$117,0)))*conv_2026*Y$7</f>
        <v>0</v>
      </c>
      <c r="Z62" s="30">
        <f>(INDEX(Option4!Z$106:Z$117, MATCH($D62, Option4!$G$106:$G$117,0)))*conv_2026*Z$7</f>
        <v>0</v>
      </c>
      <c r="AA62" s="30">
        <f>(INDEX(Option4!AA$106:AA$117, MATCH($D62, Option4!$G$106:$G$117,0)))*conv_2026*AA$7</f>
        <v>0</v>
      </c>
      <c r="AB62" s="30">
        <f>(INDEX(Option4!AB$106:AB$117, MATCH($D62, Option4!$G$106:$G$117,0)))*conv_2026*AB$7</f>
        <v>0</v>
      </c>
      <c r="AC62" s="30">
        <f>(INDEX(Option4!AC$106:AC$117, MATCH($D62, Option4!$G$106:$G$117,0)))*conv_2026*AC$7</f>
        <v>0</v>
      </c>
      <c r="AD62" s="30">
        <f>(INDEX(Option4!AD$106:AD$117, MATCH($D62, Option4!$G$106:$G$117,0)))*conv_2026*AD$7</f>
        <v>0</v>
      </c>
      <c r="AE62" s="30">
        <f>(INDEX(Option4!AE$106:AE$117, MATCH($D62, Option4!$G$106:$G$117,0)))*conv_2026*AE$7</f>
        <v>0</v>
      </c>
      <c r="AF62" s="30">
        <f>(INDEX(Option4!AF$106:AF$117, MATCH($D62, Option4!$G$106:$G$117,0)))*conv_2026*AF$7</f>
        <v>0</v>
      </c>
      <c r="AG62" s="30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0">
        <f t="shared" si="6"/>
        <v>0</v>
      </c>
      <c r="H63" s="30">
        <f>(INDEX(Option4!H$106:H$117, MATCH($D63, Option4!$G$106:$G$117,0)))*conv_2026*H$7</f>
        <v>0</v>
      </c>
      <c r="I63" s="30">
        <f>(INDEX(Option4!I$106:I$117, MATCH($D63, Option4!$G$106:$G$117,0)))*conv_2026*I$7</f>
        <v>0</v>
      </c>
      <c r="J63" s="30">
        <f>(INDEX(Option4!J$106:J$117, MATCH($D63, Option4!$G$106:$G$117,0)))*conv_2026*J$7</f>
        <v>0</v>
      </c>
      <c r="K63" s="30">
        <f>(INDEX(Option4!K$106:K$117, MATCH($D63, Option4!$G$106:$G$117,0)))*conv_2026*K$7</f>
        <v>0</v>
      </c>
      <c r="L63" s="30">
        <f>(INDEX(Option4!L$106:L$117, MATCH($D63, Option4!$G$106:$G$117,0)))*conv_2026*L$7</f>
        <v>0</v>
      </c>
      <c r="M63" s="30">
        <f>(INDEX(Option4!M$106:M$117, MATCH($D63, Option4!$G$106:$G$117,0)))*conv_2026*M$7</f>
        <v>0</v>
      </c>
      <c r="N63" s="30">
        <f>(INDEX(Option4!N$106:N$117, MATCH($D63, Option4!$G$106:$G$117,0)))*conv_2026*N$7</f>
        <v>0</v>
      </c>
      <c r="O63" s="30">
        <f>(INDEX(Option4!O$106:O$117, MATCH($D63, Option4!$G$106:$G$117,0)))*conv_2026*O$7</f>
        <v>0</v>
      </c>
      <c r="P63" s="30">
        <f>(INDEX(Option4!P$106:P$117, MATCH($D63, Option4!$G$106:$G$117,0)))*conv_2026*P$7</f>
        <v>0</v>
      </c>
      <c r="Q63" s="30">
        <f>(INDEX(Option4!Q$106:Q$117, MATCH($D63, Option4!$G$106:$G$117,0)))*conv_2026*Q$7</f>
        <v>0</v>
      </c>
      <c r="R63" s="30">
        <f>(INDEX(Option4!R$106:R$117, MATCH($D63, Option4!$G$106:$G$117,0)))*conv_2026*R$7</f>
        <v>0</v>
      </c>
      <c r="S63" s="30">
        <f>(INDEX(Option4!S$106:S$117, MATCH($D63, Option4!$G$106:$G$117,0)))*conv_2026*S$7</f>
        <v>0</v>
      </c>
      <c r="T63" s="30">
        <f>(INDEX(Option4!T$106:T$117, MATCH($D63, Option4!$G$106:$G$117,0)))*conv_2026*T$7</f>
        <v>0</v>
      </c>
      <c r="U63" s="30">
        <f>(INDEX(Option4!U$106:U$117, MATCH($D63, Option4!$G$106:$G$117,0)))*conv_2026*U$7</f>
        <v>0</v>
      </c>
      <c r="V63" s="30">
        <f>(INDEX(Option4!V$106:V$117, MATCH($D63, Option4!$G$106:$G$117,0)))*conv_2026*V$7</f>
        <v>0</v>
      </c>
      <c r="W63" s="30">
        <f>(INDEX(Option4!W$106:W$117, MATCH($D63, Option4!$G$106:$G$117,0)))*conv_2026*W$7</f>
        <v>0</v>
      </c>
      <c r="X63" s="30">
        <f>(INDEX(Option4!X$106:X$117, MATCH($D63, Option4!$G$106:$G$117,0)))*conv_2026*X$7</f>
        <v>0</v>
      </c>
      <c r="Y63" s="30">
        <f>(INDEX(Option4!Y$106:Y$117, MATCH($D63, Option4!$G$106:$G$117,0)))*conv_2026*Y$7</f>
        <v>0</v>
      </c>
      <c r="Z63" s="30">
        <f>(INDEX(Option4!Z$106:Z$117, MATCH($D63, Option4!$G$106:$G$117,0)))*conv_2026*Z$7</f>
        <v>0</v>
      </c>
      <c r="AA63" s="30">
        <f>(INDEX(Option4!AA$106:AA$117, MATCH($D63, Option4!$G$106:$G$117,0)))*conv_2026*AA$7</f>
        <v>0</v>
      </c>
      <c r="AB63" s="30">
        <f>(INDEX(Option4!AB$106:AB$117, MATCH($D63, Option4!$G$106:$G$117,0)))*conv_2026*AB$7</f>
        <v>0</v>
      </c>
      <c r="AC63" s="30">
        <f>(INDEX(Option4!AC$106:AC$117, MATCH($D63, Option4!$G$106:$G$117,0)))*conv_2026*AC$7</f>
        <v>0</v>
      </c>
      <c r="AD63" s="30">
        <f>(INDEX(Option4!AD$106:AD$117, MATCH($D63, Option4!$G$106:$G$117,0)))*conv_2026*AD$7</f>
        <v>0</v>
      </c>
      <c r="AE63" s="30">
        <f>(INDEX(Option4!AE$106:AE$117, MATCH($D63, Option4!$G$106:$G$117,0)))*conv_2026*AE$7</f>
        <v>0</v>
      </c>
      <c r="AF63" s="30">
        <f>(INDEX(Option4!AF$106:AF$117, MATCH($D63, Option4!$G$106:$G$117,0)))*conv_2026*AF$7</f>
        <v>0</v>
      </c>
      <c r="AG63" s="30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0">
        <f t="shared" si="6"/>
        <v>0</v>
      </c>
      <c r="H64" s="30">
        <f>(INDEX(Option4!H$106:H$117, MATCH($D64, Option4!$G$106:$G$117,0)))*conv_2026*H$7</f>
        <v>0</v>
      </c>
      <c r="I64" s="30">
        <f>(INDEX(Option4!I$106:I$117, MATCH($D64, Option4!$G$106:$G$117,0)))*conv_2026*I$7</f>
        <v>0</v>
      </c>
      <c r="J64" s="30">
        <f>(INDEX(Option4!J$106:J$117, MATCH($D64, Option4!$G$106:$G$117,0)))*conv_2026*J$7</f>
        <v>0</v>
      </c>
      <c r="K64" s="30">
        <f>(INDEX(Option4!K$106:K$117, MATCH($D64, Option4!$G$106:$G$117,0)))*conv_2026*K$7</f>
        <v>0</v>
      </c>
      <c r="L64" s="30">
        <f>(INDEX(Option4!L$106:L$117, MATCH($D64, Option4!$G$106:$G$117,0)))*conv_2026*L$7</f>
        <v>0</v>
      </c>
      <c r="M64" s="30">
        <f>(INDEX(Option4!M$106:M$117, MATCH($D64, Option4!$G$106:$G$117,0)))*conv_2026*M$7</f>
        <v>0</v>
      </c>
      <c r="N64" s="30">
        <f>(INDEX(Option4!N$106:N$117, MATCH($D64, Option4!$G$106:$G$117,0)))*conv_2026*N$7</f>
        <v>0</v>
      </c>
      <c r="O64" s="30">
        <f>(INDEX(Option4!O$106:O$117, MATCH($D64, Option4!$G$106:$G$117,0)))*conv_2026*O$7</f>
        <v>0</v>
      </c>
      <c r="P64" s="30">
        <f>(INDEX(Option4!P$106:P$117, MATCH($D64, Option4!$G$106:$G$117,0)))*conv_2026*P$7</f>
        <v>0</v>
      </c>
      <c r="Q64" s="30">
        <f>(INDEX(Option4!Q$106:Q$117, MATCH($D64, Option4!$G$106:$G$117,0)))*conv_2026*Q$7</f>
        <v>0</v>
      </c>
      <c r="R64" s="30">
        <f>(INDEX(Option4!R$106:R$117, MATCH($D64, Option4!$G$106:$G$117,0)))*conv_2026*R$7</f>
        <v>0</v>
      </c>
      <c r="S64" s="30">
        <f>(INDEX(Option4!S$106:S$117, MATCH($D64, Option4!$G$106:$G$117,0)))*conv_2026*S$7</f>
        <v>0</v>
      </c>
      <c r="T64" s="30">
        <f>(INDEX(Option4!T$106:T$117, MATCH($D64, Option4!$G$106:$G$117,0)))*conv_2026*T$7</f>
        <v>0</v>
      </c>
      <c r="U64" s="30">
        <f>(INDEX(Option4!U$106:U$117, MATCH($D64, Option4!$G$106:$G$117,0)))*conv_2026*U$7</f>
        <v>0</v>
      </c>
      <c r="V64" s="30">
        <f>(INDEX(Option4!V$106:V$117, MATCH($D64, Option4!$G$106:$G$117,0)))*conv_2026*V$7</f>
        <v>0</v>
      </c>
      <c r="W64" s="30">
        <f>(INDEX(Option4!W$106:W$117, MATCH($D64, Option4!$G$106:$G$117,0)))*conv_2026*W$7</f>
        <v>0</v>
      </c>
      <c r="X64" s="30">
        <f>(INDEX(Option4!X$106:X$117, MATCH($D64, Option4!$G$106:$G$117,0)))*conv_2026*X$7</f>
        <v>0</v>
      </c>
      <c r="Y64" s="30">
        <f>(INDEX(Option4!Y$106:Y$117, MATCH($D64, Option4!$G$106:$G$117,0)))*conv_2026*Y$7</f>
        <v>0</v>
      </c>
      <c r="Z64" s="30">
        <f>(INDEX(Option4!Z$106:Z$117, MATCH($D64, Option4!$G$106:$G$117,0)))*conv_2026*Z$7</f>
        <v>0</v>
      </c>
      <c r="AA64" s="30">
        <f>(INDEX(Option4!AA$106:AA$117, MATCH($D64, Option4!$G$106:$G$117,0)))*conv_2026*AA$7</f>
        <v>0</v>
      </c>
      <c r="AB64" s="30">
        <f>(INDEX(Option4!AB$106:AB$117, MATCH($D64, Option4!$G$106:$G$117,0)))*conv_2026*AB$7</f>
        <v>0</v>
      </c>
      <c r="AC64" s="30">
        <f>(INDEX(Option4!AC$106:AC$117, MATCH($D64, Option4!$G$106:$G$117,0)))*conv_2026*AC$7</f>
        <v>0</v>
      </c>
      <c r="AD64" s="30">
        <f>(INDEX(Option4!AD$106:AD$117, MATCH($D64, Option4!$G$106:$G$117,0)))*conv_2026*AD$7</f>
        <v>0</v>
      </c>
      <c r="AE64" s="30">
        <f>(INDEX(Option4!AE$106:AE$117, MATCH($D64, Option4!$G$106:$G$117,0)))*conv_2026*AE$7</f>
        <v>0</v>
      </c>
      <c r="AF64" s="30">
        <f>(INDEX(Option4!AF$106:AF$117, MATCH($D64, Option4!$G$106:$G$117,0)))*conv_2026*AF$7</f>
        <v>0</v>
      </c>
      <c r="AG64" s="30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0">
        <f t="shared" si="6"/>
        <v>0</v>
      </c>
      <c r="H65" s="30">
        <f>(INDEX(Option4!H$106:H$117, MATCH($D65, Option4!$G$106:$G$117,0)))*conv_2026*H$7</f>
        <v>0</v>
      </c>
      <c r="I65" s="30">
        <f>(INDEX(Option4!I$106:I$117, MATCH($D65, Option4!$G$106:$G$117,0)))*conv_2026*I$7</f>
        <v>0</v>
      </c>
      <c r="J65" s="30">
        <f>(INDEX(Option4!J$106:J$117, MATCH($D65, Option4!$G$106:$G$117,0)))*conv_2026*J$7</f>
        <v>0</v>
      </c>
      <c r="K65" s="30">
        <f>(INDEX(Option4!K$106:K$117, MATCH($D65, Option4!$G$106:$G$117,0)))*conv_2026*K$7</f>
        <v>0</v>
      </c>
      <c r="L65" s="30">
        <f>(INDEX(Option4!L$106:L$117, MATCH($D65, Option4!$G$106:$G$117,0)))*conv_2026*L$7</f>
        <v>0</v>
      </c>
      <c r="M65" s="30">
        <f>(INDEX(Option4!M$106:M$117, MATCH($D65, Option4!$G$106:$G$117,0)))*conv_2026*M$7</f>
        <v>0</v>
      </c>
      <c r="N65" s="30">
        <f>(INDEX(Option4!N$106:N$117, MATCH($D65, Option4!$G$106:$G$117,0)))*conv_2026*N$7</f>
        <v>0</v>
      </c>
      <c r="O65" s="30">
        <f>(INDEX(Option4!O$106:O$117, MATCH($D65, Option4!$G$106:$G$117,0)))*conv_2026*O$7</f>
        <v>0</v>
      </c>
      <c r="P65" s="30">
        <f>(INDEX(Option4!P$106:P$117, MATCH($D65, Option4!$G$106:$G$117,0)))*conv_2026*P$7</f>
        <v>0</v>
      </c>
      <c r="Q65" s="30">
        <f>(INDEX(Option4!Q$106:Q$117, MATCH($D65, Option4!$G$106:$G$117,0)))*conv_2026*Q$7</f>
        <v>0</v>
      </c>
      <c r="R65" s="30">
        <f>(INDEX(Option4!R$106:R$117, MATCH($D65, Option4!$G$106:$G$117,0)))*conv_2026*R$7</f>
        <v>0</v>
      </c>
      <c r="S65" s="30">
        <f>(INDEX(Option4!S$106:S$117, MATCH($D65, Option4!$G$106:$G$117,0)))*conv_2026*S$7</f>
        <v>0</v>
      </c>
      <c r="T65" s="30">
        <f>(INDEX(Option4!T$106:T$117, MATCH($D65, Option4!$G$106:$G$117,0)))*conv_2026*T$7</f>
        <v>0</v>
      </c>
      <c r="U65" s="30">
        <f>(INDEX(Option4!U$106:U$117, MATCH($D65, Option4!$G$106:$G$117,0)))*conv_2026*U$7</f>
        <v>0</v>
      </c>
      <c r="V65" s="30">
        <f>(INDEX(Option4!V$106:V$117, MATCH($D65, Option4!$G$106:$G$117,0)))*conv_2026*V$7</f>
        <v>0</v>
      </c>
      <c r="W65" s="30">
        <f>(INDEX(Option4!W$106:W$117, MATCH($D65, Option4!$G$106:$G$117,0)))*conv_2026*W$7</f>
        <v>0</v>
      </c>
      <c r="X65" s="30">
        <f>(INDEX(Option4!X$106:X$117, MATCH($D65, Option4!$G$106:$G$117,0)))*conv_2026*X$7</f>
        <v>0</v>
      </c>
      <c r="Y65" s="30">
        <f>(INDEX(Option4!Y$106:Y$117, MATCH($D65, Option4!$G$106:$G$117,0)))*conv_2026*Y$7</f>
        <v>0</v>
      </c>
      <c r="Z65" s="30">
        <f>(INDEX(Option4!Z$106:Z$117, MATCH($D65, Option4!$G$106:$G$117,0)))*conv_2026*Z$7</f>
        <v>0</v>
      </c>
      <c r="AA65" s="30">
        <f>(INDEX(Option4!AA$106:AA$117, MATCH($D65, Option4!$G$106:$G$117,0)))*conv_2026*AA$7</f>
        <v>0</v>
      </c>
      <c r="AB65" s="30">
        <f>(INDEX(Option4!AB$106:AB$117, MATCH($D65, Option4!$G$106:$G$117,0)))*conv_2026*AB$7</f>
        <v>0</v>
      </c>
      <c r="AC65" s="30">
        <f>(INDEX(Option4!AC$106:AC$117, MATCH($D65, Option4!$G$106:$G$117,0)))*conv_2026*AC$7</f>
        <v>0</v>
      </c>
      <c r="AD65" s="30">
        <f>(INDEX(Option4!AD$106:AD$117, MATCH($D65, Option4!$G$106:$G$117,0)))*conv_2026*AD$7</f>
        <v>0</v>
      </c>
      <c r="AE65" s="30">
        <f>(INDEX(Option4!AE$106:AE$117, MATCH($D65, Option4!$G$106:$G$117,0)))*conv_2026*AE$7</f>
        <v>0</v>
      </c>
      <c r="AF65" s="30">
        <f>(INDEX(Option4!AF$106:AF$117, MATCH($D65, Option4!$G$106:$G$117,0)))*conv_2026*AF$7</f>
        <v>0</v>
      </c>
      <c r="AG65" s="30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0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0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0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0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154</v>
      </c>
      <c r="B70" s="252" t="s">
        <v>119</v>
      </c>
      <c r="C70" s="252" t="s">
        <v>188</v>
      </c>
      <c r="D70" s="252" t="str">
        <f>A70&amp;B70</f>
        <v>Option 5NPV</v>
      </c>
      <c r="E70" s="253"/>
      <c r="F70" s="30">
        <f t="shared" ref="F70:F79" si="8">SUMPRODUCT($H70:$AG70, $H$5:$AG$5)</f>
        <v>0</v>
      </c>
      <c r="G70" s="245"/>
      <c r="H70" s="30">
        <f>(INDEX(Option5!H$106:H$117, MATCH($D70, Option5!$G$106:$G$117,0)))*conv_2026*H$7</f>
        <v>0</v>
      </c>
      <c r="I70" s="30">
        <f>(INDEX(Option5!I$106:I$117, MATCH($D70, Option5!$G$106:$G$117,0)))*conv_2026*I$7</f>
        <v>0</v>
      </c>
      <c r="J70" s="30">
        <f>(INDEX(Option5!J$106:J$117, MATCH($D70, Option5!$G$106:$G$117,0)))*conv_2026*J$7</f>
        <v>0</v>
      </c>
      <c r="K70" s="30">
        <f>(INDEX(Option5!K$106:K$117, MATCH($D70, Option5!$G$106:$G$117,0)))*conv_2026*K$7</f>
        <v>0</v>
      </c>
      <c r="L70" s="30">
        <f>(INDEX(Option5!L$106:L$117, MATCH($D70, Option5!$G$106:$G$117,0)))*conv_2026*L$7</f>
        <v>0</v>
      </c>
      <c r="M70" s="30">
        <f>(INDEX(Option5!M$106:M$117, MATCH($D70, Option5!$G$106:$G$117,0)))*conv_2026*M$7</f>
        <v>0</v>
      </c>
      <c r="N70" s="30">
        <f>(INDEX(Option5!N$106:N$117, MATCH($D70, Option5!$G$106:$G$117,0)))*conv_2026*N$7</f>
        <v>0</v>
      </c>
      <c r="O70" s="30">
        <f>(INDEX(Option5!O$106:O$117, MATCH($D70, Option5!$G$106:$G$117,0)))*conv_2026*O$7</f>
        <v>0</v>
      </c>
      <c r="P70" s="30">
        <f>(INDEX(Option5!P$106:P$117, MATCH($D70, Option5!$G$106:$G$117,0)))*conv_2026*P$7</f>
        <v>0</v>
      </c>
      <c r="Q70" s="30">
        <f>(INDEX(Option5!Q$106:Q$117, MATCH($D70, Option5!$G$106:$G$117,0)))*conv_2026*Q$7</f>
        <v>0</v>
      </c>
      <c r="R70" s="30">
        <f>(INDEX(Option5!R$106:R$117, MATCH($D70, Option5!$G$106:$G$117,0)))*conv_2026*R$7</f>
        <v>0</v>
      </c>
      <c r="S70" s="30">
        <f>(INDEX(Option5!S$106:S$117, MATCH($D70, Option5!$G$106:$G$117,0)))*conv_2026*S$7</f>
        <v>0</v>
      </c>
      <c r="T70" s="30">
        <f>(INDEX(Option5!T$106:T$117, MATCH($D70, Option5!$G$106:$G$117,0)))*conv_2026*T$7</f>
        <v>0</v>
      </c>
      <c r="U70" s="30">
        <f>(INDEX(Option5!U$106:U$117, MATCH($D70, Option5!$G$106:$G$117,0)))*conv_2026*U$7</f>
        <v>0</v>
      </c>
      <c r="V70" s="30">
        <f>(INDEX(Option5!V$106:V$117, MATCH($D70, Option5!$G$106:$G$117,0)))*conv_2026*V$7</f>
        <v>0</v>
      </c>
      <c r="W70" s="30">
        <f>(INDEX(Option5!W$106:W$117, MATCH($D70, Option5!$G$106:$G$117,0)))*conv_2026*W$7</f>
        <v>0</v>
      </c>
      <c r="X70" s="30">
        <f>(INDEX(Option5!X$106:X$117, MATCH($D70, Option5!$G$106:$G$117,0)))*conv_2026*X$7</f>
        <v>0</v>
      </c>
      <c r="Y70" s="30">
        <f>(INDEX(Option5!Y$106:Y$117, MATCH($D70, Option5!$G$106:$G$117,0)))*conv_2026*Y$7</f>
        <v>0</v>
      </c>
      <c r="Z70" s="30">
        <f>(INDEX(Option5!Z$106:Z$117, MATCH($D70, Option5!$G$106:$G$117,0)))*conv_2026*Z$7</f>
        <v>0</v>
      </c>
      <c r="AA70" s="30">
        <f>(INDEX(Option5!AA$106:AA$117, MATCH($D70, Option5!$G$106:$G$117,0)))*conv_2026*AA$7</f>
        <v>0</v>
      </c>
      <c r="AB70" s="30">
        <f>(INDEX(Option5!AB$106:AB$117, MATCH($D70, Option5!$G$106:$G$117,0)))*conv_2026*AB$7</f>
        <v>0</v>
      </c>
      <c r="AC70" s="30">
        <f>(INDEX(Option5!AC$106:AC$117, MATCH($D70, Option5!$G$106:$G$117,0)))*conv_2026*AC$7</f>
        <v>0</v>
      </c>
      <c r="AD70" s="30">
        <f>(INDEX(Option5!AD$106:AD$117, MATCH($D70, Option5!$G$106:$G$117,0)))*conv_2026*AD$7</f>
        <v>0</v>
      </c>
      <c r="AE70" s="30">
        <f>(INDEX(Option5!AE$106:AE$117, MATCH($D70, Option5!$G$106:$G$117,0)))*conv_2026*AE$7</f>
        <v>0</v>
      </c>
      <c r="AF70" s="30">
        <f>(INDEX(Option5!AF$106:AF$117, MATCH($D70, Option5!$G$106:$G$117,0)))*conv_2026*AF$7</f>
        <v>0</v>
      </c>
      <c r="AG70" s="30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154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0">
        <f t="shared" si="8"/>
        <v>0</v>
      </c>
      <c r="G72" s="245"/>
      <c r="H72" s="30">
        <f>(INDEX(Option5!H$106:H$117, MATCH($D72, Option5!$G$106:$G$117,0)))*conv_2026*H$7</f>
        <v>0</v>
      </c>
      <c r="I72" s="30">
        <f>(INDEX(Option5!I$106:I$117, MATCH($D72, Option5!$G$106:$G$117,0)))*conv_2026*I$7</f>
        <v>0</v>
      </c>
      <c r="J72" s="30">
        <f>(INDEX(Option5!J$106:J$117, MATCH($D72, Option5!$G$106:$G$117,0)))*conv_2026*J$7</f>
        <v>0</v>
      </c>
      <c r="K72" s="30">
        <f>(INDEX(Option5!K$106:K$117, MATCH($D72, Option5!$G$106:$G$117,0)))*conv_2026*K$7</f>
        <v>0</v>
      </c>
      <c r="L72" s="30">
        <f>(INDEX(Option5!L$106:L$117, MATCH($D72, Option5!$G$106:$G$117,0)))*conv_2026*L$7</f>
        <v>0</v>
      </c>
      <c r="M72" s="30">
        <f>(INDEX(Option5!M$106:M$117, MATCH($D72, Option5!$G$106:$G$117,0)))*conv_2026*M$7</f>
        <v>0</v>
      </c>
      <c r="N72" s="30">
        <f>(INDEX(Option5!N$106:N$117, MATCH($D72, Option5!$G$106:$G$117,0)))*conv_2026*N$7</f>
        <v>0</v>
      </c>
      <c r="O72" s="30">
        <f>(INDEX(Option5!O$106:O$117, MATCH($D72, Option5!$G$106:$G$117,0)))*conv_2026*O$7</f>
        <v>0</v>
      </c>
      <c r="P72" s="30">
        <f>(INDEX(Option5!P$106:P$117, MATCH($D72, Option5!$G$106:$G$117,0)))*conv_2026*P$7</f>
        <v>0</v>
      </c>
      <c r="Q72" s="30">
        <f>(INDEX(Option5!Q$106:Q$117, MATCH($D72, Option5!$G$106:$G$117,0)))*conv_2026*Q$7</f>
        <v>0</v>
      </c>
      <c r="R72" s="30">
        <f>(INDEX(Option5!R$106:R$117, MATCH($D72, Option5!$G$106:$G$117,0)))*conv_2026*R$7</f>
        <v>0</v>
      </c>
      <c r="S72" s="30">
        <f>(INDEX(Option5!S$106:S$117, MATCH($D72, Option5!$G$106:$G$117,0)))*conv_2026*S$7</f>
        <v>0</v>
      </c>
      <c r="T72" s="30">
        <f>(INDEX(Option5!T$106:T$117, MATCH($D72, Option5!$G$106:$G$117,0)))*conv_2026*T$7</f>
        <v>0</v>
      </c>
      <c r="U72" s="30">
        <f>(INDEX(Option5!U$106:U$117, MATCH($D72, Option5!$G$106:$G$117,0)))*conv_2026*U$7</f>
        <v>0</v>
      </c>
      <c r="V72" s="30">
        <f>(INDEX(Option5!V$106:V$117, MATCH($D72, Option5!$G$106:$G$117,0)))*conv_2026*V$7</f>
        <v>0</v>
      </c>
      <c r="W72" s="30">
        <f>(INDEX(Option5!W$106:W$117, MATCH($D72, Option5!$G$106:$G$117,0)))*conv_2026*W$7</f>
        <v>0</v>
      </c>
      <c r="X72" s="30">
        <f>(INDEX(Option5!X$106:X$117, MATCH($D72, Option5!$G$106:$G$117,0)))*conv_2026*X$7</f>
        <v>0</v>
      </c>
      <c r="Y72" s="30">
        <f>(INDEX(Option5!Y$106:Y$117, MATCH($D72, Option5!$G$106:$G$117,0)))*conv_2026*Y$7</f>
        <v>0</v>
      </c>
      <c r="Z72" s="30">
        <f>(INDEX(Option5!Z$106:Z$117, MATCH($D72, Option5!$G$106:$G$117,0)))*conv_2026*Z$7</f>
        <v>0</v>
      </c>
      <c r="AA72" s="30">
        <f>(INDEX(Option5!AA$106:AA$117, MATCH($D72, Option5!$G$106:$G$117,0)))*conv_2026*AA$7</f>
        <v>0</v>
      </c>
      <c r="AB72" s="30">
        <f>(INDEX(Option5!AB$106:AB$117, MATCH($D72, Option5!$G$106:$G$117,0)))*conv_2026*AB$7</f>
        <v>0</v>
      </c>
      <c r="AC72" s="30">
        <f>(INDEX(Option5!AC$106:AC$117, MATCH($D72, Option5!$G$106:$G$117,0)))*conv_2026*AC$7</f>
        <v>0</v>
      </c>
      <c r="AD72" s="30">
        <f>(INDEX(Option5!AD$106:AD$117, MATCH($D72, Option5!$G$106:$G$117,0)))*conv_2026*AD$7</f>
        <v>0</v>
      </c>
      <c r="AE72" s="30">
        <f>(INDEX(Option5!AE$106:AE$117, MATCH($D72, Option5!$G$106:$G$117,0)))*conv_2026*AE$7</f>
        <v>0</v>
      </c>
      <c r="AF72" s="30">
        <f>(INDEX(Option5!AF$106:AF$117, MATCH($D72, Option5!$G$106:$G$117,0)))*conv_2026*AF$7</f>
        <v>0</v>
      </c>
      <c r="AG72" s="30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154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0">
        <f t="shared" si="8"/>
        <v>0</v>
      </c>
      <c r="G73" s="252"/>
      <c r="H73" s="30">
        <f>(INDEX(Option5!H$106:H$117, MATCH($D73, Option5!$G$106:$G$117,0)))*conv_2026*H$7</f>
        <v>0</v>
      </c>
      <c r="I73" s="30">
        <f>(INDEX(Option5!I$106:I$117, MATCH($D73, Option5!$G$106:$G$117,0)))*conv_2026*I$7</f>
        <v>0</v>
      </c>
      <c r="J73" s="30">
        <f>(INDEX(Option5!J$106:J$117, MATCH($D73, Option5!$G$106:$G$117,0)))*conv_2026*J$7</f>
        <v>0</v>
      </c>
      <c r="K73" s="30">
        <f>(INDEX(Option5!K$106:K$117, MATCH($D73, Option5!$G$106:$G$117,0)))*conv_2026*K$7</f>
        <v>0</v>
      </c>
      <c r="L73" s="30">
        <f>(INDEX(Option5!L$106:L$117, MATCH($D73, Option5!$G$106:$G$117,0)))*conv_2026*L$7</f>
        <v>0</v>
      </c>
      <c r="M73" s="30">
        <f>(INDEX(Option5!M$106:M$117, MATCH($D73, Option5!$G$106:$G$117,0)))*conv_2026*M$7</f>
        <v>0</v>
      </c>
      <c r="N73" s="30">
        <f>(INDEX(Option5!N$106:N$117, MATCH($D73, Option5!$G$106:$G$117,0)))*conv_2026*N$7</f>
        <v>0</v>
      </c>
      <c r="O73" s="30">
        <f>(INDEX(Option5!O$106:O$117, MATCH($D73, Option5!$G$106:$G$117,0)))*conv_2026*O$7</f>
        <v>0</v>
      </c>
      <c r="P73" s="30">
        <f>(INDEX(Option5!P$106:P$117, MATCH($D73, Option5!$G$106:$G$117,0)))*conv_2026*P$7</f>
        <v>0</v>
      </c>
      <c r="Q73" s="30">
        <f>(INDEX(Option5!Q$106:Q$117, MATCH($D73, Option5!$G$106:$G$117,0)))*conv_2026*Q$7</f>
        <v>0</v>
      </c>
      <c r="R73" s="30">
        <f>(INDEX(Option5!R$106:R$117, MATCH($D73, Option5!$G$106:$G$117,0)))*conv_2026*R$7</f>
        <v>0</v>
      </c>
      <c r="S73" s="30">
        <f>(INDEX(Option5!S$106:S$117, MATCH($D73, Option5!$G$106:$G$117,0)))*conv_2026*S$7</f>
        <v>0</v>
      </c>
      <c r="T73" s="30">
        <f>(INDEX(Option5!T$106:T$117, MATCH($D73, Option5!$G$106:$G$117,0)))*conv_2026*T$7</f>
        <v>0</v>
      </c>
      <c r="U73" s="30">
        <f>(INDEX(Option5!U$106:U$117, MATCH($D73, Option5!$G$106:$G$117,0)))*conv_2026*U$7</f>
        <v>0</v>
      </c>
      <c r="V73" s="30">
        <f>(INDEX(Option5!V$106:V$117, MATCH($D73, Option5!$G$106:$G$117,0)))*conv_2026*V$7</f>
        <v>0</v>
      </c>
      <c r="W73" s="30">
        <f>(INDEX(Option5!W$106:W$117, MATCH($D73, Option5!$G$106:$G$117,0)))*conv_2026*W$7</f>
        <v>0</v>
      </c>
      <c r="X73" s="30">
        <f>(INDEX(Option5!X$106:X$117, MATCH($D73, Option5!$G$106:$G$117,0)))*conv_2026*X$7</f>
        <v>0</v>
      </c>
      <c r="Y73" s="30">
        <f>(INDEX(Option5!Y$106:Y$117, MATCH($D73, Option5!$G$106:$G$117,0)))*conv_2026*Y$7</f>
        <v>0</v>
      </c>
      <c r="Z73" s="30">
        <f>(INDEX(Option5!Z$106:Z$117, MATCH($D73, Option5!$G$106:$G$117,0)))*conv_2026*Z$7</f>
        <v>0</v>
      </c>
      <c r="AA73" s="30">
        <f>(INDEX(Option5!AA$106:AA$117, MATCH($D73, Option5!$G$106:$G$117,0)))*conv_2026*AA$7</f>
        <v>0</v>
      </c>
      <c r="AB73" s="30">
        <f>(INDEX(Option5!AB$106:AB$117, MATCH($D73, Option5!$G$106:$G$117,0)))*conv_2026*AB$7</f>
        <v>0</v>
      </c>
      <c r="AC73" s="30">
        <f>(INDEX(Option5!AC$106:AC$117, MATCH($D73, Option5!$G$106:$G$117,0)))*conv_2026*AC$7</f>
        <v>0</v>
      </c>
      <c r="AD73" s="30">
        <f>(INDEX(Option5!AD$106:AD$117, MATCH($D73, Option5!$G$106:$G$117,0)))*conv_2026*AD$7</f>
        <v>0</v>
      </c>
      <c r="AE73" s="30">
        <f>(INDEX(Option5!AE$106:AE$117, MATCH($D73, Option5!$G$106:$G$117,0)))*conv_2026*AE$7</f>
        <v>0</v>
      </c>
      <c r="AF73" s="30">
        <f>(INDEX(Option5!AF$106:AF$117, MATCH($D73, Option5!$G$106:$G$117,0)))*conv_2026*AF$7</f>
        <v>0</v>
      </c>
      <c r="AG73" s="30">
        <f>(INDEX(Option5!AG$106:AG$117, MATCH($D73, Option5!$G$106:$G$117,0)))*conv_2026*AG$7</f>
        <v>0</v>
      </c>
    </row>
    <row r="74" spans="1:35" s="8" customFormat="1" x14ac:dyDescent="0.2">
      <c r="A74" s="252" t="s">
        <v>154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0">
        <f t="shared" si="8"/>
        <v>0</v>
      </c>
      <c r="H74" s="30">
        <f>(INDEX(Option5!H$106:H$117, MATCH($D74, Option5!$G$106:$G$117,0)))*conv_2026*H$7</f>
        <v>0</v>
      </c>
      <c r="I74" s="30">
        <f>(INDEX(Option5!I$106:I$117, MATCH($D74, Option5!$G$106:$G$117,0)))*conv_2026*I$7</f>
        <v>0</v>
      </c>
      <c r="J74" s="30">
        <f>(INDEX(Option5!J$106:J$117, MATCH($D74, Option5!$G$106:$G$117,0)))*conv_2026*J$7</f>
        <v>0</v>
      </c>
      <c r="K74" s="30">
        <f>(INDEX(Option5!K$106:K$117, MATCH($D74, Option5!$G$106:$G$117,0)))*conv_2026*K$7</f>
        <v>0</v>
      </c>
      <c r="L74" s="30">
        <f>(INDEX(Option5!L$106:L$117, MATCH($D74, Option5!$G$106:$G$117,0)))*conv_2026*L$7</f>
        <v>0</v>
      </c>
      <c r="M74" s="30">
        <f>(INDEX(Option5!M$106:M$117, MATCH($D74, Option5!$G$106:$G$117,0)))*conv_2026*M$7</f>
        <v>0</v>
      </c>
      <c r="N74" s="30">
        <f>(INDEX(Option5!N$106:N$117, MATCH($D74, Option5!$G$106:$G$117,0)))*conv_2026*N$7</f>
        <v>0</v>
      </c>
      <c r="O74" s="30">
        <f>(INDEX(Option5!O$106:O$117, MATCH($D74, Option5!$G$106:$G$117,0)))*conv_2026*O$7</f>
        <v>0</v>
      </c>
      <c r="P74" s="30">
        <f>(INDEX(Option5!P$106:P$117, MATCH($D74, Option5!$G$106:$G$117,0)))*conv_2026*P$7</f>
        <v>0</v>
      </c>
      <c r="Q74" s="30">
        <f>(INDEX(Option5!Q$106:Q$117, MATCH($D74, Option5!$G$106:$G$117,0)))*conv_2026*Q$7</f>
        <v>0</v>
      </c>
      <c r="R74" s="30">
        <f>(INDEX(Option5!R$106:R$117, MATCH($D74, Option5!$G$106:$G$117,0)))*conv_2026*R$7</f>
        <v>0</v>
      </c>
      <c r="S74" s="30">
        <f>(INDEX(Option5!S$106:S$117, MATCH($D74, Option5!$G$106:$G$117,0)))*conv_2026*S$7</f>
        <v>0</v>
      </c>
      <c r="T74" s="30">
        <f>(INDEX(Option5!T$106:T$117, MATCH($D74, Option5!$G$106:$G$117,0)))*conv_2026*T$7</f>
        <v>0</v>
      </c>
      <c r="U74" s="30">
        <f>(INDEX(Option5!U$106:U$117, MATCH($D74, Option5!$G$106:$G$117,0)))*conv_2026*U$7</f>
        <v>0</v>
      </c>
      <c r="V74" s="30">
        <f>(INDEX(Option5!V$106:V$117, MATCH($D74, Option5!$G$106:$G$117,0)))*conv_2026*V$7</f>
        <v>0</v>
      </c>
      <c r="W74" s="30">
        <f>(INDEX(Option5!W$106:W$117, MATCH($D74, Option5!$G$106:$G$117,0)))*conv_2026*W$7</f>
        <v>0</v>
      </c>
      <c r="X74" s="30">
        <f>(INDEX(Option5!X$106:X$117, MATCH($D74, Option5!$G$106:$G$117,0)))*conv_2026*X$7</f>
        <v>0</v>
      </c>
      <c r="Y74" s="30">
        <f>(INDEX(Option5!Y$106:Y$117, MATCH($D74, Option5!$G$106:$G$117,0)))*conv_2026*Y$7</f>
        <v>0</v>
      </c>
      <c r="Z74" s="30">
        <f>(INDEX(Option5!Z$106:Z$117, MATCH($D74, Option5!$G$106:$G$117,0)))*conv_2026*Z$7</f>
        <v>0</v>
      </c>
      <c r="AA74" s="30">
        <f>(INDEX(Option5!AA$106:AA$117, MATCH($D74, Option5!$G$106:$G$117,0)))*conv_2026*AA$7</f>
        <v>0</v>
      </c>
      <c r="AB74" s="30">
        <f>(INDEX(Option5!AB$106:AB$117, MATCH($D74, Option5!$G$106:$G$117,0)))*conv_2026*AB$7</f>
        <v>0</v>
      </c>
      <c r="AC74" s="30">
        <f>(INDEX(Option5!AC$106:AC$117, MATCH($D74, Option5!$G$106:$G$117,0)))*conv_2026*AC$7</f>
        <v>0</v>
      </c>
      <c r="AD74" s="30">
        <f>(INDEX(Option5!AD$106:AD$117, MATCH($D74, Option5!$G$106:$G$117,0)))*conv_2026*AD$7</f>
        <v>0</v>
      </c>
      <c r="AE74" s="30">
        <f>(INDEX(Option5!AE$106:AE$117, MATCH($D74, Option5!$G$106:$G$117,0)))*conv_2026*AE$7</f>
        <v>0</v>
      </c>
      <c r="AF74" s="30">
        <f>(INDEX(Option5!AF$106:AF$117, MATCH($D74, Option5!$G$106:$G$117,0)))*conv_2026*AF$7</f>
        <v>0</v>
      </c>
      <c r="AG74" s="30">
        <f>(INDEX(Option5!AG$106:AG$117, MATCH($D74, Option5!$G$106:$G$117,0)))*conv_2026*AG$7</f>
        <v>0</v>
      </c>
    </row>
    <row r="75" spans="1:35" s="8" customFormat="1" x14ac:dyDescent="0.2">
      <c r="A75" s="252" t="s">
        <v>154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0">
        <f t="shared" si="8"/>
        <v>0</v>
      </c>
      <c r="H75" s="30">
        <f>(INDEX(Option5!H$106:H$117, MATCH($D75, Option5!$G$106:$G$117,0)))*conv_2026*H$7</f>
        <v>0</v>
      </c>
      <c r="I75" s="30">
        <f>(INDEX(Option5!I$106:I$117, MATCH($D75, Option5!$G$106:$G$117,0)))*conv_2026*I$7</f>
        <v>0</v>
      </c>
      <c r="J75" s="30">
        <f>(INDEX(Option5!J$106:J$117, MATCH($D75, Option5!$G$106:$G$117,0)))*conv_2026*J$7</f>
        <v>0</v>
      </c>
      <c r="K75" s="30">
        <f>(INDEX(Option5!K$106:K$117, MATCH($D75, Option5!$G$106:$G$117,0)))*conv_2026*K$7</f>
        <v>0</v>
      </c>
      <c r="L75" s="30">
        <f>(INDEX(Option5!L$106:L$117, MATCH($D75, Option5!$G$106:$G$117,0)))*conv_2026*L$7</f>
        <v>0</v>
      </c>
      <c r="M75" s="30">
        <f>(INDEX(Option5!M$106:M$117, MATCH($D75, Option5!$G$106:$G$117,0)))*conv_2026*M$7</f>
        <v>0</v>
      </c>
      <c r="N75" s="30">
        <f>(INDEX(Option5!N$106:N$117, MATCH($D75, Option5!$G$106:$G$117,0)))*conv_2026*N$7</f>
        <v>0</v>
      </c>
      <c r="O75" s="30">
        <f>(INDEX(Option5!O$106:O$117, MATCH($D75, Option5!$G$106:$G$117,0)))*conv_2026*O$7</f>
        <v>0</v>
      </c>
      <c r="P75" s="30">
        <f>(INDEX(Option5!P$106:P$117, MATCH($D75, Option5!$G$106:$G$117,0)))*conv_2026*P$7</f>
        <v>0</v>
      </c>
      <c r="Q75" s="30">
        <f>(INDEX(Option5!Q$106:Q$117, MATCH($D75, Option5!$G$106:$G$117,0)))*conv_2026*Q$7</f>
        <v>0</v>
      </c>
      <c r="R75" s="30">
        <f>(INDEX(Option5!R$106:R$117, MATCH($D75, Option5!$G$106:$G$117,0)))*conv_2026*R$7</f>
        <v>0</v>
      </c>
      <c r="S75" s="30">
        <f>(INDEX(Option5!S$106:S$117, MATCH($D75, Option5!$G$106:$G$117,0)))*conv_2026*S$7</f>
        <v>0</v>
      </c>
      <c r="T75" s="30">
        <f>(INDEX(Option5!T$106:T$117, MATCH($D75, Option5!$G$106:$G$117,0)))*conv_2026*T$7</f>
        <v>0</v>
      </c>
      <c r="U75" s="30">
        <f>(INDEX(Option5!U$106:U$117, MATCH($D75, Option5!$G$106:$G$117,0)))*conv_2026*U$7</f>
        <v>0</v>
      </c>
      <c r="V75" s="30">
        <f>(INDEX(Option5!V$106:V$117, MATCH($D75, Option5!$G$106:$G$117,0)))*conv_2026*V$7</f>
        <v>0</v>
      </c>
      <c r="W75" s="30">
        <f>(INDEX(Option5!W$106:W$117, MATCH($D75, Option5!$G$106:$G$117,0)))*conv_2026*W$7</f>
        <v>0</v>
      </c>
      <c r="X75" s="30">
        <f>(INDEX(Option5!X$106:X$117, MATCH($D75, Option5!$G$106:$G$117,0)))*conv_2026*X$7</f>
        <v>0</v>
      </c>
      <c r="Y75" s="30">
        <f>(INDEX(Option5!Y$106:Y$117, MATCH($D75, Option5!$G$106:$G$117,0)))*conv_2026*Y$7</f>
        <v>0</v>
      </c>
      <c r="Z75" s="30">
        <f>(INDEX(Option5!Z$106:Z$117, MATCH($D75, Option5!$G$106:$G$117,0)))*conv_2026*Z$7</f>
        <v>0</v>
      </c>
      <c r="AA75" s="30">
        <f>(INDEX(Option5!AA$106:AA$117, MATCH($D75, Option5!$G$106:$G$117,0)))*conv_2026*AA$7</f>
        <v>0</v>
      </c>
      <c r="AB75" s="30">
        <f>(INDEX(Option5!AB$106:AB$117, MATCH($D75, Option5!$G$106:$G$117,0)))*conv_2026*AB$7</f>
        <v>0</v>
      </c>
      <c r="AC75" s="30">
        <f>(INDEX(Option5!AC$106:AC$117, MATCH($D75, Option5!$G$106:$G$117,0)))*conv_2026*AC$7</f>
        <v>0</v>
      </c>
      <c r="AD75" s="30">
        <f>(INDEX(Option5!AD$106:AD$117, MATCH($D75, Option5!$G$106:$G$117,0)))*conv_2026*AD$7</f>
        <v>0</v>
      </c>
      <c r="AE75" s="30">
        <f>(INDEX(Option5!AE$106:AE$117, MATCH($D75, Option5!$G$106:$G$117,0)))*conv_2026*AE$7</f>
        <v>0</v>
      </c>
      <c r="AF75" s="30">
        <f>(INDEX(Option5!AF$106:AF$117, MATCH($D75, Option5!$G$106:$G$117,0)))*conv_2026*AF$7</f>
        <v>0</v>
      </c>
      <c r="AG75" s="30">
        <f>(INDEX(Option5!AG$106:AG$117, MATCH($D75, Option5!$G$106:$G$117,0)))*conv_2026*AG$7</f>
        <v>0</v>
      </c>
    </row>
    <row r="76" spans="1:35" s="8" customFormat="1" x14ac:dyDescent="0.2">
      <c r="A76" s="252" t="s">
        <v>154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0">
        <f t="shared" si="8"/>
        <v>0</v>
      </c>
      <c r="H76" s="30">
        <f>(INDEX(Option5!H$106:H$117, MATCH($D76, Option5!$G$106:$G$117,0)))*conv_2026*H$7</f>
        <v>0</v>
      </c>
      <c r="I76" s="30">
        <f>(INDEX(Option5!I$106:I$117, MATCH($D76, Option5!$G$106:$G$117,0)))*conv_2026*I$7</f>
        <v>0</v>
      </c>
      <c r="J76" s="30">
        <f>(INDEX(Option5!J$106:J$117, MATCH($D76, Option5!$G$106:$G$117,0)))*conv_2026*J$7</f>
        <v>0</v>
      </c>
      <c r="K76" s="30">
        <f>(INDEX(Option5!K$106:K$117, MATCH($D76, Option5!$G$106:$G$117,0)))*conv_2026*K$7</f>
        <v>0</v>
      </c>
      <c r="L76" s="30">
        <f>(INDEX(Option5!L$106:L$117, MATCH($D76, Option5!$G$106:$G$117,0)))*conv_2026*L$7</f>
        <v>0</v>
      </c>
      <c r="M76" s="30">
        <f>(INDEX(Option5!M$106:M$117, MATCH($D76, Option5!$G$106:$G$117,0)))*conv_2026*M$7</f>
        <v>0</v>
      </c>
      <c r="N76" s="30">
        <f>(INDEX(Option5!N$106:N$117, MATCH($D76, Option5!$G$106:$G$117,0)))*conv_2026*N$7</f>
        <v>0</v>
      </c>
      <c r="O76" s="30">
        <f>(INDEX(Option5!O$106:O$117, MATCH($D76, Option5!$G$106:$G$117,0)))*conv_2026*O$7</f>
        <v>0</v>
      </c>
      <c r="P76" s="30">
        <f>(INDEX(Option5!P$106:P$117, MATCH($D76, Option5!$G$106:$G$117,0)))*conv_2026*P$7</f>
        <v>0</v>
      </c>
      <c r="Q76" s="30">
        <f>(INDEX(Option5!Q$106:Q$117, MATCH($D76, Option5!$G$106:$G$117,0)))*conv_2026*Q$7</f>
        <v>0</v>
      </c>
      <c r="R76" s="30">
        <f>(INDEX(Option5!R$106:R$117, MATCH($D76, Option5!$G$106:$G$117,0)))*conv_2026*R$7</f>
        <v>0</v>
      </c>
      <c r="S76" s="30">
        <f>(INDEX(Option5!S$106:S$117, MATCH($D76, Option5!$G$106:$G$117,0)))*conv_2026*S$7</f>
        <v>0</v>
      </c>
      <c r="T76" s="30">
        <f>(INDEX(Option5!T$106:T$117, MATCH($D76, Option5!$G$106:$G$117,0)))*conv_2026*T$7</f>
        <v>0</v>
      </c>
      <c r="U76" s="30">
        <f>(INDEX(Option5!U$106:U$117, MATCH($D76, Option5!$G$106:$G$117,0)))*conv_2026*U$7</f>
        <v>0</v>
      </c>
      <c r="V76" s="30">
        <f>(INDEX(Option5!V$106:V$117, MATCH($D76, Option5!$G$106:$G$117,0)))*conv_2026*V$7</f>
        <v>0</v>
      </c>
      <c r="W76" s="30">
        <f>(INDEX(Option5!W$106:W$117, MATCH($D76, Option5!$G$106:$G$117,0)))*conv_2026*W$7</f>
        <v>0</v>
      </c>
      <c r="X76" s="30">
        <f>(INDEX(Option5!X$106:X$117, MATCH($D76, Option5!$G$106:$G$117,0)))*conv_2026*X$7</f>
        <v>0</v>
      </c>
      <c r="Y76" s="30">
        <f>(INDEX(Option5!Y$106:Y$117, MATCH($D76, Option5!$G$106:$G$117,0)))*conv_2026*Y$7</f>
        <v>0</v>
      </c>
      <c r="Z76" s="30">
        <f>(INDEX(Option5!Z$106:Z$117, MATCH($D76, Option5!$G$106:$G$117,0)))*conv_2026*Z$7</f>
        <v>0</v>
      </c>
      <c r="AA76" s="30">
        <f>(INDEX(Option5!AA$106:AA$117, MATCH($D76, Option5!$G$106:$G$117,0)))*conv_2026*AA$7</f>
        <v>0</v>
      </c>
      <c r="AB76" s="30">
        <f>(INDEX(Option5!AB$106:AB$117, MATCH($D76, Option5!$G$106:$G$117,0)))*conv_2026*AB$7</f>
        <v>0</v>
      </c>
      <c r="AC76" s="30">
        <f>(INDEX(Option5!AC$106:AC$117, MATCH($D76, Option5!$G$106:$G$117,0)))*conv_2026*AC$7</f>
        <v>0</v>
      </c>
      <c r="AD76" s="30">
        <f>(INDEX(Option5!AD$106:AD$117, MATCH($D76, Option5!$G$106:$G$117,0)))*conv_2026*AD$7</f>
        <v>0</v>
      </c>
      <c r="AE76" s="30">
        <f>(INDEX(Option5!AE$106:AE$117, MATCH($D76, Option5!$G$106:$G$117,0)))*conv_2026*AE$7</f>
        <v>0</v>
      </c>
      <c r="AF76" s="30">
        <f>(INDEX(Option5!AF$106:AF$117, MATCH($D76, Option5!$G$106:$G$117,0)))*conv_2026*AF$7</f>
        <v>0</v>
      </c>
      <c r="AG76" s="30">
        <f>(INDEX(Option5!AG$106:AG$117, MATCH($D76, Option5!$G$106:$G$117,0)))*conv_2026*AG$7</f>
        <v>0</v>
      </c>
    </row>
    <row r="77" spans="1:35" s="8" customFormat="1" x14ac:dyDescent="0.2">
      <c r="A77" s="252" t="s">
        <v>154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0">
        <f t="shared" si="8"/>
        <v>0</v>
      </c>
      <c r="H77" s="30">
        <f>(INDEX(Option5!H$106:H$117, MATCH($D77, Option5!$G$106:$G$117,0)))*conv_2026*H$7</f>
        <v>0</v>
      </c>
      <c r="I77" s="30">
        <f>(INDEX(Option5!I$106:I$117, MATCH($D77, Option5!$G$106:$G$117,0)))*conv_2026*I$7</f>
        <v>0</v>
      </c>
      <c r="J77" s="30">
        <f>(INDEX(Option5!J$106:J$117, MATCH($D77, Option5!$G$106:$G$117,0)))*conv_2026*J$7</f>
        <v>0</v>
      </c>
      <c r="K77" s="30">
        <f>(INDEX(Option5!K$106:K$117, MATCH($D77, Option5!$G$106:$G$117,0)))*conv_2026*K$7</f>
        <v>0</v>
      </c>
      <c r="L77" s="30">
        <f>(INDEX(Option5!L$106:L$117, MATCH($D77, Option5!$G$106:$G$117,0)))*conv_2026*L$7</f>
        <v>0</v>
      </c>
      <c r="M77" s="30">
        <f>(INDEX(Option5!M$106:M$117, MATCH($D77, Option5!$G$106:$G$117,0)))*conv_2026*M$7</f>
        <v>0</v>
      </c>
      <c r="N77" s="30">
        <f>(INDEX(Option5!N$106:N$117, MATCH($D77, Option5!$G$106:$G$117,0)))*conv_2026*N$7</f>
        <v>0</v>
      </c>
      <c r="O77" s="30">
        <f>(INDEX(Option5!O$106:O$117, MATCH($D77, Option5!$G$106:$G$117,0)))*conv_2026*O$7</f>
        <v>0</v>
      </c>
      <c r="P77" s="30">
        <f>(INDEX(Option5!P$106:P$117, MATCH($D77, Option5!$G$106:$G$117,0)))*conv_2026*P$7</f>
        <v>0</v>
      </c>
      <c r="Q77" s="30">
        <f>(INDEX(Option5!Q$106:Q$117, MATCH($D77, Option5!$G$106:$G$117,0)))*conv_2026*Q$7</f>
        <v>0</v>
      </c>
      <c r="R77" s="30">
        <f>(INDEX(Option5!R$106:R$117, MATCH($D77, Option5!$G$106:$G$117,0)))*conv_2026*R$7</f>
        <v>0</v>
      </c>
      <c r="S77" s="30">
        <f>(INDEX(Option5!S$106:S$117, MATCH($D77, Option5!$G$106:$G$117,0)))*conv_2026*S$7</f>
        <v>0</v>
      </c>
      <c r="T77" s="30">
        <f>(INDEX(Option5!T$106:T$117, MATCH($D77, Option5!$G$106:$G$117,0)))*conv_2026*T$7</f>
        <v>0</v>
      </c>
      <c r="U77" s="30">
        <f>(INDEX(Option5!U$106:U$117, MATCH($D77, Option5!$G$106:$G$117,0)))*conv_2026*U$7</f>
        <v>0</v>
      </c>
      <c r="V77" s="30">
        <f>(INDEX(Option5!V$106:V$117, MATCH($D77, Option5!$G$106:$G$117,0)))*conv_2026*V$7</f>
        <v>0</v>
      </c>
      <c r="W77" s="30">
        <f>(INDEX(Option5!W$106:W$117, MATCH($D77, Option5!$G$106:$G$117,0)))*conv_2026*W$7</f>
        <v>0</v>
      </c>
      <c r="X77" s="30">
        <f>(INDEX(Option5!X$106:X$117, MATCH($D77, Option5!$G$106:$G$117,0)))*conv_2026*X$7</f>
        <v>0</v>
      </c>
      <c r="Y77" s="30">
        <f>(INDEX(Option5!Y$106:Y$117, MATCH($D77, Option5!$G$106:$G$117,0)))*conv_2026*Y$7</f>
        <v>0</v>
      </c>
      <c r="Z77" s="30">
        <f>(INDEX(Option5!Z$106:Z$117, MATCH($D77, Option5!$G$106:$G$117,0)))*conv_2026*Z$7</f>
        <v>0</v>
      </c>
      <c r="AA77" s="30">
        <f>(INDEX(Option5!AA$106:AA$117, MATCH($D77, Option5!$G$106:$G$117,0)))*conv_2026*AA$7</f>
        <v>0</v>
      </c>
      <c r="AB77" s="30">
        <f>(INDEX(Option5!AB$106:AB$117, MATCH($D77, Option5!$G$106:$G$117,0)))*conv_2026*AB$7</f>
        <v>0</v>
      </c>
      <c r="AC77" s="30">
        <f>(INDEX(Option5!AC$106:AC$117, MATCH($D77, Option5!$G$106:$G$117,0)))*conv_2026*AC$7</f>
        <v>0</v>
      </c>
      <c r="AD77" s="30">
        <f>(INDEX(Option5!AD$106:AD$117, MATCH($D77, Option5!$G$106:$G$117,0)))*conv_2026*AD$7</f>
        <v>0</v>
      </c>
      <c r="AE77" s="30">
        <f>(INDEX(Option5!AE$106:AE$117, MATCH($D77, Option5!$G$106:$G$117,0)))*conv_2026*AE$7</f>
        <v>0</v>
      </c>
      <c r="AF77" s="30">
        <f>(INDEX(Option5!AF$106:AF$117, MATCH($D77, Option5!$G$106:$G$117,0)))*conv_2026*AF$7</f>
        <v>0</v>
      </c>
      <c r="AG77" s="30">
        <f>(INDEX(Option5!AG$106:AG$117, MATCH($D77, Option5!$G$106:$G$117,0)))*conv_2026*AG$7</f>
        <v>0</v>
      </c>
    </row>
    <row r="78" spans="1:35" s="8" customFormat="1" x14ac:dyDescent="0.2">
      <c r="A78" s="252" t="s">
        <v>154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0">
        <f t="shared" si="8"/>
        <v>0</v>
      </c>
      <c r="H78" s="30">
        <f>(INDEX(Option5!H$106:H$117, MATCH($D78, Option5!$G$106:$G$117,0)))*conv_2026*H$7</f>
        <v>0</v>
      </c>
      <c r="I78" s="30">
        <f>(INDEX(Option5!I$106:I$117, MATCH($D78, Option5!$G$106:$G$117,0)))*conv_2026*I$7</f>
        <v>0</v>
      </c>
      <c r="J78" s="30">
        <f>(INDEX(Option5!J$106:J$117, MATCH($D78, Option5!$G$106:$G$117,0)))*conv_2026*J$7</f>
        <v>0</v>
      </c>
      <c r="K78" s="30">
        <f>(INDEX(Option5!K$106:K$117, MATCH($D78, Option5!$G$106:$G$117,0)))*conv_2026*K$7</f>
        <v>0</v>
      </c>
      <c r="L78" s="30">
        <f>(INDEX(Option5!L$106:L$117, MATCH($D78, Option5!$G$106:$G$117,0)))*conv_2026*L$7</f>
        <v>0</v>
      </c>
      <c r="M78" s="30">
        <f>(INDEX(Option5!M$106:M$117, MATCH($D78, Option5!$G$106:$G$117,0)))*conv_2026*M$7</f>
        <v>0</v>
      </c>
      <c r="N78" s="30">
        <f>(INDEX(Option5!N$106:N$117, MATCH($D78, Option5!$G$106:$G$117,0)))*conv_2026*N$7</f>
        <v>0</v>
      </c>
      <c r="O78" s="30">
        <f>(INDEX(Option5!O$106:O$117, MATCH($D78, Option5!$G$106:$G$117,0)))*conv_2026*O$7</f>
        <v>0</v>
      </c>
      <c r="P78" s="30">
        <f>(INDEX(Option5!P$106:P$117, MATCH($D78, Option5!$G$106:$G$117,0)))*conv_2026*P$7</f>
        <v>0</v>
      </c>
      <c r="Q78" s="30">
        <f>(INDEX(Option5!Q$106:Q$117, MATCH($D78, Option5!$G$106:$G$117,0)))*conv_2026*Q$7</f>
        <v>0</v>
      </c>
      <c r="R78" s="30">
        <f>(INDEX(Option5!R$106:R$117, MATCH($D78, Option5!$G$106:$G$117,0)))*conv_2026*R$7</f>
        <v>0</v>
      </c>
      <c r="S78" s="30">
        <f>(INDEX(Option5!S$106:S$117, MATCH($D78, Option5!$G$106:$G$117,0)))*conv_2026*S$7</f>
        <v>0</v>
      </c>
      <c r="T78" s="30">
        <f>(INDEX(Option5!T$106:T$117, MATCH($D78, Option5!$G$106:$G$117,0)))*conv_2026*T$7</f>
        <v>0</v>
      </c>
      <c r="U78" s="30">
        <f>(INDEX(Option5!U$106:U$117, MATCH($D78, Option5!$G$106:$G$117,0)))*conv_2026*U$7</f>
        <v>0</v>
      </c>
      <c r="V78" s="30">
        <f>(INDEX(Option5!V$106:V$117, MATCH($D78, Option5!$G$106:$G$117,0)))*conv_2026*V$7</f>
        <v>0</v>
      </c>
      <c r="W78" s="30">
        <f>(INDEX(Option5!W$106:W$117, MATCH($D78, Option5!$G$106:$G$117,0)))*conv_2026*W$7</f>
        <v>0</v>
      </c>
      <c r="X78" s="30">
        <f>(INDEX(Option5!X$106:X$117, MATCH($D78, Option5!$G$106:$G$117,0)))*conv_2026*X$7</f>
        <v>0</v>
      </c>
      <c r="Y78" s="30">
        <f>(INDEX(Option5!Y$106:Y$117, MATCH($D78, Option5!$G$106:$G$117,0)))*conv_2026*Y$7</f>
        <v>0</v>
      </c>
      <c r="Z78" s="30">
        <f>(INDEX(Option5!Z$106:Z$117, MATCH($D78, Option5!$G$106:$G$117,0)))*conv_2026*Z$7</f>
        <v>0</v>
      </c>
      <c r="AA78" s="30">
        <f>(INDEX(Option5!AA$106:AA$117, MATCH($D78, Option5!$G$106:$G$117,0)))*conv_2026*AA$7</f>
        <v>0</v>
      </c>
      <c r="AB78" s="30">
        <f>(INDEX(Option5!AB$106:AB$117, MATCH($D78, Option5!$G$106:$G$117,0)))*conv_2026*AB$7</f>
        <v>0</v>
      </c>
      <c r="AC78" s="30">
        <f>(INDEX(Option5!AC$106:AC$117, MATCH($D78, Option5!$G$106:$G$117,0)))*conv_2026*AC$7</f>
        <v>0</v>
      </c>
      <c r="AD78" s="30">
        <f>(INDEX(Option5!AD$106:AD$117, MATCH($D78, Option5!$G$106:$G$117,0)))*conv_2026*AD$7</f>
        <v>0</v>
      </c>
      <c r="AE78" s="30">
        <f>(INDEX(Option5!AE$106:AE$117, MATCH($D78, Option5!$G$106:$G$117,0)))*conv_2026*AE$7</f>
        <v>0</v>
      </c>
      <c r="AF78" s="30">
        <f>(INDEX(Option5!AF$106:AF$117, MATCH($D78, Option5!$G$106:$G$117,0)))*conv_2026*AF$7</f>
        <v>0</v>
      </c>
      <c r="AG78" s="30">
        <f>(INDEX(Option5!AG$106:AG$117, MATCH($D78, Option5!$G$106:$G$117,0)))*conv_2026*AG$7</f>
        <v>0</v>
      </c>
    </row>
    <row r="79" spans="1:35" s="8" customFormat="1" x14ac:dyDescent="0.2">
      <c r="A79" s="252" t="s">
        <v>154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0">
        <f t="shared" si="8"/>
        <v>0</v>
      </c>
      <c r="H79" s="30">
        <f>(INDEX(Option5!H$106:H$117, MATCH($D79, Option5!$G$106:$G$117,0)))*conv_2026*H$7</f>
        <v>0</v>
      </c>
      <c r="I79" s="30">
        <f>(INDEX(Option5!I$106:I$117, MATCH($D79, Option5!$G$106:$G$117,0)))*conv_2026*I$7</f>
        <v>0</v>
      </c>
      <c r="J79" s="30">
        <f>(INDEX(Option5!J$106:J$117, MATCH($D79, Option5!$G$106:$G$117,0)))*conv_2026*J$7</f>
        <v>0</v>
      </c>
      <c r="K79" s="30">
        <f>(INDEX(Option5!K$106:K$117, MATCH($D79, Option5!$G$106:$G$117,0)))*conv_2026*K$7</f>
        <v>0</v>
      </c>
      <c r="L79" s="30">
        <f>(INDEX(Option5!L$106:L$117, MATCH($D79, Option5!$G$106:$G$117,0)))*conv_2026*L$7</f>
        <v>0</v>
      </c>
      <c r="M79" s="30">
        <f>(INDEX(Option5!M$106:M$117, MATCH($D79, Option5!$G$106:$G$117,0)))*conv_2026*M$7</f>
        <v>0</v>
      </c>
      <c r="N79" s="30">
        <f>(INDEX(Option5!N$106:N$117, MATCH($D79, Option5!$G$106:$G$117,0)))*conv_2026*N$7</f>
        <v>0</v>
      </c>
      <c r="O79" s="30">
        <f>(INDEX(Option5!O$106:O$117, MATCH($D79, Option5!$G$106:$G$117,0)))*conv_2026*O$7</f>
        <v>0</v>
      </c>
      <c r="P79" s="30">
        <f>(INDEX(Option5!P$106:P$117, MATCH($D79, Option5!$G$106:$G$117,0)))*conv_2026*P$7</f>
        <v>0</v>
      </c>
      <c r="Q79" s="30">
        <f>(INDEX(Option5!Q$106:Q$117, MATCH($D79, Option5!$G$106:$G$117,0)))*conv_2026*Q$7</f>
        <v>0</v>
      </c>
      <c r="R79" s="30">
        <f>(INDEX(Option5!R$106:R$117, MATCH($D79, Option5!$G$106:$G$117,0)))*conv_2026*R$7</f>
        <v>0</v>
      </c>
      <c r="S79" s="30">
        <f>(INDEX(Option5!S$106:S$117, MATCH($D79, Option5!$G$106:$G$117,0)))*conv_2026*S$7</f>
        <v>0</v>
      </c>
      <c r="T79" s="30">
        <f>(INDEX(Option5!T$106:T$117, MATCH($D79, Option5!$G$106:$G$117,0)))*conv_2026*T$7</f>
        <v>0</v>
      </c>
      <c r="U79" s="30">
        <f>(INDEX(Option5!U$106:U$117, MATCH($D79, Option5!$G$106:$G$117,0)))*conv_2026*U$7</f>
        <v>0</v>
      </c>
      <c r="V79" s="30">
        <f>(INDEX(Option5!V$106:V$117, MATCH($D79, Option5!$G$106:$G$117,0)))*conv_2026*V$7</f>
        <v>0</v>
      </c>
      <c r="W79" s="30">
        <f>(INDEX(Option5!W$106:W$117, MATCH($D79, Option5!$G$106:$G$117,0)))*conv_2026*W$7</f>
        <v>0</v>
      </c>
      <c r="X79" s="30">
        <f>(INDEX(Option5!X$106:X$117, MATCH($D79, Option5!$G$106:$G$117,0)))*conv_2026*X$7</f>
        <v>0</v>
      </c>
      <c r="Y79" s="30">
        <f>(INDEX(Option5!Y$106:Y$117, MATCH($D79, Option5!$G$106:$G$117,0)))*conv_2026*Y$7</f>
        <v>0</v>
      </c>
      <c r="Z79" s="30">
        <f>(INDEX(Option5!Z$106:Z$117, MATCH($D79, Option5!$G$106:$G$117,0)))*conv_2026*Z$7</f>
        <v>0</v>
      </c>
      <c r="AA79" s="30">
        <f>(INDEX(Option5!AA$106:AA$117, MATCH($D79, Option5!$G$106:$G$117,0)))*conv_2026*AA$7</f>
        <v>0</v>
      </c>
      <c r="AB79" s="30">
        <f>(INDEX(Option5!AB$106:AB$117, MATCH($D79, Option5!$G$106:$G$117,0)))*conv_2026*AB$7</f>
        <v>0</v>
      </c>
      <c r="AC79" s="30">
        <f>(INDEX(Option5!AC$106:AC$117, MATCH($D79, Option5!$G$106:$G$117,0)))*conv_2026*AC$7</f>
        <v>0</v>
      </c>
      <c r="AD79" s="30">
        <f>(INDEX(Option5!AD$106:AD$117, MATCH($D79, Option5!$G$106:$G$117,0)))*conv_2026*AD$7</f>
        <v>0</v>
      </c>
      <c r="AE79" s="30">
        <f>(INDEX(Option5!AE$106:AE$117, MATCH($D79, Option5!$G$106:$G$117,0)))*conv_2026*AE$7</f>
        <v>0</v>
      </c>
      <c r="AF79" s="30">
        <f>(INDEX(Option5!AF$106:AF$117, MATCH($D79, Option5!$G$106:$G$117,0)))*conv_2026*AF$7</f>
        <v>0</v>
      </c>
      <c r="AG79" s="30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159</v>
      </c>
      <c r="B84" s="53"/>
      <c r="C84" s="18"/>
      <c r="D84" s="18"/>
      <c r="E84" s="82"/>
      <c r="F84" s="18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0</v>
      </c>
      <c r="D88" s="274" t="b">
        <v>0</v>
      </c>
      <c r="E88" s="275" t="b">
        <v>0</v>
      </c>
      <c r="F88" s="274" t="b">
        <v>1</v>
      </c>
      <c r="G88" s="274" t="b">
        <v>1</v>
      </c>
      <c r="K88" s="8" t="b">
        <f>AND(_xlfn.ANCHORARRAY(C88))</f>
        <v>0</v>
      </c>
    </row>
    <row r="89" spans="1:34" s="8" customFormat="1" x14ac:dyDescent="0.2">
      <c r="A89" s="58"/>
      <c r="B89" s="58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228</v>
      </c>
      <c r="K89" s="282" t="s">
        <v>229</v>
      </c>
    </row>
    <row r="90" spans="1:34" s="8" customFormat="1" x14ac:dyDescent="0.2">
      <c r="A90" s="260" t="s">
        <v>119</v>
      </c>
      <c r="B90" s="260" t="s">
        <v>219</v>
      </c>
      <c r="C90" s="104">
        <f t="shared" ref="C90:G98" si="10">IF(OR($B90=0,C$88),"", INDEX($F$14:$F$81, MATCH(C$89&amp;$A90,$D$14:$D$81,0))/10^6)</f>
        <v>0</v>
      </c>
      <c r="D90" s="104">
        <f t="shared" si="10"/>
        <v>0.90719442702617725</v>
      </c>
      <c r="E90" s="104">
        <f t="shared" si="10"/>
        <v>-0.13170677418781584</v>
      </c>
      <c r="F90" s="104" t="str">
        <f t="shared" si="10"/>
        <v/>
      </c>
      <c r="G90" s="104" t="str">
        <f t="shared" si="10"/>
        <v/>
      </c>
      <c r="H90" s="185"/>
      <c r="I90" s="104">
        <f t="shared" ref="I90:I98" si="11">_xlfn.MAXIFS(C90:G90,_xlfn.ANCHORARRAY( C$88),FALSE)</f>
        <v>0.90719442702617725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4">
        <f t="shared" si="10"/>
        <v>0</v>
      </c>
      <c r="D91" s="104">
        <f t="shared" si="10"/>
        <v>0.7345549571814104</v>
      </c>
      <c r="E91" s="104">
        <f t="shared" si="10"/>
        <v>-0.41304516949039904</v>
      </c>
      <c r="F91" s="104" t="str">
        <f t="shared" si="10"/>
        <v/>
      </c>
      <c r="G91" s="104" t="str">
        <f t="shared" si="10"/>
        <v/>
      </c>
      <c r="H91" s="185"/>
      <c r="I91" s="104">
        <f t="shared" si="11"/>
        <v>0.7345549571814104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4">
        <f t="shared" si="10"/>
        <v>0</v>
      </c>
      <c r="D92" s="104">
        <f t="shared" si="10"/>
        <v>1.0798338968709444</v>
      </c>
      <c r="E92" s="104">
        <f t="shared" si="10"/>
        <v>0.14963162111476727</v>
      </c>
      <c r="F92" s="104" t="str">
        <f t="shared" si="10"/>
        <v/>
      </c>
      <c r="G92" s="104" t="str">
        <f t="shared" si="10"/>
        <v/>
      </c>
      <c r="H92" s="185"/>
      <c r="I92" s="104">
        <f t="shared" si="11"/>
        <v>1.0798338968709444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4">
        <f t="shared" si="10"/>
        <v>0</v>
      </c>
      <c r="D93" s="104">
        <f t="shared" si="10"/>
        <v>1.1705533395735621</v>
      </c>
      <c r="E93" s="104">
        <f t="shared" si="10"/>
        <v>0.13646094369598571</v>
      </c>
      <c r="F93" s="104" t="str">
        <f t="shared" si="10"/>
        <v/>
      </c>
      <c r="G93" s="104" t="str">
        <f t="shared" si="10"/>
        <v/>
      </c>
      <c r="H93" s="185"/>
      <c r="I93" s="104">
        <f t="shared" si="11"/>
        <v>1.1705533395735621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4">
        <f t="shared" si="10"/>
        <v>0</v>
      </c>
      <c r="D94" s="104">
        <f t="shared" si="10"/>
        <v>0.64383551447879261</v>
      </c>
      <c r="E94" s="104">
        <f t="shared" si="10"/>
        <v>-0.39987449207161752</v>
      </c>
      <c r="F94" s="104" t="str">
        <f t="shared" si="10"/>
        <v/>
      </c>
      <c r="G94" s="104" t="str">
        <f t="shared" si="10"/>
        <v/>
      </c>
      <c r="H94" s="185"/>
      <c r="I94" s="104">
        <f t="shared" si="11"/>
        <v>0.64383551447879261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4">
        <f t="shared" si="10"/>
        <v>0</v>
      </c>
      <c r="D95" s="104">
        <f t="shared" si="10"/>
        <v>0.47119604463402576</v>
      </c>
      <c r="E95" s="104">
        <f t="shared" si="10"/>
        <v>-0.68121288737420049</v>
      </c>
      <c r="F95" s="104" t="str">
        <f t="shared" si="10"/>
        <v/>
      </c>
      <c r="G95" s="104" t="str">
        <f t="shared" si="10"/>
        <v/>
      </c>
      <c r="H95" s="185"/>
      <c r="I95" s="104">
        <f t="shared" si="11"/>
        <v>0.47119604463402576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4" t="str">
        <f t="shared" si="10"/>
        <v/>
      </c>
      <c r="D96" s="104" t="str">
        <f t="shared" si="10"/>
        <v/>
      </c>
      <c r="E96" s="104" t="str">
        <f t="shared" si="10"/>
        <v/>
      </c>
      <c r="F96" s="104" t="str">
        <f t="shared" si="10"/>
        <v/>
      </c>
      <c r="G96" s="104" t="str">
        <f t="shared" si="10"/>
        <v/>
      </c>
      <c r="H96" s="185"/>
      <c r="I96" s="104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4" t="str">
        <f t="shared" si="10"/>
        <v/>
      </c>
      <c r="D97" s="104" t="str">
        <f t="shared" si="10"/>
        <v/>
      </c>
      <c r="E97" s="104" t="str">
        <f t="shared" si="10"/>
        <v/>
      </c>
      <c r="F97" s="104" t="str">
        <f t="shared" si="10"/>
        <v/>
      </c>
      <c r="G97" s="104" t="str">
        <f t="shared" si="10"/>
        <v/>
      </c>
      <c r="H97" s="281"/>
      <c r="I97" s="104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4" t="str">
        <f t="shared" si="10"/>
        <v/>
      </c>
      <c r="D98" s="104" t="str">
        <f t="shared" si="10"/>
        <v/>
      </c>
      <c r="E98" s="104" t="str">
        <f t="shared" si="10"/>
        <v/>
      </c>
      <c r="F98" s="104" t="str">
        <f t="shared" si="10"/>
        <v/>
      </c>
      <c r="G98" s="104" t="str">
        <f t="shared" si="10"/>
        <v/>
      </c>
      <c r="H98" s="281"/>
      <c r="I98" s="104">
        <f t="shared" si="11"/>
        <v>0</v>
      </c>
      <c r="K98" s="8" t="str">
        <f t="shared" si="12"/>
        <v/>
      </c>
    </row>
    <row r="99" spans="1:11" x14ac:dyDescent="0.2">
      <c r="C99" s="30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142A-B12B-46D9-840D-9E47896C2DDB}">
  <sheetPr codeName="Sheet4">
    <tabColor rgb="FFFFFF00"/>
  </sheetPr>
  <dimension ref="A1:AQ47"/>
  <sheetViews>
    <sheetView showGridLines="0" zoomScale="90" zoomScaleNormal="9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10.75" style="1" customWidth="1"/>
    <col min="3" max="3" width="17" style="1" customWidth="1"/>
    <col min="4" max="4" width="24.375" style="1" customWidth="1"/>
    <col min="5" max="5" width="10.125" style="1" customWidth="1"/>
    <col min="6" max="6" width="10.125" style="329" customWidth="1"/>
    <col min="7" max="7" width="10.75" style="1" customWidth="1"/>
    <col min="8" max="8" width="10.5" style="1" customWidth="1"/>
    <col min="9" max="9" width="10.25" style="1" customWidth="1"/>
    <col min="10" max="10" width="9.75" style="11" customWidth="1"/>
    <col min="11" max="14" width="9.625" style="11" bestFit="1" customWidth="1"/>
    <col min="15" max="27" width="8.625" style="11" customWidth="1"/>
    <col min="28" max="28" width="12.125" style="11" customWidth="1"/>
    <col min="29" max="29" width="8.625" style="11" customWidth="1"/>
    <col min="30" max="30" width="9.5" style="1" bestFit="1" customWidth="1"/>
    <col min="31" max="16384" width="8" style="1"/>
  </cols>
  <sheetData>
    <row r="1" spans="1:43" ht="18.75" x14ac:dyDescent="0.3">
      <c r="A1" s="14" t="str">
        <f>bus</f>
        <v>CitiPower</v>
      </c>
      <c r="B1" s="14"/>
      <c r="C1" s="14"/>
      <c r="D1" s="14"/>
      <c r="E1" s="14"/>
      <c r="F1" s="395"/>
      <c r="G1" s="14"/>
      <c r="H1" s="14"/>
      <c r="I1" s="1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394"/>
      <c r="AE1" s="394"/>
      <c r="AF1" s="394"/>
      <c r="AG1" s="394"/>
      <c r="AH1" s="394"/>
      <c r="AI1" s="394"/>
      <c r="AJ1" s="394"/>
    </row>
    <row r="2" spans="1:43" ht="18.75" x14ac:dyDescent="0.3">
      <c r="A2" s="55" t="str">
        <f>proj</f>
        <v>R switchboard and relay retirement</v>
      </c>
      <c r="B2" s="14"/>
      <c r="C2" s="14"/>
      <c r="D2" s="14"/>
      <c r="E2" s="14"/>
      <c r="F2" s="395"/>
      <c r="G2" s="14"/>
      <c r="H2" s="14"/>
      <c r="I2" s="14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394"/>
      <c r="AE2" s="394"/>
      <c r="AF2" s="394"/>
      <c r="AG2" s="394"/>
      <c r="AH2" s="394"/>
      <c r="AI2" s="394"/>
      <c r="AJ2" s="394"/>
    </row>
    <row r="3" spans="1:43" ht="18.75" x14ac:dyDescent="0.3">
      <c r="A3" s="5" t="s">
        <v>247</v>
      </c>
      <c r="B3" s="328"/>
      <c r="C3" s="5"/>
      <c r="D3" s="5"/>
    </row>
    <row r="5" spans="1:43" ht="15" x14ac:dyDescent="0.2">
      <c r="A5" s="330"/>
      <c r="B5" s="330"/>
      <c r="C5" s="330"/>
      <c r="D5" s="330"/>
      <c r="E5" s="330"/>
      <c r="F5" s="331"/>
      <c r="G5" s="330"/>
      <c r="H5" s="330"/>
      <c r="I5" s="330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</row>
    <row r="6" spans="1:43" x14ac:dyDescent="0.2">
      <c r="C6" s="3"/>
      <c r="D6" s="3"/>
    </row>
    <row r="8" spans="1:43" s="333" customFormat="1" x14ac:dyDescent="0.2">
      <c r="B8" s="334" t="s">
        <v>248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</row>
    <row r="9" spans="1:43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3" x14ac:dyDescent="0.2">
      <c r="D10" s="336"/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3" x14ac:dyDescent="0.2">
      <c r="E11" s="337" t="s">
        <v>19</v>
      </c>
      <c r="F11" s="337" t="str">
        <f t="shared" ref="F11:AC11" si="0">LEFT(E11,4)+1&amp;"-"&amp;RIGHT(E11,2)+1</f>
        <v>2027-28</v>
      </c>
      <c r="G11" s="337" t="str">
        <f t="shared" si="0"/>
        <v>2028-29</v>
      </c>
      <c r="H11" s="337" t="str">
        <f t="shared" si="0"/>
        <v>2029-30</v>
      </c>
      <c r="I11" s="337" t="str">
        <f t="shared" si="0"/>
        <v>2030-31</v>
      </c>
      <c r="J11" s="337" t="str">
        <f t="shared" si="0"/>
        <v>2031-32</v>
      </c>
      <c r="K11" s="337" t="str">
        <f t="shared" si="0"/>
        <v>2032-33</v>
      </c>
      <c r="L11" s="337" t="str">
        <f t="shared" si="0"/>
        <v>2033-34</v>
      </c>
      <c r="M11" s="337" t="str">
        <f t="shared" si="0"/>
        <v>2034-35</v>
      </c>
      <c r="N11" s="337" t="str">
        <f t="shared" si="0"/>
        <v>2035-36</v>
      </c>
      <c r="O11" s="337" t="str">
        <f t="shared" si="0"/>
        <v>2036-37</v>
      </c>
      <c r="P11" s="337" t="str">
        <f t="shared" si="0"/>
        <v>2037-38</v>
      </c>
      <c r="Q11" s="337" t="str">
        <f t="shared" si="0"/>
        <v>2038-39</v>
      </c>
      <c r="R11" s="337" t="str">
        <f t="shared" si="0"/>
        <v>2039-40</v>
      </c>
      <c r="S11" s="337" t="str">
        <f t="shared" si="0"/>
        <v>2040-41</v>
      </c>
      <c r="T11" s="337" t="str">
        <f t="shared" si="0"/>
        <v>2041-42</v>
      </c>
      <c r="U11" s="337" t="str">
        <f t="shared" si="0"/>
        <v>2042-43</v>
      </c>
      <c r="V11" s="337" t="str">
        <f t="shared" si="0"/>
        <v>2043-44</v>
      </c>
      <c r="W11" s="337" t="str">
        <f t="shared" si="0"/>
        <v>2044-45</v>
      </c>
      <c r="X11" s="337" t="str">
        <f t="shared" si="0"/>
        <v>2045-46</v>
      </c>
      <c r="Y11" s="337" t="str">
        <f t="shared" si="0"/>
        <v>2046-47</v>
      </c>
      <c r="Z11" s="337" t="str">
        <f t="shared" si="0"/>
        <v>2047-48</v>
      </c>
      <c r="AA11" s="337" t="str">
        <f t="shared" si="0"/>
        <v>2048-49</v>
      </c>
      <c r="AB11" s="337" t="str">
        <f t="shared" si="0"/>
        <v>2049-50</v>
      </c>
      <c r="AC11" s="337" t="str">
        <f t="shared" si="0"/>
        <v>2050-51</v>
      </c>
    </row>
    <row r="12" spans="1:43" x14ac:dyDescent="0.2">
      <c r="D12" s="338" t="s">
        <v>2</v>
      </c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3" x14ac:dyDescent="0.2">
      <c r="D13" s="2" t="s">
        <v>249</v>
      </c>
      <c r="E13" s="361">
        <v>0</v>
      </c>
      <c r="F13" s="361">
        <v>0</v>
      </c>
      <c r="G13" s="361">
        <v>0</v>
      </c>
      <c r="H13" s="361">
        <v>0</v>
      </c>
      <c r="I13" s="361">
        <v>0</v>
      </c>
      <c r="J13" s="361">
        <v>0</v>
      </c>
      <c r="K13" s="361">
        <v>0</v>
      </c>
      <c r="L13" s="361">
        <v>0</v>
      </c>
      <c r="M13" s="361">
        <v>0</v>
      </c>
      <c r="N13" s="361">
        <v>0</v>
      </c>
      <c r="O13" s="361">
        <v>0</v>
      </c>
      <c r="P13" s="361">
        <v>0</v>
      </c>
      <c r="Q13" s="361">
        <v>0</v>
      </c>
      <c r="R13" s="361">
        <v>0</v>
      </c>
      <c r="S13" s="361">
        <v>0</v>
      </c>
      <c r="T13" s="361">
        <v>0</v>
      </c>
      <c r="U13" s="361">
        <v>0</v>
      </c>
      <c r="V13" s="361">
        <v>0</v>
      </c>
      <c r="W13" s="361">
        <v>0</v>
      </c>
      <c r="X13" s="361">
        <v>0</v>
      </c>
      <c r="Y13" s="361">
        <v>0</v>
      </c>
      <c r="Z13" s="361">
        <v>0</v>
      </c>
      <c r="AA13" s="361">
        <v>0</v>
      </c>
      <c r="AB13" s="361">
        <v>0</v>
      </c>
      <c r="AC13" s="361">
        <v>0</v>
      </c>
    </row>
    <row r="14" spans="1:43" x14ac:dyDescent="0.2">
      <c r="D14" s="2" t="s">
        <v>250</v>
      </c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</row>
    <row r="15" spans="1:43" x14ac:dyDescent="0.2">
      <c r="D15" s="340" t="s">
        <v>251</v>
      </c>
      <c r="E15" s="341">
        <f>SUM(E13:E14)</f>
        <v>0</v>
      </c>
      <c r="F15" s="341">
        <f t="shared" ref="F15:AC15" si="1">SUM(F13:F14)</f>
        <v>0</v>
      </c>
      <c r="G15" s="341">
        <f t="shared" si="1"/>
        <v>0</v>
      </c>
      <c r="H15" s="341">
        <f t="shared" si="1"/>
        <v>0</v>
      </c>
      <c r="I15" s="341">
        <f t="shared" si="1"/>
        <v>0</v>
      </c>
      <c r="J15" s="341">
        <f t="shared" si="1"/>
        <v>0</v>
      </c>
      <c r="K15" s="341">
        <f t="shared" si="1"/>
        <v>0</v>
      </c>
      <c r="L15" s="341">
        <f t="shared" si="1"/>
        <v>0</v>
      </c>
      <c r="M15" s="341">
        <f t="shared" si="1"/>
        <v>0</v>
      </c>
      <c r="N15" s="341">
        <f t="shared" si="1"/>
        <v>0</v>
      </c>
      <c r="O15" s="341">
        <f t="shared" si="1"/>
        <v>0</v>
      </c>
      <c r="P15" s="341">
        <f t="shared" si="1"/>
        <v>0</v>
      </c>
      <c r="Q15" s="341">
        <f t="shared" si="1"/>
        <v>0</v>
      </c>
      <c r="R15" s="341">
        <f t="shared" si="1"/>
        <v>0</v>
      </c>
      <c r="S15" s="341">
        <f t="shared" si="1"/>
        <v>0</v>
      </c>
      <c r="T15" s="341">
        <f t="shared" si="1"/>
        <v>0</v>
      </c>
      <c r="U15" s="341">
        <f t="shared" si="1"/>
        <v>0</v>
      </c>
      <c r="V15" s="341">
        <f t="shared" si="1"/>
        <v>0</v>
      </c>
      <c r="W15" s="341">
        <f t="shared" si="1"/>
        <v>0</v>
      </c>
      <c r="X15" s="341">
        <f t="shared" si="1"/>
        <v>0</v>
      </c>
      <c r="Y15" s="341">
        <f t="shared" si="1"/>
        <v>0</v>
      </c>
      <c r="Z15" s="341">
        <f t="shared" si="1"/>
        <v>0</v>
      </c>
      <c r="AA15" s="341">
        <f t="shared" si="1"/>
        <v>0</v>
      </c>
      <c r="AB15" s="341">
        <f t="shared" si="1"/>
        <v>0</v>
      </c>
      <c r="AC15" s="341">
        <f t="shared" si="1"/>
        <v>0</v>
      </c>
    </row>
    <row r="16" spans="1:43" x14ac:dyDescent="0.2"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342" customFormat="1" x14ac:dyDescent="0.2">
      <c r="B18" s="334" t="str">
        <f>"Option 2 - "&amp;Assumptions!E15</f>
        <v>Option 2 - Decomission switchboard and connect transformers and VR Cremorne feeders to RMU</v>
      </c>
    </row>
    <row r="19" spans="2:29" x14ac:dyDescent="0.2"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E21" s="337" t="s">
        <v>19</v>
      </c>
      <c r="F21" s="337" t="str">
        <f t="shared" ref="F21:AC21" si="2">LEFT(E21,4)+1&amp;"-"&amp;RIGHT(E21,2)+1</f>
        <v>2027-28</v>
      </c>
      <c r="G21" s="337" t="str">
        <f t="shared" si="2"/>
        <v>2028-29</v>
      </c>
      <c r="H21" s="337" t="str">
        <f t="shared" si="2"/>
        <v>2029-30</v>
      </c>
      <c r="I21" s="337" t="str">
        <f t="shared" si="2"/>
        <v>2030-31</v>
      </c>
      <c r="J21" s="337" t="str">
        <f t="shared" si="2"/>
        <v>2031-32</v>
      </c>
      <c r="K21" s="337" t="str">
        <f t="shared" si="2"/>
        <v>2032-33</v>
      </c>
      <c r="L21" s="337" t="str">
        <f t="shared" si="2"/>
        <v>2033-34</v>
      </c>
      <c r="M21" s="337" t="str">
        <f t="shared" si="2"/>
        <v>2034-35</v>
      </c>
      <c r="N21" s="337" t="str">
        <f t="shared" si="2"/>
        <v>2035-36</v>
      </c>
      <c r="O21" s="337" t="str">
        <f t="shared" si="2"/>
        <v>2036-37</v>
      </c>
      <c r="P21" s="337" t="str">
        <f t="shared" si="2"/>
        <v>2037-38</v>
      </c>
      <c r="Q21" s="337" t="str">
        <f t="shared" si="2"/>
        <v>2038-39</v>
      </c>
      <c r="R21" s="337" t="str">
        <f t="shared" si="2"/>
        <v>2039-40</v>
      </c>
      <c r="S21" s="337" t="str">
        <f t="shared" si="2"/>
        <v>2040-41</v>
      </c>
      <c r="T21" s="337" t="str">
        <f t="shared" si="2"/>
        <v>2041-42</v>
      </c>
      <c r="U21" s="337" t="str">
        <f t="shared" si="2"/>
        <v>2042-43</v>
      </c>
      <c r="V21" s="337" t="str">
        <f t="shared" si="2"/>
        <v>2043-44</v>
      </c>
      <c r="W21" s="337" t="str">
        <f t="shared" si="2"/>
        <v>2044-45</v>
      </c>
      <c r="X21" s="337" t="str">
        <f t="shared" si="2"/>
        <v>2045-46</v>
      </c>
      <c r="Y21" s="337" t="str">
        <f t="shared" si="2"/>
        <v>2046-47</v>
      </c>
      <c r="Z21" s="337" t="str">
        <f t="shared" si="2"/>
        <v>2047-48</v>
      </c>
      <c r="AA21" s="337" t="str">
        <f t="shared" si="2"/>
        <v>2048-49</v>
      </c>
      <c r="AB21" s="337" t="str">
        <f t="shared" si="2"/>
        <v>2049-50</v>
      </c>
      <c r="AC21" s="337" t="str">
        <f t="shared" si="2"/>
        <v>2050-51</v>
      </c>
    </row>
    <row r="22" spans="2:29" x14ac:dyDescent="0.2">
      <c r="D22" s="338" t="s">
        <v>252</v>
      </c>
      <c r="E22" s="361">
        <v>2700000</v>
      </c>
      <c r="F22" s="361">
        <v>0</v>
      </c>
      <c r="G22" s="361">
        <v>0</v>
      </c>
      <c r="H22" s="361">
        <v>0</v>
      </c>
      <c r="I22" s="361">
        <v>0</v>
      </c>
      <c r="J22" s="361">
        <v>0</v>
      </c>
      <c r="K22" s="361">
        <v>0</v>
      </c>
      <c r="L22" s="361">
        <v>0</v>
      </c>
      <c r="M22" s="361">
        <v>0</v>
      </c>
      <c r="N22" s="361">
        <v>0</v>
      </c>
      <c r="O22" s="361">
        <v>0</v>
      </c>
      <c r="P22" s="361">
        <v>0</v>
      </c>
      <c r="Q22" s="361">
        <v>0</v>
      </c>
      <c r="R22" s="361">
        <v>0</v>
      </c>
      <c r="S22" s="361">
        <v>0</v>
      </c>
      <c r="T22" s="361">
        <v>0</v>
      </c>
      <c r="U22" s="361">
        <v>0</v>
      </c>
      <c r="V22" s="361">
        <v>0</v>
      </c>
      <c r="W22" s="361">
        <v>0</v>
      </c>
      <c r="X22" s="361">
        <v>0</v>
      </c>
      <c r="Y22" s="361">
        <v>0</v>
      </c>
      <c r="Z22" s="361">
        <v>0</v>
      </c>
      <c r="AA22" s="361">
        <v>0</v>
      </c>
      <c r="AB22" s="361">
        <v>0</v>
      </c>
      <c r="AC22" s="361">
        <v>0</v>
      </c>
    </row>
    <row r="23" spans="2:29" x14ac:dyDescent="0.2">
      <c r="D23" s="338" t="s">
        <v>253</v>
      </c>
      <c r="E23" s="361"/>
      <c r="F23" s="361">
        <v>0</v>
      </c>
      <c r="G23" s="361">
        <v>0</v>
      </c>
      <c r="H23" s="361">
        <v>0</v>
      </c>
      <c r="I23" s="361">
        <v>0</v>
      </c>
      <c r="J23" s="361">
        <v>0</v>
      </c>
      <c r="K23" s="361">
        <v>0</v>
      </c>
      <c r="L23" s="361">
        <v>0</v>
      </c>
      <c r="M23" s="361">
        <v>0</v>
      </c>
      <c r="N23" s="361">
        <v>0</v>
      </c>
      <c r="O23" s="361">
        <v>0</v>
      </c>
      <c r="P23" s="361">
        <v>0</v>
      </c>
      <c r="Q23" s="361">
        <v>0</v>
      </c>
      <c r="R23" s="361">
        <v>0</v>
      </c>
      <c r="S23" s="361">
        <v>0</v>
      </c>
      <c r="T23" s="361">
        <v>0</v>
      </c>
      <c r="U23" s="361">
        <v>0</v>
      </c>
      <c r="V23" s="361">
        <v>0</v>
      </c>
      <c r="W23" s="361">
        <v>0</v>
      </c>
      <c r="X23" s="361">
        <v>0</v>
      </c>
      <c r="Y23" s="361">
        <v>0</v>
      </c>
      <c r="Z23" s="361">
        <v>0</v>
      </c>
      <c r="AA23" s="361">
        <v>0</v>
      </c>
      <c r="AB23" s="361">
        <v>0</v>
      </c>
      <c r="AC23" s="361">
        <v>0</v>
      </c>
    </row>
    <row r="24" spans="2:29" x14ac:dyDescent="0.2">
      <c r="D24" s="345" t="s">
        <v>254</v>
      </c>
      <c r="E24" s="346">
        <f>SUM(E22:E23)</f>
        <v>2700000</v>
      </c>
      <c r="F24" s="346">
        <f>SUM(F22:F23)</f>
        <v>0</v>
      </c>
      <c r="G24" s="346">
        <f t="shared" ref="G24:I24" si="3">SUM(G22:G23)</f>
        <v>0</v>
      </c>
      <c r="H24" s="346">
        <f t="shared" si="3"/>
        <v>0</v>
      </c>
      <c r="I24" s="346">
        <f t="shared" si="3"/>
        <v>0</v>
      </c>
      <c r="J24" s="346">
        <f>SUM(J22:J23)</f>
        <v>0</v>
      </c>
      <c r="K24" s="346">
        <f t="shared" ref="K24:AC24" si="4">SUM(K22:K23)</f>
        <v>0</v>
      </c>
      <c r="L24" s="346">
        <f t="shared" si="4"/>
        <v>0</v>
      </c>
      <c r="M24" s="346">
        <f t="shared" si="4"/>
        <v>0</v>
      </c>
      <c r="N24" s="346">
        <f t="shared" si="4"/>
        <v>0</v>
      </c>
      <c r="O24" s="346">
        <f t="shared" si="4"/>
        <v>0</v>
      </c>
      <c r="P24" s="346">
        <f t="shared" si="4"/>
        <v>0</v>
      </c>
      <c r="Q24" s="346">
        <f t="shared" si="4"/>
        <v>0</v>
      </c>
      <c r="R24" s="346">
        <f t="shared" si="4"/>
        <v>0</v>
      </c>
      <c r="S24" s="346">
        <f t="shared" si="4"/>
        <v>0</v>
      </c>
      <c r="T24" s="346">
        <f t="shared" si="4"/>
        <v>0</v>
      </c>
      <c r="U24" s="346">
        <f t="shared" si="4"/>
        <v>0</v>
      </c>
      <c r="V24" s="346">
        <f t="shared" si="4"/>
        <v>0</v>
      </c>
      <c r="W24" s="346">
        <f t="shared" si="4"/>
        <v>0</v>
      </c>
      <c r="X24" s="346">
        <f t="shared" si="4"/>
        <v>0</v>
      </c>
      <c r="Y24" s="346">
        <f t="shared" si="4"/>
        <v>0</v>
      </c>
      <c r="Z24" s="346">
        <f t="shared" si="4"/>
        <v>0</v>
      </c>
      <c r="AA24" s="346">
        <f t="shared" si="4"/>
        <v>0</v>
      </c>
      <c r="AB24" s="346">
        <f t="shared" si="4"/>
        <v>0</v>
      </c>
      <c r="AC24" s="346">
        <f t="shared" si="4"/>
        <v>0</v>
      </c>
    </row>
    <row r="25" spans="2:29" x14ac:dyDescent="0.2"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E26" s="337" t="s">
        <v>19</v>
      </c>
      <c r="F26" s="337" t="str">
        <f t="shared" ref="F26:AC26" si="5">LEFT(E26,4)+1&amp;"-"&amp;RIGHT(E26,2)+1</f>
        <v>2027-28</v>
      </c>
      <c r="G26" s="337" t="str">
        <f t="shared" si="5"/>
        <v>2028-29</v>
      </c>
      <c r="H26" s="337" t="str">
        <f t="shared" si="5"/>
        <v>2029-30</v>
      </c>
      <c r="I26" s="337" t="str">
        <f t="shared" si="5"/>
        <v>2030-31</v>
      </c>
      <c r="J26" s="337" t="str">
        <f t="shared" si="5"/>
        <v>2031-32</v>
      </c>
      <c r="K26" s="337" t="str">
        <f t="shared" si="5"/>
        <v>2032-33</v>
      </c>
      <c r="L26" s="337" t="str">
        <f t="shared" si="5"/>
        <v>2033-34</v>
      </c>
      <c r="M26" s="337" t="str">
        <f t="shared" si="5"/>
        <v>2034-35</v>
      </c>
      <c r="N26" s="337" t="str">
        <f t="shared" si="5"/>
        <v>2035-36</v>
      </c>
      <c r="O26" s="337" t="str">
        <f t="shared" si="5"/>
        <v>2036-37</v>
      </c>
      <c r="P26" s="337" t="str">
        <f t="shared" si="5"/>
        <v>2037-38</v>
      </c>
      <c r="Q26" s="337" t="str">
        <f t="shared" si="5"/>
        <v>2038-39</v>
      </c>
      <c r="R26" s="337" t="str">
        <f t="shared" si="5"/>
        <v>2039-40</v>
      </c>
      <c r="S26" s="337" t="str">
        <f t="shared" si="5"/>
        <v>2040-41</v>
      </c>
      <c r="T26" s="337" t="str">
        <f t="shared" si="5"/>
        <v>2041-42</v>
      </c>
      <c r="U26" s="337" t="str">
        <f t="shared" si="5"/>
        <v>2042-43</v>
      </c>
      <c r="V26" s="337" t="str">
        <f t="shared" si="5"/>
        <v>2043-44</v>
      </c>
      <c r="W26" s="337" t="str">
        <f t="shared" si="5"/>
        <v>2044-45</v>
      </c>
      <c r="X26" s="337" t="str">
        <f t="shared" si="5"/>
        <v>2045-46</v>
      </c>
      <c r="Y26" s="337" t="str">
        <f t="shared" si="5"/>
        <v>2046-47</v>
      </c>
      <c r="Z26" s="337" t="str">
        <f t="shared" si="5"/>
        <v>2047-48</v>
      </c>
      <c r="AA26" s="337" t="str">
        <f t="shared" si="5"/>
        <v>2048-49</v>
      </c>
      <c r="AB26" s="337" t="str">
        <f t="shared" si="5"/>
        <v>2049-50</v>
      </c>
      <c r="AC26" s="337" t="str">
        <f t="shared" si="5"/>
        <v>2050-51</v>
      </c>
    </row>
    <row r="27" spans="2:29" x14ac:dyDescent="0.2">
      <c r="D27" s="338" t="s">
        <v>2</v>
      </c>
      <c r="F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D28" s="2" t="s">
        <v>249</v>
      </c>
      <c r="E28" s="361">
        <v>0</v>
      </c>
      <c r="F28" s="361">
        <v>0</v>
      </c>
      <c r="G28" s="361">
        <v>0</v>
      </c>
      <c r="H28" s="361">
        <v>0</v>
      </c>
      <c r="I28" s="361">
        <v>0</v>
      </c>
      <c r="J28" s="361">
        <v>0</v>
      </c>
      <c r="K28" s="361">
        <v>0</v>
      </c>
      <c r="L28" s="361">
        <v>0</v>
      </c>
      <c r="M28" s="361">
        <v>0</v>
      </c>
      <c r="N28" s="361">
        <v>0</v>
      </c>
      <c r="O28" s="361">
        <v>0</v>
      </c>
      <c r="P28" s="361">
        <v>0</v>
      </c>
      <c r="Q28" s="361">
        <v>0</v>
      </c>
      <c r="R28" s="361">
        <v>0</v>
      </c>
      <c r="S28" s="361">
        <v>0</v>
      </c>
      <c r="T28" s="361">
        <v>0</v>
      </c>
      <c r="U28" s="361">
        <v>0</v>
      </c>
      <c r="V28" s="361">
        <v>0</v>
      </c>
      <c r="W28" s="361">
        <v>0</v>
      </c>
      <c r="X28" s="361">
        <v>0</v>
      </c>
      <c r="Y28" s="361">
        <v>0</v>
      </c>
      <c r="Z28" s="361">
        <v>0</v>
      </c>
      <c r="AA28" s="361">
        <v>0</v>
      </c>
      <c r="AB28" s="361">
        <v>0</v>
      </c>
      <c r="AC28" s="361">
        <v>0</v>
      </c>
    </row>
    <row r="29" spans="2:29" x14ac:dyDescent="0.2">
      <c r="D29" s="2" t="s">
        <v>250</v>
      </c>
      <c r="E29" s="361">
        <v>0</v>
      </c>
      <c r="F29" s="361">
        <v>0</v>
      </c>
      <c r="G29" s="361">
        <v>0</v>
      </c>
      <c r="H29" s="361">
        <v>0</v>
      </c>
      <c r="I29" s="361">
        <v>0</v>
      </c>
      <c r="J29" s="361">
        <v>0</v>
      </c>
      <c r="K29" s="361">
        <v>0</v>
      </c>
      <c r="L29" s="361">
        <v>0</v>
      </c>
      <c r="M29" s="361">
        <v>0</v>
      </c>
      <c r="N29" s="361">
        <v>0</v>
      </c>
      <c r="O29" s="361">
        <v>0</v>
      </c>
      <c r="P29" s="361">
        <v>0</v>
      </c>
      <c r="Q29" s="361">
        <v>0</v>
      </c>
      <c r="R29" s="361">
        <v>0</v>
      </c>
      <c r="S29" s="361">
        <v>0</v>
      </c>
      <c r="T29" s="361">
        <v>0</v>
      </c>
      <c r="U29" s="361">
        <v>0</v>
      </c>
      <c r="V29" s="361">
        <v>0</v>
      </c>
      <c r="W29" s="361">
        <v>0</v>
      </c>
      <c r="X29" s="361">
        <v>0</v>
      </c>
      <c r="Y29" s="361">
        <v>0</v>
      </c>
      <c r="Z29" s="361">
        <v>0</v>
      </c>
      <c r="AA29" s="361">
        <v>0</v>
      </c>
      <c r="AB29" s="361">
        <v>0</v>
      </c>
      <c r="AC29" s="361">
        <v>0</v>
      </c>
    </row>
    <row r="30" spans="2:29" x14ac:dyDescent="0.2">
      <c r="D30" s="340" t="s">
        <v>251</v>
      </c>
      <c r="E30" s="341">
        <f>SUM(E28:E29)</f>
        <v>0</v>
      </c>
      <c r="F30" s="341">
        <f t="shared" ref="F30:AC30" si="6">SUM(F28:F29)</f>
        <v>0</v>
      </c>
      <c r="G30" s="341">
        <f t="shared" si="6"/>
        <v>0</v>
      </c>
      <c r="H30" s="341">
        <f t="shared" si="6"/>
        <v>0</v>
      </c>
      <c r="I30" s="341">
        <f t="shared" si="6"/>
        <v>0</v>
      </c>
      <c r="J30" s="341">
        <f t="shared" si="6"/>
        <v>0</v>
      </c>
      <c r="K30" s="341">
        <f t="shared" si="6"/>
        <v>0</v>
      </c>
      <c r="L30" s="341">
        <f t="shared" si="6"/>
        <v>0</v>
      </c>
      <c r="M30" s="341">
        <f t="shared" si="6"/>
        <v>0</v>
      </c>
      <c r="N30" s="341">
        <f t="shared" si="6"/>
        <v>0</v>
      </c>
      <c r="O30" s="341">
        <f t="shared" si="6"/>
        <v>0</v>
      </c>
      <c r="P30" s="341">
        <f t="shared" si="6"/>
        <v>0</v>
      </c>
      <c r="Q30" s="341">
        <f t="shared" si="6"/>
        <v>0</v>
      </c>
      <c r="R30" s="341">
        <f t="shared" si="6"/>
        <v>0</v>
      </c>
      <c r="S30" s="341">
        <f t="shared" si="6"/>
        <v>0</v>
      </c>
      <c r="T30" s="341">
        <f t="shared" si="6"/>
        <v>0</v>
      </c>
      <c r="U30" s="341">
        <f t="shared" si="6"/>
        <v>0</v>
      </c>
      <c r="V30" s="341">
        <f t="shared" si="6"/>
        <v>0</v>
      </c>
      <c r="W30" s="341">
        <f t="shared" si="6"/>
        <v>0</v>
      </c>
      <c r="X30" s="341">
        <f t="shared" si="6"/>
        <v>0</v>
      </c>
      <c r="Y30" s="341">
        <f t="shared" si="6"/>
        <v>0</v>
      </c>
      <c r="Z30" s="341">
        <f t="shared" si="6"/>
        <v>0</v>
      </c>
      <c r="AA30" s="341">
        <f t="shared" si="6"/>
        <v>0</v>
      </c>
      <c r="AB30" s="341">
        <f t="shared" si="6"/>
        <v>0</v>
      </c>
      <c r="AC30" s="341">
        <f t="shared" si="6"/>
        <v>0</v>
      </c>
    </row>
    <row r="31" spans="2:29" x14ac:dyDescent="0.2">
      <c r="D31" s="2" t="s">
        <v>309</v>
      </c>
      <c r="E31" s="392">
        <f>E$13-E30</f>
        <v>0</v>
      </c>
      <c r="F31" s="392">
        <f t="shared" ref="F31:AC31" si="7">F$13-F30</f>
        <v>0</v>
      </c>
      <c r="G31" s="392">
        <f t="shared" si="7"/>
        <v>0</v>
      </c>
      <c r="H31" s="392">
        <f t="shared" si="7"/>
        <v>0</v>
      </c>
      <c r="I31" s="392">
        <f t="shared" si="7"/>
        <v>0</v>
      </c>
      <c r="J31" s="392">
        <f t="shared" si="7"/>
        <v>0</v>
      </c>
      <c r="K31" s="392">
        <f t="shared" si="7"/>
        <v>0</v>
      </c>
      <c r="L31" s="392">
        <f t="shared" si="7"/>
        <v>0</v>
      </c>
      <c r="M31" s="392">
        <f t="shared" si="7"/>
        <v>0</v>
      </c>
      <c r="N31" s="392">
        <f t="shared" si="7"/>
        <v>0</v>
      </c>
      <c r="O31" s="392">
        <f t="shared" si="7"/>
        <v>0</v>
      </c>
      <c r="P31" s="392">
        <f t="shared" si="7"/>
        <v>0</v>
      </c>
      <c r="Q31" s="392">
        <f t="shared" si="7"/>
        <v>0</v>
      </c>
      <c r="R31" s="392">
        <f t="shared" si="7"/>
        <v>0</v>
      </c>
      <c r="S31" s="392">
        <f t="shared" si="7"/>
        <v>0</v>
      </c>
      <c r="T31" s="392">
        <f t="shared" si="7"/>
        <v>0</v>
      </c>
      <c r="U31" s="392">
        <f t="shared" si="7"/>
        <v>0</v>
      </c>
      <c r="V31" s="392">
        <f t="shared" si="7"/>
        <v>0</v>
      </c>
      <c r="W31" s="392">
        <f t="shared" si="7"/>
        <v>0</v>
      </c>
      <c r="X31" s="392">
        <f t="shared" si="7"/>
        <v>0</v>
      </c>
      <c r="Y31" s="392">
        <f t="shared" si="7"/>
        <v>0</v>
      </c>
      <c r="Z31" s="392">
        <f t="shared" si="7"/>
        <v>0</v>
      </c>
      <c r="AA31" s="392">
        <f t="shared" si="7"/>
        <v>0</v>
      </c>
      <c r="AB31" s="392">
        <f t="shared" si="7"/>
        <v>0</v>
      </c>
      <c r="AC31" s="392">
        <f t="shared" si="7"/>
        <v>0</v>
      </c>
    </row>
    <row r="32" spans="2:29" ht="14.45" customHeight="1" x14ac:dyDescent="0.2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F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s="342" customFormat="1" x14ac:dyDescent="0.2">
      <c r="B34" s="334" t="str">
        <f>"Option 3 - "&amp;Assumptions!E16</f>
        <v>Option 3 - Decomission switchboard, direct connect transformers and connect VR Cremorne feeders to RTS</v>
      </c>
    </row>
    <row r="35" spans="2:29" x14ac:dyDescent="0.2"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F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E37" s="337" t="s">
        <v>19</v>
      </c>
      <c r="F37" s="337" t="str">
        <f t="shared" ref="F37:AC37" si="8">LEFT(E37,4)+1&amp;"-"&amp;RIGHT(E37,2)+1</f>
        <v>2027-28</v>
      </c>
      <c r="G37" s="337" t="str">
        <f t="shared" si="8"/>
        <v>2028-29</v>
      </c>
      <c r="H37" s="337" t="str">
        <f t="shared" si="8"/>
        <v>2029-30</v>
      </c>
      <c r="I37" s="337" t="str">
        <f t="shared" si="8"/>
        <v>2030-31</v>
      </c>
      <c r="J37" s="337" t="str">
        <f t="shared" si="8"/>
        <v>2031-32</v>
      </c>
      <c r="K37" s="337" t="str">
        <f t="shared" si="8"/>
        <v>2032-33</v>
      </c>
      <c r="L37" s="337" t="str">
        <f t="shared" si="8"/>
        <v>2033-34</v>
      </c>
      <c r="M37" s="337" t="str">
        <f t="shared" si="8"/>
        <v>2034-35</v>
      </c>
      <c r="N37" s="337" t="str">
        <f t="shared" si="8"/>
        <v>2035-36</v>
      </c>
      <c r="O37" s="337" t="str">
        <f t="shared" si="8"/>
        <v>2036-37</v>
      </c>
      <c r="P37" s="337" t="str">
        <f t="shared" si="8"/>
        <v>2037-38</v>
      </c>
      <c r="Q37" s="337" t="str">
        <f t="shared" si="8"/>
        <v>2038-39</v>
      </c>
      <c r="R37" s="337" t="str">
        <f t="shared" si="8"/>
        <v>2039-40</v>
      </c>
      <c r="S37" s="337" t="str">
        <f t="shared" si="8"/>
        <v>2040-41</v>
      </c>
      <c r="T37" s="337" t="str">
        <f t="shared" si="8"/>
        <v>2041-42</v>
      </c>
      <c r="U37" s="337" t="str">
        <f t="shared" si="8"/>
        <v>2042-43</v>
      </c>
      <c r="V37" s="337" t="str">
        <f t="shared" si="8"/>
        <v>2043-44</v>
      </c>
      <c r="W37" s="337" t="str">
        <f t="shared" si="8"/>
        <v>2044-45</v>
      </c>
      <c r="X37" s="337" t="str">
        <f t="shared" si="8"/>
        <v>2045-46</v>
      </c>
      <c r="Y37" s="337" t="str">
        <f t="shared" si="8"/>
        <v>2046-47</v>
      </c>
      <c r="Z37" s="337" t="str">
        <f t="shared" si="8"/>
        <v>2047-48</v>
      </c>
      <c r="AA37" s="337" t="str">
        <f t="shared" si="8"/>
        <v>2048-49</v>
      </c>
      <c r="AB37" s="337" t="str">
        <f t="shared" si="8"/>
        <v>2049-50</v>
      </c>
      <c r="AC37" s="337" t="str">
        <f t="shared" si="8"/>
        <v>2050-51</v>
      </c>
    </row>
    <row r="38" spans="2:29" x14ac:dyDescent="0.2">
      <c r="D38" s="338" t="s">
        <v>252</v>
      </c>
      <c r="E38" s="361">
        <v>4400000</v>
      </c>
      <c r="F38" s="361">
        <v>0</v>
      </c>
      <c r="G38" s="361">
        <v>0</v>
      </c>
      <c r="H38" s="361">
        <v>0</v>
      </c>
      <c r="I38" s="361">
        <v>0</v>
      </c>
      <c r="J38" s="361">
        <v>0</v>
      </c>
      <c r="K38" s="361">
        <v>0</v>
      </c>
      <c r="L38" s="361">
        <v>0</v>
      </c>
      <c r="M38" s="361">
        <v>0</v>
      </c>
      <c r="N38" s="361">
        <v>0</v>
      </c>
      <c r="O38" s="361">
        <v>0</v>
      </c>
      <c r="P38" s="361">
        <v>0</v>
      </c>
      <c r="Q38" s="361">
        <v>0</v>
      </c>
      <c r="R38" s="361">
        <v>0</v>
      </c>
      <c r="S38" s="361">
        <v>0</v>
      </c>
      <c r="T38" s="361">
        <v>0</v>
      </c>
      <c r="U38" s="361">
        <v>0</v>
      </c>
      <c r="V38" s="361">
        <v>0</v>
      </c>
      <c r="W38" s="361">
        <v>0</v>
      </c>
      <c r="X38" s="361">
        <v>0</v>
      </c>
      <c r="Y38" s="361">
        <v>0</v>
      </c>
      <c r="Z38" s="361">
        <v>0</v>
      </c>
      <c r="AA38" s="361">
        <v>0</v>
      </c>
      <c r="AB38" s="361">
        <v>0</v>
      </c>
      <c r="AC38" s="361">
        <v>0</v>
      </c>
    </row>
    <row r="39" spans="2:29" x14ac:dyDescent="0.2">
      <c r="D39" s="338" t="s">
        <v>253</v>
      </c>
      <c r="E39" s="361"/>
      <c r="F39" s="361">
        <v>0</v>
      </c>
      <c r="G39" s="361">
        <v>0</v>
      </c>
      <c r="H39" s="361">
        <v>0</v>
      </c>
      <c r="I39" s="361">
        <v>0</v>
      </c>
      <c r="J39" s="361">
        <v>0</v>
      </c>
      <c r="K39" s="361">
        <v>0</v>
      </c>
      <c r="L39" s="361">
        <v>0</v>
      </c>
      <c r="M39" s="361">
        <v>0</v>
      </c>
      <c r="N39" s="361">
        <v>0</v>
      </c>
      <c r="O39" s="361">
        <v>0</v>
      </c>
      <c r="P39" s="361">
        <v>0</v>
      </c>
      <c r="Q39" s="361">
        <v>0</v>
      </c>
      <c r="R39" s="361">
        <v>0</v>
      </c>
      <c r="S39" s="361">
        <v>0</v>
      </c>
      <c r="T39" s="361">
        <v>0</v>
      </c>
      <c r="U39" s="361">
        <v>0</v>
      </c>
      <c r="V39" s="361">
        <v>0</v>
      </c>
      <c r="W39" s="361">
        <v>0</v>
      </c>
      <c r="X39" s="361">
        <v>0</v>
      </c>
      <c r="Y39" s="361">
        <v>0</v>
      </c>
      <c r="Z39" s="361">
        <v>0</v>
      </c>
      <c r="AA39" s="361">
        <v>0</v>
      </c>
      <c r="AB39" s="361">
        <v>0</v>
      </c>
      <c r="AC39" s="361">
        <v>0</v>
      </c>
    </row>
    <row r="40" spans="2:29" x14ac:dyDescent="0.2">
      <c r="D40" s="345" t="s">
        <v>254</v>
      </c>
      <c r="E40" s="346">
        <f>SUM(E38:E39)</f>
        <v>4400000</v>
      </c>
      <c r="F40" s="346">
        <f>SUM(F38:F39)</f>
        <v>0</v>
      </c>
      <c r="G40" s="346">
        <f t="shared" ref="G40:AC40" si="9">SUM(G38:G39)</f>
        <v>0</v>
      </c>
      <c r="H40" s="346">
        <f t="shared" si="9"/>
        <v>0</v>
      </c>
      <c r="I40" s="346">
        <f t="shared" si="9"/>
        <v>0</v>
      </c>
      <c r="J40" s="346">
        <f t="shared" si="9"/>
        <v>0</v>
      </c>
      <c r="K40" s="346">
        <f t="shared" si="9"/>
        <v>0</v>
      </c>
      <c r="L40" s="346">
        <f t="shared" si="9"/>
        <v>0</v>
      </c>
      <c r="M40" s="346">
        <f t="shared" si="9"/>
        <v>0</v>
      </c>
      <c r="N40" s="346">
        <f t="shared" si="9"/>
        <v>0</v>
      </c>
      <c r="O40" s="346">
        <f t="shared" si="9"/>
        <v>0</v>
      </c>
      <c r="P40" s="346">
        <f t="shared" si="9"/>
        <v>0</v>
      </c>
      <c r="Q40" s="346">
        <f t="shared" si="9"/>
        <v>0</v>
      </c>
      <c r="R40" s="346">
        <f t="shared" si="9"/>
        <v>0</v>
      </c>
      <c r="S40" s="346">
        <f t="shared" si="9"/>
        <v>0</v>
      </c>
      <c r="T40" s="346">
        <f t="shared" si="9"/>
        <v>0</v>
      </c>
      <c r="U40" s="346">
        <f t="shared" si="9"/>
        <v>0</v>
      </c>
      <c r="V40" s="346">
        <f t="shared" si="9"/>
        <v>0</v>
      </c>
      <c r="W40" s="346">
        <f t="shared" si="9"/>
        <v>0</v>
      </c>
      <c r="X40" s="346">
        <f t="shared" si="9"/>
        <v>0</v>
      </c>
      <c r="Y40" s="346">
        <f t="shared" si="9"/>
        <v>0</v>
      </c>
      <c r="Z40" s="346">
        <f t="shared" si="9"/>
        <v>0</v>
      </c>
      <c r="AA40" s="346">
        <f t="shared" si="9"/>
        <v>0</v>
      </c>
      <c r="AB40" s="346">
        <f t="shared" si="9"/>
        <v>0</v>
      </c>
      <c r="AC40" s="346">
        <f t="shared" si="9"/>
        <v>0</v>
      </c>
    </row>
    <row r="41" spans="2:29" x14ac:dyDescent="0.2"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E42" s="337" t="s">
        <v>19</v>
      </c>
      <c r="F42" s="337" t="str">
        <f t="shared" ref="F42:AC42" si="10">LEFT(E42,4)+1&amp;"-"&amp;RIGHT(E42,2)+1</f>
        <v>2027-28</v>
      </c>
      <c r="G42" s="337" t="str">
        <f t="shared" si="10"/>
        <v>2028-29</v>
      </c>
      <c r="H42" s="337" t="str">
        <f t="shared" si="10"/>
        <v>2029-30</v>
      </c>
      <c r="I42" s="337" t="str">
        <f t="shared" si="10"/>
        <v>2030-31</v>
      </c>
      <c r="J42" s="337" t="str">
        <f t="shared" si="10"/>
        <v>2031-32</v>
      </c>
      <c r="K42" s="337" t="str">
        <f t="shared" si="10"/>
        <v>2032-33</v>
      </c>
      <c r="L42" s="337" t="str">
        <f t="shared" si="10"/>
        <v>2033-34</v>
      </c>
      <c r="M42" s="337" t="str">
        <f t="shared" si="10"/>
        <v>2034-35</v>
      </c>
      <c r="N42" s="337" t="str">
        <f t="shared" si="10"/>
        <v>2035-36</v>
      </c>
      <c r="O42" s="337" t="str">
        <f t="shared" si="10"/>
        <v>2036-37</v>
      </c>
      <c r="P42" s="337" t="str">
        <f t="shared" si="10"/>
        <v>2037-38</v>
      </c>
      <c r="Q42" s="337" t="str">
        <f t="shared" si="10"/>
        <v>2038-39</v>
      </c>
      <c r="R42" s="337" t="str">
        <f t="shared" si="10"/>
        <v>2039-40</v>
      </c>
      <c r="S42" s="337" t="str">
        <f t="shared" si="10"/>
        <v>2040-41</v>
      </c>
      <c r="T42" s="337" t="str">
        <f t="shared" si="10"/>
        <v>2041-42</v>
      </c>
      <c r="U42" s="337" t="str">
        <f t="shared" si="10"/>
        <v>2042-43</v>
      </c>
      <c r="V42" s="337" t="str">
        <f t="shared" si="10"/>
        <v>2043-44</v>
      </c>
      <c r="W42" s="337" t="str">
        <f t="shared" si="10"/>
        <v>2044-45</v>
      </c>
      <c r="X42" s="337" t="str">
        <f t="shared" si="10"/>
        <v>2045-46</v>
      </c>
      <c r="Y42" s="337" t="str">
        <f t="shared" si="10"/>
        <v>2046-47</v>
      </c>
      <c r="Z42" s="337" t="str">
        <f t="shared" si="10"/>
        <v>2047-48</v>
      </c>
      <c r="AA42" s="337" t="str">
        <f t="shared" si="10"/>
        <v>2048-49</v>
      </c>
      <c r="AB42" s="337" t="str">
        <f t="shared" si="10"/>
        <v>2049-50</v>
      </c>
      <c r="AC42" s="337" t="str">
        <f t="shared" si="10"/>
        <v>2050-51</v>
      </c>
    </row>
    <row r="43" spans="2:29" x14ac:dyDescent="0.2">
      <c r="D43" s="338" t="s">
        <v>2</v>
      </c>
      <c r="F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D44" s="2" t="s">
        <v>249</v>
      </c>
      <c r="E44" s="361">
        <v>0</v>
      </c>
      <c r="F44" s="361">
        <v>0</v>
      </c>
      <c r="G44" s="361">
        <v>0</v>
      </c>
      <c r="H44" s="361">
        <v>0</v>
      </c>
      <c r="I44" s="361">
        <v>0</v>
      </c>
      <c r="J44" s="361">
        <v>0</v>
      </c>
      <c r="K44" s="361">
        <v>0</v>
      </c>
      <c r="L44" s="361">
        <v>0</v>
      </c>
      <c r="M44" s="361">
        <v>0</v>
      </c>
      <c r="N44" s="361">
        <v>0</v>
      </c>
      <c r="O44" s="361">
        <v>0</v>
      </c>
      <c r="P44" s="361">
        <v>0</v>
      </c>
      <c r="Q44" s="361">
        <v>0</v>
      </c>
      <c r="R44" s="361">
        <v>0</v>
      </c>
      <c r="S44" s="361">
        <v>0</v>
      </c>
      <c r="T44" s="361">
        <v>0</v>
      </c>
      <c r="U44" s="361">
        <v>0</v>
      </c>
      <c r="V44" s="361">
        <v>0</v>
      </c>
      <c r="W44" s="361">
        <v>0</v>
      </c>
      <c r="X44" s="361">
        <v>0</v>
      </c>
      <c r="Y44" s="361">
        <v>0</v>
      </c>
      <c r="Z44" s="361">
        <v>0</v>
      </c>
      <c r="AA44" s="361">
        <v>0</v>
      </c>
      <c r="AB44" s="361">
        <v>0</v>
      </c>
      <c r="AC44" s="361">
        <v>0</v>
      </c>
    </row>
    <row r="45" spans="2:29" x14ac:dyDescent="0.2">
      <c r="D45" s="2" t="s">
        <v>250</v>
      </c>
      <c r="E45" s="361">
        <v>0</v>
      </c>
      <c r="F45" s="361">
        <v>0</v>
      </c>
      <c r="G45" s="361">
        <v>0</v>
      </c>
      <c r="H45" s="361">
        <v>0</v>
      </c>
      <c r="I45" s="361">
        <v>0</v>
      </c>
      <c r="J45" s="361">
        <v>0</v>
      </c>
      <c r="K45" s="361">
        <v>0</v>
      </c>
      <c r="L45" s="361">
        <v>0</v>
      </c>
      <c r="M45" s="361">
        <v>0</v>
      </c>
      <c r="N45" s="361">
        <v>0</v>
      </c>
      <c r="O45" s="361">
        <v>0</v>
      </c>
      <c r="P45" s="361">
        <v>0</v>
      </c>
      <c r="Q45" s="361">
        <v>0</v>
      </c>
      <c r="R45" s="361">
        <v>0</v>
      </c>
      <c r="S45" s="361">
        <v>0</v>
      </c>
      <c r="T45" s="361">
        <v>0</v>
      </c>
      <c r="U45" s="361">
        <v>0</v>
      </c>
      <c r="V45" s="361">
        <v>0</v>
      </c>
      <c r="W45" s="361">
        <v>0</v>
      </c>
      <c r="X45" s="361">
        <v>0</v>
      </c>
      <c r="Y45" s="361">
        <v>0</v>
      </c>
      <c r="Z45" s="361">
        <v>0</v>
      </c>
      <c r="AA45" s="361">
        <v>0</v>
      </c>
      <c r="AB45" s="361">
        <v>0</v>
      </c>
      <c r="AC45" s="361">
        <v>0</v>
      </c>
    </row>
    <row r="46" spans="2:29" x14ac:dyDescent="0.2">
      <c r="D46" s="340" t="s">
        <v>251</v>
      </c>
      <c r="E46" s="341">
        <f>SUM(E44:E45)</f>
        <v>0</v>
      </c>
      <c r="F46" s="341">
        <f t="shared" ref="F46:AC46" si="11">SUM(F44:F45)</f>
        <v>0</v>
      </c>
      <c r="G46" s="341">
        <f t="shared" si="11"/>
        <v>0</v>
      </c>
      <c r="H46" s="341">
        <f t="shared" si="11"/>
        <v>0</v>
      </c>
      <c r="I46" s="341">
        <f t="shared" si="11"/>
        <v>0</v>
      </c>
      <c r="J46" s="341">
        <f t="shared" si="11"/>
        <v>0</v>
      </c>
      <c r="K46" s="341">
        <f t="shared" si="11"/>
        <v>0</v>
      </c>
      <c r="L46" s="341">
        <f t="shared" si="11"/>
        <v>0</v>
      </c>
      <c r="M46" s="341">
        <f t="shared" si="11"/>
        <v>0</v>
      </c>
      <c r="N46" s="341">
        <f t="shared" si="11"/>
        <v>0</v>
      </c>
      <c r="O46" s="341">
        <f t="shared" si="11"/>
        <v>0</v>
      </c>
      <c r="P46" s="341">
        <f t="shared" si="11"/>
        <v>0</v>
      </c>
      <c r="Q46" s="341">
        <f t="shared" si="11"/>
        <v>0</v>
      </c>
      <c r="R46" s="341">
        <f t="shared" si="11"/>
        <v>0</v>
      </c>
      <c r="S46" s="341">
        <f t="shared" si="11"/>
        <v>0</v>
      </c>
      <c r="T46" s="341">
        <f t="shared" si="11"/>
        <v>0</v>
      </c>
      <c r="U46" s="341">
        <f t="shared" si="11"/>
        <v>0</v>
      </c>
      <c r="V46" s="341">
        <f t="shared" si="11"/>
        <v>0</v>
      </c>
      <c r="W46" s="341">
        <f t="shared" si="11"/>
        <v>0</v>
      </c>
      <c r="X46" s="341">
        <f t="shared" si="11"/>
        <v>0</v>
      </c>
      <c r="Y46" s="341">
        <f t="shared" si="11"/>
        <v>0</v>
      </c>
      <c r="Z46" s="341">
        <f t="shared" si="11"/>
        <v>0</v>
      </c>
      <c r="AA46" s="341">
        <f t="shared" si="11"/>
        <v>0</v>
      </c>
      <c r="AB46" s="341">
        <f t="shared" si="11"/>
        <v>0</v>
      </c>
      <c r="AC46" s="341">
        <f t="shared" si="11"/>
        <v>0</v>
      </c>
    </row>
    <row r="47" spans="2:29" x14ac:dyDescent="0.2">
      <c r="D47" s="2" t="s">
        <v>309</v>
      </c>
      <c r="E47" s="392">
        <f>E$13-E46</f>
        <v>0</v>
      </c>
      <c r="F47" s="392">
        <f t="shared" ref="F47:T47" si="12">F$13-F46</f>
        <v>0</v>
      </c>
      <c r="G47" s="392">
        <f t="shared" si="12"/>
        <v>0</v>
      </c>
      <c r="H47" s="392">
        <f t="shared" si="12"/>
        <v>0</v>
      </c>
      <c r="I47" s="392">
        <f t="shared" si="12"/>
        <v>0</v>
      </c>
      <c r="J47" s="392">
        <f t="shared" si="12"/>
        <v>0</v>
      </c>
      <c r="K47" s="392">
        <f t="shared" si="12"/>
        <v>0</v>
      </c>
      <c r="L47" s="392">
        <f t="shared" si="12"/>
        <v>0</v>
      </c>
      <c r="M47" s="392">
        <f t="shared" si="12"/>
        <v>0</v>
      </c>
      <c r="N47" s="392">
        <f t="shared" si="12"/>
        <v>0</v>
      </c>
      <c r="O47" s="392">
        <f t="shared" si="12"/>
        <v>0</v>
      </c>
      <c r="P47" s="392">
        <f t="shared" si="12"/>
        <v>0</v>
      </c>
      <c r="Q47" s="392">
        <f t="shared" si="12"/>
        <v>0</v>
      </c>
      <c r="R47" s="392">
        <f t="shared" si="12"/>
        <v>0</v>
      </c>
      <c r="S47" s="392">
        <f t="shared" si="12"/>
        <v>0</v>
      </c>
      <c r="T47" s="392">
        <f t="shared" si="12"/>
        <v>0</v>
      </c>
      <c r="U47" s="392">
        <f t="shared" ref="U47" si="13">U$13-U46</f>
        <v>0</v>
      </c>
      <c r="V47" s="392">
        <f t="shared" ref="V47" si="14">V$13-V46</f>
        <v>0</v>
      </c>
      <c r="W47" s="392">
        <f t="shared" ref="W47" si="15">W$13-W46</f>
        <v>0</v>
      </c>
      <c r="X47" s="392">
        <f t="shared" ref="X47" si="16">X$13-X46</f>
        <v>0</v>
      </c>
      <c r="Y47" s="392">
        <f t="shared" ref="Y47" si="17">Y$13-Y46</f>
        <v>0</v>
      </c>
      <c r="Z47" s="392">
        <f t="shared" ref="Z47" si="18">Z$13-Z46</f>
        <v>0</v>
      </c>
      <c r="AA47" s="392">
        <f t="shared" ref="AA47" si="19">AA$13-AA46</f>
        <v>0</v>
      </c>
      <c r="AB47" s="392">
        <f t="shared" ref="AB47" si="20">AB$13-AB46</f>
        <v>0</v>
      </c>
      <c r="AC47" s="392">
        <f t="shared" ref="AC47" si="21">AC$13-AC46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D63-2C6C-4BBF-A140-019FE0CDC2A8}">
  <sheetPr codeName="Sheet10">
    <tabColor rgb="FFFFFF00"/>
  </sheetPr>
  <dimension ref="A1:AQ98"/>
  <sheetViews>
    <sheetView showGridLines="0" zoomScale="90" zoomScaleNormal="9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11.5" style="1" customWidth="1"/>
    <col min="3" max="3" width="3.75" style="1" customWidth="1"/>
    <col min="4" max="4" width="27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9" width="9.625" style="1" bestFit="1" customWidth="1"/>
    <col min="30" max="16384" width="8" style="1"/>
  </cols>
  <sheetData>
    <row r="1" spans="1:43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394"/>
      <c r="AE1" s="394"/>
      <c r="AF1" s="394"/>
      <c r="AG1" s="394"/>
      <c r="AH1" s="394"/>
      <c r="AI1" s="394"/>
      <c r="AJ1" s="394"/>
    </row>
    <row r="2" spans="1:43" ht="18.75" x14ac:dyDescent="0.3">
      <c r="A2" s="55" t="str">
        <f>proj</f>
        <v>R switchboard and relay retirement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394"/>
      <c r="AE2" s="394"/>
      <c r="AF2" s="394"/>
      <c r="AG2" s="394"/>
      <c r="AH2" s="394"/>
      <c r="AI2" s="394"/>
      <c r="AJ2" s="394"/>
    </row>
    <row r="3" spans="1:43" ht="18.75" x14ac:dyDescent="0.3">
      <c r="A3" s="5" t="s">
        <v>255</v>
      </c>
      <c r="B3" s="328"/>
      <c r="C3" s="5"/>
      <c r="D3" s="5"/>
    </row>
    <row r="5" spans="1:43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</row>
    <row r="6" spans="1:43" x14ac:dyDescent="0.2">
      <c r="C6" s="3"/>
      <c r="D6" s="3"/>
    </row>
    <row r="8" spans="1:43" s="333" customFormat="1" x14ac:dyDescent="0.2">
      <c r="B8" s="334" t="str">
        <f>Workings_costs!B8</f>
        <v>Option 1 - continue existing maintenance with no proactive replacement cost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</row>
    <row r="10" spans="1:43" x14ac:dyDescent="0.2">
      <c r="E10" s="337" t="s">
        <v>19</v>
      </c>
      <c r="F10" s="337" t="str">
        <f t="shared" ref="F10:AC10" si="0">LEFT(E10,4)+1&amp;"-"&amp;RIGHT(E10,2)+1</f>
        <v>2027-28</v>
      </c>
      <c r="G10" s="337" t="str">
        <f t="shared" si="0"/>
        <v>2028-29</v>
      </c>
      <c r="H10" s="337" t="str">
        <f t="shared" si="0"/>
        <v>2029-30</v>
      </c>
      <c r="I10" s="337" t="str">
        <f t="shared" si="0"/>
        <v>2030-31</v>
      </c>
      <c r="J10" s="337" t="str">
        <f t="shared" si="0"/>
        <v>2031-32</v>
      </c>
      <c r="K10" s="337" t="str">
        <f t="shared" si="0"/>
        <v>2032-33</v>
      </c>
      <c r="L10" s="337" t="str">
        <f t="shared" si="0"/>
        <v>2033-34</v>
      </c>
      <c r="M10" s="337" t="str">
        <f t="shared" si="0"/>
        <v>2034-35</v>
      </c>
      <c r="N10" s="337" t="str">
        <f t="shared" si="0"/>
        <v>2035-36</v>
      </c>
      <c r="O10" s="337" t="str">
        <f t="shared" si="0"/>
        <v>2036-37</v>
      </c>
      <c r="P10" s="337" t="str">
        <f t="shared" si="0"/>
        <v>2037-38</v>
      </c>
      <c r="Q10" s="337" t="str">
        <f t="shared" si="0"/>
        <v>2038-39</v>
      </c>
      <c r="R10" s="337" t="str">
        <f t="shared" si="0"/>
        <v>2039-40</v>
      </c>
      <c r="S10" s="337" t="str">
        <f t="shared" si="0"/>
        <v>2040-41</v>
      </c>
      <c r="T10" s="337" t="str">
        <f t="shared" si="0"/>
        <v>2041-42</v>
      </c>
      <c r="U10" s="337" t="str">
        <f t="shared" si="0"/>
        <v>2042-43</v>
      </c>
      <c r="V10" s="337" t="str">
        <f t="shared" si="0"/>
        <v>2043-44</v>
      </c>
      <c r="W10" s="337" t="str">
        <f t="shared" si="0"/>
        <v>2044-45</v>
      </c>
      <c r="X10" s="337" t="str">
        <f t="shared" si="0"/>
        <v>2045-46</v>
      </c>
      <c r="Y10" s="337" t="str">
        <f t="shared" si="0"/>
        <v>2046-47</v>
      </c>
      <c r="Z10" s="337" t="str">
        <f t="shared" si="0"/>
        <v>2047-48</v>
      </c>
      <c r="AA10" s="337" t="str">
        <f t="shared" si="0"/>
        <v>2048-49</v>
      </c>
      <c r="AB10" s="337" t="str">
        <f t="shared" si="0"/>
        <v>2049-50</v>
      </c>
      <c r="AC10" s="337" t="str">
        <f t="shared" si="0"/>
        <v>2050-51</v>
      </c>
    </row>
    <row r="11" spans="1:43" x14ac:dyDescent="0.2">
      <c r="D11" s="3" t="s">
        <v>256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43" s="362" customFormat="1" x14ac:dyDescent="0.2"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43" x14ac:dyDescent="0.2">
      <c r="D13" s="1" t="s">
        <v>257</v>
      </c>
      <c r="E13" s="365">
        <v>61694.748328645939</v>
      </c>
      <c r="F13" s="365">
        <v>69799.657553169338</v>
      </c>
      <c r="G13" s="365">
        <v>71278.854138339986</v>
      </c>
      <c r="H13" s="365">
        <v>71750.15411421904</v>
      </c>
      <c r="I13" s="365">
        <v>71792.878429115721</v>
      </c>
      <c r="J13" s="365">
        <v>71911.960131904067</v>
      </c>
      <c r="K13" s="365">
        <v>72572.601203581944</v>
      </c>
      <c r="L13" s="365">
        <v>73564.16752469739</v>
      </c>
      <c r="M13" s="365">
        <v>73490.130736610517</v>
      </c>
      <c r="N13" s="365">
        <v>73490.130736610517</v>
      </c>
      <c r="O13" s="365">
        <v>73490.130736610517</v>
      </c>
      <c r="P13" s="365">
        <v>73490.130736610517</v>
      </c>
      <c r="Q13" s="365">
        <v>73490.130736610517</v>
      </c>
      <c r="R13" s="365">
        <v>73490.130736610517</v>
      </c>
      <c r="S13" s="365">
        <v>73490.130736610517</v>
      </c>
      <c r="T13" s="365">
        <v>73490.130736610517</v>
      </c>
      <c r="U13" s="365">
        <v>73490.130736610517</v>
      </c>
      <c r="V13" s="365">
        <v>73490.130736610517</v>
      </c>
      <c r="W13" s="365">
        <v>73490.130736610517</v>
      </c>
      <c r="X13" s="365">
        <v>73490.130736610517</v>
      </c>
      <c r="Y13" s="365">
        <v>73490.130736610517</v>
      </c>
      <c r="Z13" s="365">
        <v>73490.130736610517</v>
      </c>
      <c r="AA13" s="365">
        <v>73490.130736610517</v>
      </c>
      <c r="AB13" s="365">
        <v>73490.130736610517</v>
      </c>
      <c r="AC13" s="365">
        <v>73490.130736610517</v>
      </c>
    </row>
    <row r="14" spans="1:43" x14ac:dyDescent="0.2">
      <c r="D14" s="1" t="s">
        <v>307</v>
      </c>
      <c r="E14" s="365">
        <v>532.4346625500001</v>
      </c>
      <c r="F14" s="365">
        <v>532.4346625500001</v>
      </c>
      <c r="G14" s="365">
        <v>532.4346625500001</v>
      </c>
      <c r="H14" s="365">
        <v>532.4346625500001</v>
      </c>
      <c r="I14" s="365">
        <v>532.4346625500001</v>
      </c>
      <c r="J14" s="365">
        <v>532.4346625500001</v>
      </c>
      <c r="K14" s="365">
        <v>532.4346625500001</v>
      </c>
      <c r="L14" s="365">
        <v>532.4346625500001</v>
      </c>
      <c r="M14" s="365">
        <v>532.4346625500001</v>
      </c>
      <c r="N14" s="365">
        <v>532.4346625500001</v>
      </c>
      <c r="O14" s="365">
        <v>532.4346625500001</v>
      </c>
      <c r="P14" s="365">
        <v>532.4346625500001</v>
      </c>
      <c r="Q14" s="365">
        <v>532.4346625500001</v>
      </c>
      <c r="R14" s="365">
        <v>532.4346625500001</v>
      </c>
      <c r="S14" s="365">
        <v>532.4346625500001</v>
      </c>
      <c r="T14" s="365">
        <v>532.4346625500001</v>
      </c>
      <c r="U14" s="365">
        <v>532.4346625500001</v>
      </c>
      <c r="V14" s="365">
        <v>532.4346625500001</v>
      </c>
      <c r="W14" s="365">
        <v>532.4346625500001</v>
      </c>
      <c r="X14" s="365">
        <v>532.4346625500001</v>
      </c>
      <c r="Y14" s="365">
        <v>532.4346625500001</v>
      </c>
      <c r="Z14" s="365">
        <v>532.4346625500001</v>
      </c>
      <c r="AA14" s="365">
        <v>532.4346625500001</v>
      </c>
      <c r="AB14" s="365">
        <v>532.4346625500001</v>
      </c>
      <c r="AC14" s="365">
        <v>532.4346625500001</v>
      </c>
    </row>
    <row r="15" spans="1:43" s="362" customFormat="1" x14ac:dyDescent="0.2">
      <c r="D15" s="362" t="s">
        <v>319</v>
      </c>
      <c r="E15" s="365">
        <v>8100</v>
      </c>
      <c r="F15" s="365">
        <v>8100</v>
      </c>
      <c r="G15" s="365">
        <v>8100</v>
      </c>
      <c r="H15" s="365">
        <v>8100</v>
      </c>
      <c r="I15" s="365">
        <v>8100</v>
      </c>
      <c r="J15" s="365">
        <v>8100</v>
      </c>
      <c r="K15" s="365">
        <v>8100</v>
      </c>
      <c r="L15" s="365">
        <v>8100</v>
      </c>
      <c r="M15" s="365">
        <v>8100</v>
      </c>
      <c r="N15" s="365">
        <v>8100</v>
      </c>
      <c r="O15" s="365">
        <v>8100</v>
      </c>
      <c r="P15" s="365">
        <v>8100</v>
      </c>
      <c r="Q15" s="365">
        <v>8100</v>
      </c>
      <c r="R15" s="365">
        <v>8100</v>
      </c>
      <c r="S15" s="365">
        <v>8100</v>
      </c>
      <c r="T15" s="365">
        <v>8100</v>
      </c>
      <c r="U15" s="365">
        <v>8100</v>
      </c>
      <c r="V15" s="365">
        <v>8100</v>
      </c>
      <c r="W15" s="365">
        <v>8100</v>
      </c>
      <c r="X15" s="365">
        <v>8100</v>
      </c>
      <c r="Y15" s="365">
        <v>8100</v>
      </c>
      <c r="Z15" s="365">
        <v>8100</v>
      </c>
      <c r="AA15" s="365">
        <v>8100</v>
      </c>
      <c r="AB15" s="365">
        <v>8100</v>
      </c>
      <c r="AC15" s="365">
        <v>8100</v>
      </c>
    </row>
    <row r="16" spans="1:43" x14ac:dyDescent="0.2">
      <c r="D16" s="1" t="s">
        <v>320</v>
      </c>
      <c r="E16" s="365">
        <v>762</v>
      </c>
      <c r="F16" s="365">
        <v>762</v>
      </c>
      <c r="G16" s="365">
        <v>762</v>
      </c>
      <c r="H16" s="365">
        <v>762</v>
      </c>
      <c r="I16" s="365">
        <v>762</v>
      </c>
      <c r="J16" s="365">
        <v>762</v>
      </c>
      <c r="K16" s="365">
        <v>762</v>
      </c>
      <c r="L16" s="365">
        <v>762</v>
      </c>
      <c r="M16" s="365">
        <v>762</v>
      </c>
      <c r="N16" s="365">
        <v>762</v>
      </c>
      <c r="O16" s="365">
        <v>762</v>
      </c>
      <c r="P16" s="365">
        <v>762</v>
      </c>
      <c r="Q16" s="365">
        <v>762</v>
      </c>
      <c r="R16" s="365">
        <v>762</v>
      </c>
      <c r="S16" s="365">
        <v>762</v>
      </c>
      <c r="T16" s="365">
        <v>762</v>
      </c>
      <c r="U16" s="365">
        <v>762</v>
      </c>
      <c r="V16" s="365">
        <v>762</v>
      </c>
      <c r="W16" s="365">
        <v>762</v>
      </c>
      <c r="X16" s="365">
        <v>762</v>
      </c>
      <c r="Y16" s="365">
        <v>762</v>
      </c>
      <c r="Z16" s="365">
        <v>762</v>
      </c>
      <c r="AA16" s="365">
        <v>762</v>
      </c>
      <c r="AB16" s="365">
        <v>762</v>
      </c>
      <c r="AC16" s="365">
        <v>762</v>
      </c>
    </row>
    <row r="17" spans="4:29" x14ac:dyDescent="0.2">
      <c r="D17" s="1" t="s">
        <v>321</v>
      </c>
      <c r="E17" s="365">
        <v>30000</v>
      </c>
      <c r="F17" s="365">
        <v>30000</v>
      </c>
      <c r="G17" s="365">
        <v>30000</v>
      </c>
      <c r="H17" s="365">
        <v>30000</v>
      </c>
      <c r="I17" s="365">
        <v>30000</v>
      </c>
      <c r="J17" s="365">
        <v>30000</v>
      </c>
      <c r="K17" s="365">
        <v>30000</v>
      </c>
      <c r="L17" s="365">
        <v>30000</v>
      </c>
      <c r="M17" s="365">
        <v>30000</v>
      </c>
      <c r="N17" s="365">
        <v>30000</v>
      </c>
      <c r="O17" s="365">
        <v>30000</v>
      </c>
      <c r="P17" s="365">
        <v>30000</v>
      </c>
      <c r="Q17" s="365">
        <v>30000</v>
      </c>
      <c r="R17" s="365">
        <v>30000</v>
      </c>
      <c r="S17" s="365">
        <v>30000</v>
      </c>
      <c r="T17" s="365">
        <v>30000</v>
      </c>
      <c r="U17" s="365">
        <v>30000</v>
      </c>
      <c r="V17" s="365">
        <v>30000</v>
      </c>
      <c r="W17" s="365">
        <v>30000</v>
      </c>
      <c r="X17" s="365">
        <v>30000</v>
      </c>
      <c r="Y17" s="365">
        <v>30000</v>
      </c>
      <c r="Z17" s="365">
        <v>30000</v>
      </c>
      <c r="AA17" s="365">
        <v>30000</v>
      </c>
      <c r="AB17" s="365">
        <v>30000</v>
      </c>
      <c r="AC17" s="365">
        <v>30000</v>
      </c>
    </row>
    <row r="18" spans="4:29" x14ac:dyDescent="0.2">
      <c r="D18" s="347" t="s">
        <v>261</v>
      </c>
      <c r="E18" s="346">
        <f t="shared" ref="E18:AC18" si="1">SUM(E13:E17)</f>
        <v>101089.18299119594</v>
      </c>
      <c r="F18" s="346">
        <f t="shared" si="1"/>
        <v>109194.09221571934</v>
      </c>
      <c r="G18" s="346">
        <f t="shared" si="1"/>
        <v>110673.28880088999</v>
      </c>
      <c r="H18" s="346">
        <f t="shared" si="1"/>
        <v>111144.58877676904</v>
      </c>
      <c r="I18" s="346">
        <f t="shared" si="1"/>
        <v>111187.31309166572</v>
      </c>
      <c r="J18" s="346">
        <f t="shared" si="1"/>
        <v>111306.39479445407</v>
      </c>
      <c r="K18" s="346">
        <f t="shared" si="1"/>
        <v>111967.03586613195</v>
      </c>
      <c r="L18" s="346">
        <f t="shared" si="1"/>
        <v>112958.60218724739</v>
      </c>
      <c r="M18" s="346">
        <f t="shared" si="1"/>
        <v>112884.56539916052</v>
      </c>
      <c r="N18" s="346">
        <f t="shared" si="1"/>
        <v>112884.56539916052</v>
      </c>
      <c r="O18" s="346">
        <f t="shared" si="1"/>
        <v>112884.56539916052</v>
      </c>
      <c r="P18" s="346">
        <f t="shared" si="1"/>
        <v>112884.56539916052</v>
      </c>
      <c r="Q18" s="346">
        <f t="shared" si="1"/>
        <v>112884.56539916052</v>
      </c>
      <c r="R18" s="346">
        <f t="shared" si="1"/>
        <v>112884.56539916052</v>
      </c>
      <c r="S18" s="346">
        <f t="shared" si="1"/>
        <v>112884.56539916052</v>
      </c>
      <c r="T18" s="346">
        <f t="shared" si="1"/>
        <v>112884.56539916052</v>
      </c>
      <c r="U18" s="346">
        <f t="shared" si="1"/>
        <v>112884.56539916052</v>
      </c>
      <c r="V18" s="346">
        <f t="shared" si="1"/>
        <v>112884.56539916052</v>
      </c>
      <c r="W18" s="346">
        <f t="shared" si="1"/>
        <v>112884.56539916052</v>
      </c>
      <c r="X18" s="346">
        <f t="shared" si="1"/>
        <v>112884.56539916052</v>
      </c>
      <c r="Y18" s="346">
        <f t="shared" si="1"/>
        <v>112884.56539916052</v>
      </c>
      <c r="Z18" s="346">
        <f t="shared" si="1"/>
        <v>112884.56539916052</v>
      </c>
      <c r="AA18" s="346">
        <f t="shared" si="1"/>
        <v>112884.56539916052</v>
      </c>
      <c r="AB18" s="346">
        <f t="shared" si="1"/>
        <v>112884.56539916052</v>
      </c>
      <c r="AC18" s="346">
        <f t="shared" si="1"/>
        <v>112884.56539916052</v>
      </c>
    </row>
    <row r="20" spans="4:29" x14ac:dyDescent="0.2">
      <c r="D20" s="3" t="s">
        <v>262</v>
      </c>
    </row>
    <row r="21" spans="4:29" x14ac:dyDescent="0.2">
      <c r="D21" s="166" t="s">
        <v>308</v>
      </c>
      <c r="E21" s="365">
        <v>207.68260030401137</v>
      </c>
      <c r="F21" s="365">
        <v>247.52742207989272</v>
      </c>
      <c r="G21" s="365">
        <v>297.70065695235382</v>
      </c>
      <c r="H21" s="365">
        <v>361.17014512970161</v>
      </c>
      <c r="I21" s="365">
        <v>447.3266492223222</v>
      </c>
      <c r="J21" s="365">
        <v>561.98327292398869</v>
      </c>
      <c r="K21" s="365">
        <v>708.19901543217316</v>
      </c>
      <c r="L21" s="365">
        <v>895.10778190520273</v>
      </c>
      <c r="M21" s="365">
        <v>1134.6152353346779</v>
      </c>
      <c r="N21" s="365">
        <v>1442.2967486406606</v>
      </c>
      <c r="O21" s="365">
        <v>1838.6265482993808</v>
      </c>
      <c r="P21" s="365">
        <v>2350.3397145808153</v>
      </c>
      <c r="Q21" s="365">
        <v>3012.7894870520199</v>
      </c>
      <c r="R21" s="365">
        <v>3872.734451843065</v>
      </c>
      <c r="S21" s="365">
        <v>4992.2159222867249</v>
      </c>
      <c r="T21" s="365">
        <v>6453.8221806434667</v>
      </c>
      <c r="U21" s="365">
        <v>7867.0607514362591</v>
      </c>
      <c r="V21" s="365">
        <v>8728.0576879588498</v>
      </c>
      <c r="W21" s="365">
        <v>9817.7702597914413</v>
      </c>
      <c r="X21" s="365">
        <v>11322.90302587583</v>
      </c>
      <c r="Y21" s="365">
        <v>13160.423883855345</v>
      </c>
      <c r="Z21" s="365">
        <v>13162.913257688404</v>
      </c>
      <c r="AA21" s="365">
        <v>13165.707447214078</v>
      </c>
      <c r="AB21" s="365">
        <v>13168.847298146778</v>
      </c>
      <c r="AC21" s="365">
        <v>13172.379653805279</v>
      </c>
    </row>
    <row r="22" spans="4:29" s="348" customFormat="1" x14ac:dyDescent="0.2">
      <c r="D22" s="166" t="s">
        <v>257</v>
      </c>
      <c r="E22" s="365">
        <v>957.08685653825819</v>
      </c>
      <c r="F22" s="365">
        <v>957.90789570340633</v>
      </c>
      <c r="G22" s="365">
        <v>1036.9507295910553</v>
      </c>
      <c r="H22" s="365">
        <v>1316.9523288171736</v>
      </c>
      <c r="I22" s="365">
        <v>1708.2901776649041</v>
      </c>
      <c r="J22" s="365">
        <v>2256.9737670843238</v>
      </c>
      <c r="K22" s="365">
        <v>3027.5515196263095</v>
      </c>
      <c r="L22" s="365">
        <v>4114.2467838176899</v>
      </c>
      <c r="M22" s="365">
        <v>5652.4441557795726</v>
      </c>
      <c r="N22" s="365">
        <v>7840.9877404013787</v>
      </c>
      <c r="O22" s="365">
        <v>10982.272238037256</v>
      </c>
      <c r="P22" s="365">
        <v>15460.825792250973</v>
      </c>
      <c r="Q22" s="365">
        <v>21862.927315864748</v>
      </c>
      <c r="R22" s="365">
        <v>31036.198522957584</v>
      </c>
      <c r="S22" s="365">
        <v>44207.260166695654</v>
      </c>
      <c r="T22" s="365">
        <v>63152.678649882189</v>
      </c>
      <c r="U22" s="365">
        <v>90440.444084296731</v>
      </c>
      <c r="V22" s="365">
        <v>129796.10285398022</v>
      </c>
      <c r="W22" s="365">
        <v>137084.73125727536</v>
      </c>
      <c r="X22" s="365">
        <v>137635.92310705385</v>
      </c>
      <c r="Y22" s="365">
        <v>138307.71284591244</v>
      </c>
      <c r="Z22" s="365">
        <v>138477.30556013688</v>
      </c>
      <c r="AA22" s="365">
        <v>138677.14926822018</v>
      </c>
      <c r="AB22" s="365">
        <v>138912.80936518044</v>
      </c>
      <c r="AC22" s="365">
        <v>139190.89439254528</v>
      </c>
    </row>
    <row r="23" spans="4:29" x14ac:dyDescent="0.2">
      <c r="D23" s="362" t="s">
        <v>307</v>
      </c>
      <c r="E23" s="365">
        <v>1498.9959109185131</v>
      </c>
      <c r="F23" s="365">
        <v>1781.7595870387993</v>
      </c>
      <c r="G23" s="365">
        <v>2139.8890811492665</v>
      </c>
      <c r="H23" s="365">
        <v>2597.6995469673193</v>
      </c>
      <c r="I23" s="365">
        <v>3219.4325308833932</v>
      </c>
      <c r="J23" s="365">
        <v>4047.5542233852839</v>
      </c>
      <c r="K23" s="365">
        <v>5105.4914099455027</v>
      </c>
      <c r="L23" s="365">
        <v>6460.5519351901057</v>
      </c>
      <c r="M23" s="365">
        <v>8200.8014889891183</v>
      </c>
      <c r="N23" s="365">
        <v>10442.025920405827</v>
      </c>
      <c r="O23" s="365">
        <v>13337.515166750891</v>
      </c>
      <c r="P23" s="365">
        <v>17087.15822589444</v>
      </c>
      <c r="Q23" s="365">
        <v>21957.340218843208</v>
      </c>
      <c r="R23" s="365">
        <v>28302.296961593969</v>
      </c>
      <c r="S23" s="365">
        <v>36594.743834941029</v>
      </c>
      <c r="T23" s="365">
        <v>47467.756849728677</v>
      </c>
      <c r="U23" s="365">
        <v>58218.31709087496</v>
      </c>
      <c r="V23" s="365">
        <v>65369.477971691551</v>
      </c>
      <c r="W23" s="365">
        <v>73292.250476247209</v>
      </c>
      <c r="X23" s="365">
        <v>83982.884637642012</v>
      </c>
      <c r="Y23" s="339">
        <v>97034.274795635647</v>
      </c>
      <c r="Z23" s="339">
        <v>97056.434604746144</v>
      </c>
      <c r="AA23" s="339">
        <v>97081.55938845058</v>
      </c>
      <c r="AB23" s="339">
        <v>97110.086554291294</v>
      </c>
      <c r="AC23" s="339">
        <v>97142.523729868684</v>
      </c>
    </row>
    <row r="24" spans="4:29" s="362" customFormat="1" x14ac:dyDescent="0.2">
      <c r="D24" s="362" t="s">
        <v>319</v>
      </c>
      <c r="E24" s="365">
        <v>3376.5692590171557</v>
      </c>
      <c r="F24" s="365">
        <v>4024.3128125414351</v>
      </c>
      <c r="G24" s="365">
        <v>4867.6270894661047</v>
      </c>
      <c r="H24" s="365">
        <v>5998.4979186585733</v>
      </c>
      <c r="I24" s="365">
        <v>7479.0483887572082</v>
      </c>
      <c r="J24" s="365">
        <v>9406.968857070091</v>
      </c>
      <c r="K24" s="365">
        <v>11879.061776846998</v>
      </c>
      <c r="L24" s="365">
        <v>15058.917890962939</v>
      </c>
      <c r="M24" s="365">
        <v>19162.469579607128</v>
      </c>
      <c r="N24" s="365">
        <v>24477.466789769333</v>
      </c>
      <c r="O24" s="365">
        <v>31393.315285144425</v>
      </c>
      <c r="P24" s="365">
        <v>40410.190676242411</v>
      </c>
      <c r="Q24" s="365">
        <v>52210.684936401616</v>
      </c>
      <c r="R24" s="365">
        <v>67714.404873440784</v>
      </c>
      <c r="S24" s="365">
        <v>88165.639543023921</v>
      </c>
      <c r="T24" s="365">
        <v>115255.30419423086</v>
      </c>
      <c r="U24" s="365">
        <v>143049.01127517075</v>
      </c>
      <c r="V24" s="365">
        <v>163984.22655507814</v>
      </c>
      <c r="W24" s="365">
        <v>174337.33867681955</v>
      </c>
      <c r="X24" s="365">
        <v>185005.31801621316</v>
      </c>
      <c r="Y24" s="339">
        <v>197930.07787731738</v>
      </c>
      <c r="Z24" s="339">
        <v>198047.77727562233</v>
      </c>
      <c r="AA24" s="339">
        <v>198182.81749256758</v>
      </c>
      <c r="AB24" s="339">
        <v>198337.9890356948</v>
      </c>
      <c r="AC24" s="339">
        <v>198516.5619304929</v>
      </c>
    </row>
    <row r="25" spans="4:29" s="362" customFormat="1" x14ac:dyDescent="0.2">
      <c r="D25" s="362" t="s">
        <v>320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365">
        <v>0</v>
      </c>
      <c r="O25" s="365">
        <v>0</v>
      </c>
      <c r="P25" s="365">
        <v>0</v>
      </c>
      <c r="Q25" s="365">
        <v>0</v>
      </c>
      <c r="R25" s="365">
        <v>0</v>
      </c>
      <c r="S25" s="365">
        <v>0</v>
      </c>
      <c r="T25" s="365">
        <v>0</v>
      </c>
      <c r="U25" s="365">
        <v>0</v>
      </c>
      <c r="V25" s="365">
        <v>0</v>
      </c>
      <c r="W25" s="365">
        <v>0</v>
      </c>
      <c r="X25" s="365">
        <v>0</v>
      </c>
      <c r="Y25" s="339">
        <v>0</v>
      </c>
      <c r="Z25" s="339">
        <v>0</v>
      </c>
      <c r="AA25" s="339">
        <v>0</v>
      </c>
      <c r="AB25" s="339">
        <v>0</v>
      </c>
      <c r="AC25" s="339">
        <v>0</v>
      </c>
    </row>
    <row r="26" spans="4:29" x14ac:dyDescent="0.2">
      <c r="D26" s="362" t="s">
        <v>321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v>0</v>
      </c>
      <c r="O26" s="365">
        <v>0</v>
      </c>
      <c r="P26" s="365">
        <v>0</v>
      </c>
      <c r="Q26" s="365">
        <v>0</v>
      </c>
      <c r="R26" s="365">
        <v>0</v>
      </c>
      <c r="S26" s="365">
        <v>0</v>
      </c>
      <c r="T26" s="365">
        <v>0</v>
      </c>
      <c r="U26" s="365">
        <v>0</v>
      </c>
      <c r="V26" s="365">
        <v>0</v>
      </c>
      <c r="W26" s="365">
        <v>0</v>
      </c>
      <c r="X26" s="365">
        <v>0</v>
      </c>
      <c r="Y26" s="339">
        <v>0</v>
      </c>
      <c r="Z26" s="339">
        <v>0</v>
      </c>
      <c r="AA26" s="339">
        <v>0</v>
      </c>
      <c r="AB26" s="339">
        <v>0</v>
      </c>
      <c r="AC26" s="339">
        <v>0</v>
      </c>
    </row>
    <row r="27" spans="4:29" x14ac:dyDescent="0.2">
      <c r="D27" s="347" t="s">
        <v>263</v>
      </c>
      <c r="E27" s="346">
        <f t="shared" ref="E27:AC27" si="2">SUM(E21:E26)</f>
        <v>6040.334626777938</v>
      </c>
      <c r="F27" s="346">
        <f t="shared" si="2"/>
        <v>7011.5077173635336</v>
      </c>
      <c r="G27" s="346">
        <f t="shared" si="2"/>
        <v>8342.1675571587803</v>
      </c>
      <c r="H27" s="346">
        <f t="shared" si="2"/>
        <v>10274.319939572768</v>
      </c>
      <c r="I27" s="346">
        <f t="shared" si="2"/>
        <v>12854.097746527827</v>
      </c>
      <c r="J27" s="346">
        <f t="shared" si="2"/>
        <v>16273.480120463688</v>
      </c>
      <c r="K27" s="346">
        <f t="shared" si="2"/>
        <v>20720.303721850985</v>
      </c>
      <c r="L27" s="346">
        <f t="shared" si="2"/>
        <v>26528.82439187594</v>
      </c>
      <c r="M27" s="346">
        <f t="shared" si="2"/>
        <v>34150.330459710502</v>
      </c>
      <c r="N27" s="346">
        <f t="shared" si="2"/>
        <v>44202.777199217198</v>
      </c>
      <c r="O27" s="346">
        <f t="shared" si="2"/>
        <v>57551.72923823195</v>
      </c>
      <c r="P27" s="346">
        <f t="shared" si="2"/>
        <v>75308.514408968651</v>
      </c>
      <c r="Q27" s="346">
        <f t="shared" si="2"/>
        <v>99043.741958161583</v>
      </c>
      <c r="R27" s="346">
        <f t="shared" si="2"/>
        <v>130925.63480983541</v>
      </c>
      <c r="S27" s="346">
        <f t="shared" si="2"/>
        <v>173959.85946694732</v>
      </c>
      <c r="T27" s="346">
        <f t="shared" si="2"/>
        <v>232329.56187448517</v>
      </c>
      <c r="U27" s="346">
        <f t="shared" si="2"/>
        <v>299574.8332017787</v>
      </c>
      <c r="V27" s="346">
        <f t="shared" si="2"/>
        <v>367877.86506870878</v>
      </c>
      <c r="W27" s="346">
        <f t="shared" si="2"/>
        <v>394532.09067013359</v>
      </c>
      <c r="X27" s="346">
        <f t="shared" si="2"/>
        <v>417947.02878678485</v>
      </c>
      <c r="Y27" s="346">
        <f t="shared" si="2"/>
        <v>446432.48940272082</v>
      </c>
      <c r="Z27" s="346">
        <f t="shared" si="2"/>
        <v>446744.43069819373</v>
      </c>
      <c r="AA27" s="346">
        <f t="shared" si="2"/>
        <v>447107.2335964524</v>
      </c>
      <c r="AB27" s="346">
        <f t="shared" si="2"/>
        <v>447529.7322533133</v>
      </c>
      <c r="AC27" s="346">
        <f t="shared" si="2"/>
        <v>448022.35970671219</v>
      </c>
    </row>
    <row r="29" spans="4:29" x14ac:dyDescent="0.2">
      <c r="D29" s="3" t="s">
        <v>264</v>
      </c>
    </row>
    <row r="30" spans="4:29" x14ac:dyDescent="0.2">
      <c r="D30" s="3" t="s">
        <v>257</v>
      </c>
      <c r="E30" s="349" cm="1">
        <f t="array" ref="E30">SUMPRODUCT((E$13:E$26)*($D$13:$D$26=$D30))</f>
        <v>62651.835185184194</v>
      </c>
      <c r="F30" s="349" cm="1">
        <f t="array" ref="F30">SUMPRODUCT((F$13:F$26)*($D$13:$D$26=$D30))</f>
        <v>70757.565448872745</v>
      </c>
      <c r="G30" s="349" cm="1">
        <f t="array" ref="G30">SUMPRODUCT((G$13:G$26)*($D$13:$D$26=$D30))</f>
        <v>72315.804867931045</v>
      </c>
      <c r="H30" s="349" cm="1">
        <f t="array" ref="H30">SUMPRODUCT((H$13:H$26)*($D$13:$D$26=$D30))</f>
        <v>73067.106443036217</v>
      </c>
      <c r="I30" s="349" cm="1">
        <f t="array" ref="I30">SUMPRODUCT((I$13:I$26)*($D$13:$D$26=$D30))</f>
        <v>73501.168606780629</v>
      </c>
      <c r="J30" s="349" cm="1">
        <f t="array" ref="J30">SUMPRODUCT((J$13:J$26)*($D$13:$D$26=$D30))</f>
        <v>74168.933898988384</v>
      </c>
      <c r="K30" s="349" cm="1">
        <f t="array" ref="K30">SUMPRODUCT((K$13:K$26)*($D$13:$D$26=$D30))</f>
        <v>75600.152723208259</v>
      </c>
      <c r="L30" s="349" cm="1">
        <f t="array" ref="L30">SUMPRODUCT((L$13:L$26)*($D$13:$D$26=$D30))</f>
        <v>77678.414308515086</v>
      </c>
      <c r="M30" s="349" cm="1">
        <f t="array" ref="M30">SUMPRODUCT((M$13:M$26)*($D$13:$D$26=$D30))</f>
        <v>79142.574892390083</v>
      </c>
      <c r="N30" s="349" cm="1">
        <f t="array" ref="N30">SUMPRODUCT((N$13:N$26)*($D$13:$D$26=$D30))</f>
        <v>81331.1184770119</v>
      </c>
      <c r="O30" s="349" cm="1">
        <f t="array" ref="O30">SUMPRODUCT((O$13:O$26)*($D$13:$D$26=$D30))</f>
        <v>84472.402974647775</v>
      </c>
      <c r="P30" s="349" cm="1">
        <f t="array" ref="P30">SUMPRODUCT((P$13:P$26)*($D$13:$D$26=$D30))</f>
        <v>88950.956528861483</v>
      </c>
      <c r="Q30" s="349" cm="1">
        <f t="array" ref="Q30">SUMPRODUCT((Q$13:Q$26)*($D$13:$D$26=$D30))</f>
        <v>95353.058052475273</v>
      </c>
      <c r="R30" s="349" cm="1">
        <f t="array" ref="R30">SUMPRODUCT((R$13:R$26)*($D$13:$D$26=$D30))</f>
        <v>104526.3292595681</v>
      </c>
      <c r="S30" s="349" cm="1">
        <f t="array" ref="S30">SUMPRODUCT((S$13:S$26)*($D$13:$D$26=$D30))</f>
        <v>117697.39090330616</v>
      </c>
      <c r="T30" s="349" cm="1">
        <f t="array" ref="T30">SUMPRODUCT((T$13:T$26)*($D$13:$D$26=$D30))</f>
        <v>136642.80938649271</v>
      </c>
      <c r="U30" s="349" cm="1">
        <f t="array" ref="U30">SUMPRODUCT((U$13:U$26)*($D$13:$D$26=$D30))</f>
        <v>163930.57482090726</v>
      </c>
      <c r="V30" s="349" cm="1">
        <f t="array" ref="V30">SUMPRODUCT((V$13:V$26)*($D$13:$D$26=$D30))</f>
        <v>203286.23359059074</v>
      </c>
      <c r="W30" s="349" cm="1">
        <f t="array" ref="W30">SUMPRODUCT((W$13:W$26)*($D$13:$D$26=$D30))</f>
        <v>210574.86199388589</v>
      </c>
      <c r="X30" s="349" cm="1">
        <f t="array" ref="X30">SUMPRODUCT((X$13:X$26)*($D$13:$D$26=$D30))</f>
        <v>211126.05384366435</v>
      </c>
      <c r="Y30" s="349" cm="1">
        <f t="array" ref="Y30">SUMPRODUCT((Y$13:Y$26)*($D$13:$D$26=$D30))</f>
        <v>211797.84358252294</v>
      </c>
      <c r="Z30" s="349" cm="1">
        <f t="array" ref="Z30">SUMPRODUCT((Z$13:Z$26)*($D$13:$D$26=$D30))</f>
        <v>211967.43629674742</v>
      </c>
      <c r="AA30" s="349" cm="1">
        <f t="array" ref="AA30">SUMPRODUCT((AA$13:AA$26)*($D$13:$D$26=$D30))</f>
        <v>212167.28000483068</v>
      </c>
      <c r="AB30" s="349" cm="1">
        <f t="array" ref="AB30">SUMPRODUCT((AB$13:AB$26)*($D$13:$D$26=$D30))</f>
        <v>212402.94010179094</v>
      </c>
      <c r="AC30" s="349" cm="1">
        <f t="array" ref="AC30">SUMPRODUCT((AC$13:AC$26)*($D$13:$D$26=$D30))</f>
        <v>212681.02512915578</v>
      </c>
    </row>
    <row r="31" spans="4:29" x14ac:dyDescent="0.2">
      <c r="D31" s="3" t="s">
        <v>307</v>
      </c>
      <c r="E31" s="349" cm="1">
        <f t="array" ref="E31">SUMPRODUCT((E$13:E$26)*($D$13:$D$26=$D31))</f>
        <v>2031.4305734685131</v>
      </c>
      <c r="F31" s="349" cm="1">
        <f t="array" ref="F31">SUMPRODUCT((F$13:F$26)*($D$13:$D$26=$D31))</f>
        <v>2314.1942495887993</v>
      </c>
      <c r="G31" s="349" cm="1">
        <f t="array" ref="G31">SUMPRODUCT((G$13:G$26)*($D$13:$D$26=$D31))</f>
        <v>2672.3237436992667</v>
      </c>
      <c r="H31" s="349" cm="1">
        <f t="array" ref="H31">SUMPRODUCT((H$13:H$26)*($D$13:$D$26=$D31))</f>
        <v>3130.1342095173195</v>
      </c>
      <c r="I31" s="349" cm="1">
        <f t="array" ref="I31">SUMPRODUCT((I$13:I$26)*($D$13:$D$26=$D31))</f>
        <v>3751.8671934333934</v>
      </c>
      <c r="J31" s="349" cm="1">
        <f t="array" ref="J31">SUMPRODUCT((J$13:J$26)*($D$13:$D$26=$D31))</f>
        <v>4579.9888859352841</v>
      </c>
      <c r="K31" s="349" cm="1">
        <f t="array" ref="K31">SUMPRODUCT((K$13:K$26)*($D$13:$D$26=$D31))</f>
        <v>5637.9260724955029</v>
      </c>
      <c r="L31" s="349" cm="1">
        <f t="array" ref="L31">SUMPRODUCT((L$13:L$26)*($D$13:$D$26=$D31))</f>
        <v>6992.9865977401059</v>
      </c>
      <c r="M31" s="349" cm="1">
        <f t="array" ref="M31">SUMPRODUCT((M$13:M$26)*($D$13:$D$26=$D31))</f>
        <v>8733.2361515391185</v>
      </c>
      <c r="N31" s="349" cm="1">
        <f t="array" ref="N31">SUMPRODUCT((N$13:N$26)*($D$13:$D$26=$D31))</f>
        <v>10974.460582955828</v>
      </c>
      <c r="O31" s="349" cm="1">
        <f t="array" ref="O31">SUMPRODUCT((O$13:O$26)*($D$13:$D$26=$D31))</f>
        <v>13869.949829300891</v>
      </c>
      <c r="P31" s="349" cm="1">
        <f t="array" ref="P31">SUMPRODUCT((P$13:P$26)*($D$13:$D$26=$D31))</f>
        <v>17619.59288844444</v>
      </c>
      <c r="Q31" s="349" cm="1">
        <f t="array" ref="Q31">SUMPRODUCT((Q$13:Q$26)*($D$13:$D$26=$D31))</f>
        <v>22489.774881393208</v>
      </c>
      <c r="R31" s="349" cm="1">
        <f t="array" ref="R31">SUMPRODUCT((R$13:R$26)*($D$13:$D$26=$D31))</f>
        <v>28834.731624143969</v>
      </c>
      <c r="S31" s="349" cm="1">
        <f t="array" ref="S31">SUMPRODUCT((S$13:S$26)*($D$13:$D$26=$D31))</f>
        <v>37127.178497491026</v>
      </c>
      <c r="T31" s="349" cm="1">
        <f t="array" ref="T31">SUMPRODUCT((T$13:T$26)*($D$13:$D$26=$D31))</f>
        <v>48000.191512278674</v>
      </c>
      <c r="U31" s="349" cm="1">
        <f t="array" ref="U31">SUMPRODUCT((U$13:U$26)*($D$13:$D$26=$D31))</f>
        <v>58750.751753424956</v>
      </c>
      <c r="V31" s="349" cm="1">
        <f t="array" ref="V31">SUMPRODUCT((V$13:V$26)*($D$13:$D$26=$D31))</f>
        <v>65901.912634241555</v>
      </c>
      <c r="W31" s="349" cm="1">
        <f t="array" ref="W31">SUMPRODUCT((W$13:W$26)*($D$13:$D$26=$D31))</f>
        <v>73824.685138797213</v>
      </c>
      <c r="X31" s="349" cm="1">
        <f t="array" ref="X31">SUMPRODUCT((X$13:X$26)*($D$13:$D$26=$D31))</f>
        <v>84515.319300192015</v>
      </c>
      <c r="Y31" s="349" cm="1">
        <f t="array" ref="Y31">SUMPRODUCT((Y$13:Y$26)*($D$13:$D$26=$D31))</f>
        <v>97566.709458185651</v>
      </c>
      <c r="Z31" s="349" cm="1">
        <f t="array" ref="Z31">SUMPRODUCT((Z$13:Z$26)*($D$13:$D$26=$D31))</f>
        <v>97588.869267296148</v>
      </c>
      <c r="AA31" s="349" cm="1">
        <f t="array" ref="AA31">SUMPRODUCT((AA$13:AA$26)*($D$13:$D$26=$D31))</f>
        <v>97613.994051000584</v>
      </c>
      <c r="AB31" s="349" cm="1">
        <f t="array" ref="AB31">SUMPRODUCT((AB$13:AB$26)*($D$13:$D$26=$D31))</f>
        <v>97642.521216841298</v>
      </c>
      <c r="AC31" s="349" cm="1">
        <f t="array" ref="AC31">SUMPRODUCT((AC$13:AC$26)*($D$13:$D$26=$D31))</f>
        <v>97674.958392418688</v>
      </c>
    </row>
    <row r="32" spans="4:29" x14ac:dyDescent="0.2">
      <c r="D32" s="3" t="s">
        <v>319</v>
      </c>
      <c r="E32" s="349" cm="1">
        <f t="array" ref="E32">SUMPRODUCT((E$13:E$26)*($D$13:$D$26=$D32))</f>
        <v>11476.569259017157</v>
      </c>
      <c r="F32" s="349" cm="1">
        <f t="array" ref="F32">SUMPRODUCT((F$13:F$26)*($D$13:$D$26=$D32))</f>
        <v>12124.312812541435</v>
      </c>
      <c r="G32" s="349" cm="1">
        <f t="array" ref="G32">SUMPRODUCT((G$13:G$26)*($D$13:$D$26=$D32))</f>
        <v>12967.627089466105</v>
      </c>
      <c r="H32" s="349" cm="1">
        <f t="array" ref="H32">SUMPRODUCT((H$13:H$26)*($D$13:$D$26=$D32))</f>
        <v>14098.497918658573</v>
      </c>
      <c r="I32" s="349" cm="1">
        <f t="array" ref="I32">SUMPRODUCT((I$13:I$26)*($D$13:$D$26=$D32))</f>
        <v>15579.048388757208</v>
      </c>
      <c r="J32" s="349" cm="1">
        <f t="array" ref="J32">SUMPRODUCT((J$13:J$26)*($D$13:$D$26=$D32))</f>
        <v>17506.968857070089</v>
      </c>
      <c r="K32" s="349" cm="1">
        <f t="array" ref="K32">SUMPRODUCT((K$13:K$26)*($D$13:$D$26=$D32))</f>
        <v>19979.061776846997</v>
      </c>
      <c r="L32" s="349" cm="1">
        <f t="array" ref="L32">SUMPRODUCT((L$13:L$26)*($D$13:$D$26=$D32))</f>
        <v>23158.917890962941</v>
      </c>
      <c r="M32" s="349" cm="1">
        <f t="array" ref="M32">SUMPRODUCT((M$13:M$26)*($D$13:$D$26=$D32))</f>
        <v>27262.469579607128</v>
      </c>
      <c r="N32" s="349" cm="1">
        <f t="array" ref="N32">SUMPRODUCT((N$13:N$26)*($D$13:$D$26=$D32))</f>
        <v>32577.466789769333</v>
      </c>
      <c r="O32" s="349" cm="1">
        <f t="array" ref="O32">SUMPRODUCT((O$13:O$26)*($D$13:$D$26=$D32))</f>
        <v>39493.315285144425</v>
      </c>
      <c r="P32" s="349" cm="1">
        <f t="array" ref="P32">SUMPRODUCT((P$13:P$26)*($D$13:$D$26=$D32))</f>
        <v>48510.190676242411</v>
      </c>
      <c r="Q32" s="349" cm="1">
        <f t="array" ref="Q32">SUMPRODUCT((Q$13:Q$26)*($D$13:$D$26=$D32))</f>
        <v>60310.684936401616</v>
      </c>
      <c r="R32" s="349" cm="1">
        <f t="array" ref="R32">SUMPRODUCT((R$13:R$26)*($D$13:$D$26=$D32))</f>
        <v>75814.404873440784</v>
      </c>
      <c r="S32" s="349" cm="1">
        <f t="array" ref="S32">SUMPRODUCT((S$13:S$26)*($D$13:$D$26=$D32))</f>
        <v>96265.639543023921</v>
      </c>
      <c r="T32" s="349" cm="1">
        <f t="array" ref="T32">SUMPRODUCT((T$13:T$26)*($D$13:$D$26=$D32))</f>
        <v>123355.30419423086</v>
      </c>
      <c r="U32" s="349" cm="1">
        <f t="array" ref="U32">SUMPRODUCT((U$13:U$26)*($D$13:$D$26=$D32))</f>
        <v>151149.01127517075</v>
      </c>
      <c r="V32" s="349" cm="1">
        <f t="array" ref="V32">SUMPRODUCT((V$13:V$26)*($D$13:$D$26=$D32))</f>
        <v>172084.22655507814</v>
      </c>
      <c r="W32" s="349" cm="1">
        <f t="array" ref="W32">SUMPRODUCT((W$13:W$26)*($D$13:$D$26=$D32))</f>
        <v>182437.33867681955</v>
      </c>
      <c r="X32" s="349" cm="1">
        <f t="array" ref="X32">SUMPRODUCT((X$13:X$26)*($D$13:$D$26=$D32))</f>
        <v>193105.31801621316</v>
      </c>
      <c r="Y32" s="349" cm="1">
        <f t="array" ref="Y32">SUMPRODUCT((Y$13:Y$26)*($D$13:$D$26=$D32))</f>
        <v>206030.07787731738</v>
      </c>
      <c r="Z32" s="349" cm="1">
        <f t="array" ref="Z32">SUMPRODUCT((Z$13:Z$26)*($D$13:$D$26=$D32))</f>
        <v>206147.77727562233</v>
      </c>
      <c r="AA32" s="349" cm="1">
        <f t="array" ref="AA32">SUMPRODUCT((AA$13:AA$26)*($D$13:$D$26=$D32))</f>
        <v>206282.81749256758</v>
      </c>
      <c r="AB32" s="349" cm="1">
        <f t="array" ref="AB32">SUMPRODUCT((AB$13:AB$26)*($D$13:$D$26=$D32))</f>
        <v>206437.9890356948</v>
      </c>
      <c r="AC32" s="349" cm="1">
        <f t="array" ref="AC32">SUMPRODUCT((AC$13:AC$26)*($D$13:$D$26=$D32))</f>
        <v>206616.5619304929</v>
      </c>
    </row>
    <row r="33" spans="2:29" x14ac:dyDescent="0.2">
      <c r="D33" s="3" t="s">
        <v>320</v>
      </c>
      <c r="E33" s="349" cm="1">
        <f t="array" ref="E33">SUMPRODUCT((E$13:E$26)*($D$13:$D$26=$D33))</f>
        <v>762</v>
      </c>
      <c r="F33" s="349" cm="1">
        <f t="array" ref="F33">SUMPRODUCT((F$13:F$26)*($D$13:$D$26=$D33))</f>
        <v>762</v>
      </c>
      <c r="G33" s="349" cm="1">
        <f t="array" ref="G33">SUMPRODUCT((G$13:G$26)*($D$13:$D$26=$D33))</f>
        <v>762</v>
      </c>
      <c r="H33" s="349" cm="1">
        <f t="array" ref="H33">SUMPRODUCT((H$13:H$26)*($D$13:$D$26=$D33))</f>
        <v>762</v>
      </c>
      <c r="I33" s="349" cm="1">
        <f t="array" ref="I33">SUMPRODUCT((I$13:I$26)*($D$13:$D$26=$D33))</f>
        <v>762</v>
      </c>
      <c r="J33" s="349" cm="1">
        <f t="array" ref="J33">SUMPRODUCT((J$13:J$26)*($D$13:$D$26=$D33))</f>
        <v>762</v>
      </c>
      <c r="K33" s="349" cm="1">
        <f t="array" ref="K33">SUMPRODUCT((K$13:K$26)*($D$13:$D$26=$D33))</f>
        <v>762</v>
      </c>
      <c r="L33" s="349" cm="1">
        <f t="array" ref="L33">SUMPRODUCT((L$13:L$26)*($D$13:$D$26=$D33))</f>
        <v>762</v>
      </c>
      <c r="M33" s="349" cm="1">
        <f t="array" ref="M33">SUMPRODUCT((M$13:M$26)*($D$13:$D$26=$D33))</f>
        <v>762</v>
      </c>
      <c r="N33" s="349" cm="1">
        <f t="array" ref="N33">SUMPRODUCT((N$13:N$26)*($D$13:$D$26=$D33))</f>
        <v>762</v>
      </c>
      <c r="O33" s="349" cm="1">
        <f t="array" ref="O33">SUMPRODUCT((O$13:O$26)*($D$13:$D$26=$D33))</f>
        <v>762</v>
      </c>
      <c r="P33" s="349" cm="1">
        <f t="array" ref="P33">SUMPRODUCT((P$13:P$26)*($D$13:$D$26=$D33))</f>
        <v>762</v>
      </c>
      <c r="Q33" s="349" cm="1">
        <f t="array" ref="Q33">SUMPRODUCT((Q$13:Q$26)*($D$13:$D$26=$D33))</f>
        <v>762</v>
      </c>
      <c r="R33" s="349" cm="1">
        <f t="array" ref="R33">SUMPRODUCT((R$13:R$26)*($D$13:$D$26=$D33))</f>
        <v>762</v>
      </c>
      <c r="S33" s="349" cm="1">
        <f t="array" ref="S33">SUMPRODUCT((S$13:S$26)*($D$13:$D$26=$D33))</f>
        <v>762</v>
      </c>
      <c r="T33" s="349" cm="1">
        <f t="array" ref="T33">SUMPRODUCT((T$13:T$26)*($D$13:$D$26=$D33))</f>
        <v>762</v>
      </c>
      <c r="U33" s="349" cm="1">
        <f t="array" ref="U33">SUMPRODUCT((U$13:U$26)*($D$13:$D$26=$D33))</f>
        <v>762</v>
      </c>
      <c r="V33" s="349" cm="1">
        <f t="array" ref="V33">SUMPRODUCT((V$13:V$26)*($D$13:$D$26=$D33))</f>
        <v>762</v>
      </c>
      <c r="W33" s="349" cm="1">
        <f t="array" ref="W33">SUMPRODUCT((W$13:W$26)*($D$13:$D$26=$D33))</f>
        <v>762</v>
      </c>
      <c r="X33" s="349" cm="1">
        <f t="array" ref="X33">SUMPRODUCT((X$13:X$26)*($D$13:$D$26=$D33))</f>
        <v>762</v>
      </c>
      <c r="Y33" s="349" cm="1">
        <f t="array" ref="Y33">SUMPRODUCT((Y$13:Y$26)*($D$13:$D$26=$D33))</f>
        <v>762</v>
      </c>
      <c r="Z33" s="349" cm="1">
        <f t="array" ref="Z33">SUMPRODUCT((Z$13:Z$26)*($D$13:$D$26=$D33))</f>
        <v>762</v>
      </c>
      <c r="AA33" s="349" cm="1">
        <f t="array" ref="AA33">SUMPRODUCT((AA$13:AA$26)*($D$13:$D$26=$D33))</f>
        <v>762</v>
      </c>
      <c r="AB33" s="349" cm="1">
        <f t="array" ref="AB33">SUMPRODUCT((AB$13:AB$26)*($D$13:$D$26=$D33))</f>
        <v>762</v>
      </c>
      <c r="AC33" s="349" cm="1">
        <f t="array" ref="AC33">SUMPRODUCT((AC$13:AC$26)*($D$13:$D$26=$D33))</f>
        <v>762</v>
      </c>
    </row>
    <row r="34" spans="2:29" s="362" customFormat="1" x14ac:dyDescent="0.2">
      <c r="D34" s="3" t="s">
        <v>308</v>
      </c>
      <c r="E34" s="349" cm="1">
        <f t="array" ref="E34">SUMPRODUCT((E$13:E$26)*($D$13:$D$26=$D34))</f>
        <v>207.68260030401137</v>
      </c>
      <c r="F34" s="349" cm="1">
        <f t="array" ref="F34">SUMPRODUCT((F$13:F$26)*($D$13:$D$26=$D34))</f>
        <v>247.52742207989272</v>
      </c>
      <c r="G34" s="349" cm="1">
        <f t="array" ref="G34">SUMPRODUCT((G$13:G$26)*($D$13:$D$26=$D34))</f>
        <v>297.70065695235382</v>
      </c>
      <c r="H34" s="349" cm="1">
        <f t="array" ref="H34">SUMPRODUCT((H$13:H$26)*($D$13:$D$26=$D34))</f>
        <v>361.17014512970161</v>
      </c>
      <c r="I34" s="349" cm="1">
        <f t="array" ref="I34">SUMPRODUCT((I$13:I$26)*($D$13:$D$26=$D34))</f>
        <v>447.3266492223222</v>
      </c>
      <c r="J34" s="349" cm="1">
        <f t="array" ref="J34">SUMPRODUCT((J$13:J$26)*($D$13:$D$26=$D34))</f>
        <v>561.98327292398869</v>
      </c>
      <c r="K34" s="349" cm="1">
        <f t="array" ref="K34">SUMPRODUCT((K$13:K$26)*($D$13:$D$26=$D34))</f>
        <v>708.19901543217316</v>
      </c>
      <c r="L34" s="349" cm="1">
        <f t="array" ref="L34">SUMPRODUCT((L$13:L$26)*($D$13:$D$26=$D34))</f>
        <v>895.10778190520273</v>
      </c>
      <c r="M34" s="349" cm="1">
        <f t="array" ref="M34">SUMPRODUCT((M$13:M$26)*($D$13:$D$26=$D34))</f>
        <v>1134.6152353346779</v>
      </c>
      <c r="N34" s="349" cm="1">
        <f t="array" ref="N34">SUMPRODUCT((N$13:N$26)*($D$13:$D$26=$D34))</f>
        <v>1442.2967486406606</v>
      </c>
      <c r="O34" s="349" cm="1">
        <f t="array" ref="O34">SUMPRODUCT((O$13:O$26)*($D$13:$D$26=$D34))</f>
        <v>1838.6265482993808</v>
      </c>
      <c r="P34" s="349" cm="1">
        <f t="array" ref="P34">SUMPRODUCT((P$13:P$26)*($D$13:$D$26=$D34))</f>
        <v>2350.3397145808153</v>
      </c>
      <c r="Q34" s="349" cm="1">
        <f t="array" ref="Q34">SUMPRODUCT((Q$13:Q$26)*($D$13:$D$26=$D34))</f>
        <v>3012.7894870520199</v>
      </c>
      <c r="R34" s="349" cm="1">
        <f t="array" ref="R34">SUMPRODUCT((R$13:R$26)*($D$13:$D$26=$D34))</f>
        <v>3872.734451843065</v>
      </c>
      <c r="S34" s="349" cm="1">
        <f t="array" ref="S34">SUMPRODUCT((S$13:S$26)*($D$13:$D$26=$D34))</f>
        <v>4992.2159222867249</v>
      </c>
      <c r="T34" s="349" cm="1">
        <f t="array" ref="T34">SUMPRODUCT((T$13:T$26)*($D$13:$D$26=$D34))</f>
        <v>6453.8221806434667</v>
      </c>
      <c r="U34" s="349" cm="1">
        <f t="array" ref="U34">SUMPRODUCT((U$13:U$26)*($D$13:$D$26=$D34))</f>
        <v>7867.0607514362591</v>
      </c>
      <c r="V34" s="349" cm="1">
        <f t="array" ref="V34">SUMPRODUCT((V$13:V$26)*($D$13:$D$26=$D34))</f>
        <v>8728.0576879588498</v>
      </c>
      <c r="W34" s="349" cm="1">
        <f t="array" ref="W34">SUMPRODUCT((W$13:W$26)*($D$13:$D$26=$D34))</f>
        <v>9817.7702597914413</v>
      </c>
      <c r="X34" s="349" cm="1">
        <f t="array" ref="X34">SUMPRODUCT((X$13:X$26)*($D$13:$D$26=$D34))</f>
        <v>11322.90302587583</v>
      </c>
      <c r="Y34" s="349" cm="1">
        <f t="array" ref="Y34">SUMPRODUCT((Y$13:Y$26)*($D$13:$D$26=$D34))</f>
        <v>13160.423883855345</v>
      </c>
      <c r="Z34" s="349" cm="1">
        <f t="array" ref="Z34">SUMPRODUCT((Z$13:Z$26)*($D$13:$D$26=$D34))</f>
        <v>13162.913257688404</v>
      </c>
      <c r="AA34" s="349" cm="1">
        <f t="array" ref="AA34">SUMPRODUCT((AA$13:AA$26)*($D$13:$D$26=$D34))</f>
        <v>13165.707447214078</v>
      </c>
      <c r="AB34" s="349" cm="1">
        <f t="array" ref="AB34">SUMPRODUCT((AB$13:AB$26)*($D$13:$D$26=$D34))</f>
        <v>13168.847298146778</v>
      </c>
      <c r="AC34" s="349" cm="1">
        <f t="array" ref="AC34">SUMPRODUCT((AC$13:AC$26)*($D$13:$D$26=$D34))</f>
        <v>13172.379653805279</v>
      </c>
    </row>
    <row r="35" spans="2:29" x14ac:dyDescent="0.2">
      <c r="D35" s="3" t="s">
        <v>321</v>
      </c>
      <c r="E35" s="349" cm="1">
        <f t="array" ref="E35">SUMPRODUCT((E$13:E$26)*($D$13:$D$26=$D35))</f>
        <v>30000</v>
      </c>
      <c r="F35" s="349" cm="1">
        <f t="array" ref="F35">SUMPRODUCT((F$13:F$26)*($D$13:$D$26=$D35))</f>
        <v>30000</v>
      </c>
      <c r="G35" s="349" cm="1">
        <f t="array" ref="G35">SUMPRODUCT((G$13:G$26)*($D$13:$D$26=$D35))</f>
        <v>30000</v>
      </c>
      <c r="H35" s="349" cm="1">
        <f t="array" ref="H35">SUMPRODUCT((H$13:H$26)*($D$13:$D$26=$D35))</f>
        <v>30000</v>
      </c>
      <c r="I35" s="349" cm="1">
        <f t="array" ref="I35">SUMPRODUCT((I$13:I$26)*($D$13:$D$26=$D35))</f>
        <v>30000</v>
      </c>
      <c r="J35" s="349" cm="1">
        <f t="array" ref="J35">SUMPRODUCT((J$13:J$26)*($D$13:$D$26=$D35))</f>
        <v>30000</v>
      </c>
      <c r="K35" s="349" cm="1">
        <f t="array" ref="K35">SUMPRODUCT((K$13:K$26)*($D$13:$D$26=$D35))</f>
        <v>30000</v>
      </c>
      <c r="L35" s="349" cm="1">
        <f t="array" ref="L35">SUMPRODUCT((L$13:L$26)*($D$13:$D$26=$D35))</f>
        <v>30000</v>
      </c>
      <c r="M35" s="349" cm="1">
        <f t="array" ref="M35">SUMPRODUCT((M$13:M$26)*($D$13:$D$26=$D35))</f>
        <v>30000</v>
      </c>
      <c r="N35" s="349" cm="1">
        <f t="array" ref="N35">SUMPRODUCT((N$13:N$26)*($D$13:$D$26=$D35))</f>
        <v>30000</v>
      </c>
      <c r="O35" s="349" cm="1">
        <f t="array" ref="O35">SUMPRODUCT((O$13:O$26)*($D$13:$D$26=$D35))</f>
        <v>30000</v>
      </c>
      <c r="P35" s="349" cm="1">
        <f t="array" ref="P35">SUMPRODUCT((P$13:P$26)*($D$13:$D$26=$D35))</f>
        <v>30000</v>
      </c>
      <c r="Q35" s="349" cm="1">
        <f t="array" ref="Q35">SUMPRODUCT((Q$13:Q$26)*($D$13:$D$26=$D35))</f>
        <v>30000</v>
      </c>
      <c r="R35" s="349" cm="1">
        <f t="array" ref="R35">SUMPRODUCT((R$13:R$26)*($D$13:$D$26=$D35))</f>
        <v>30000</v>
      </c>
      <c r="S35" s="349" cm="1">
        <f t="array" ref="S35">SUMPRODUCT((S$13:S$26)*($D$13:$D$26=$D35))</f>
        <v>30000</v>
      </c>
      <c r="T35" s="349" cm="1">
        <f t="array" ref="T35">SUMPRODUCT((T$13:T$26)*($D$13:$D$26=$D35))</f>
        <v>30000</v>
      </c>
      <c r="U35" s="349" cm="1">
        <f t="array" ref="U35">SUMPRODUCT((U$13:U$26)*($D$13:$D$26=$D35))</f>
        <v>30000</v>
      </c>
      <c r="V35" s="349" cm="1">
        <f t="array" ref="V35">SUMPRODUCT((V$13:V$26)*($D$13:$D$26=$D35))</f>
        <v>30000</v>
      </c>
      <c r="W35" s="349" cm="1">
        <f t="array" ref="W35">SUMPRODUCT((W$13:W$26)*($D$13:$D$26=$D35))</f>
        <v>30000</v>
      </c>
      <c r="X35" s="349" cm="1">
        <f t="array" ref="X35">SUMPRODUCT((X$13:X$26)*($D$13:$D$26=$D35))</f>
        <v>30000</v>
      </c>
      <c r="Y35" s="349" cm="1">
        <f t="array" ref="Y35">SUMPRODUCT((Y$13:Y$26)*($D$13:$D$26=$D35))</f>
        <v>30000</v>
      </c>
      <c r="Z35" s="349" cm="1">
        <f t="array" ref="Z35">SUMPRODUCT((Z$13:Z$26)*($D$13:$D$26=$D35))</f>
        <v>30000</v>
      </c>
      <c r="AA35" s="349" cm="1">
        <f t="array" ref="AA35">SUMPRODUCT((AA$13:AA$26)*($D$13:$D$26=$D35))</f>
        <v>30000</v>
      </c>
      <c r="AB35" s="349" cm="1">
        <f t="array" ref="AB35">SUMPRODUCT((AB$13:AB$26)*($D$13:$D$26=$D35))</f>
        <v>30000</v>
      </c>
      <c r="AC35" s="349" cm="1">
        <f t="array" ref="AC35">SUMPRODUCT((AC$13:AC$26)*($D$13:$D$26=$D35))</f>
        <v>30000</v>
      </c>
    </row>
    <row r="36" spans="2:29" x14ac:dyDescent="0.2">
      <c r="D36" s="347" t="s">
        <v>265</v>
      </c>
      <c r="E36" s="346">
        <f t="shared" ref="E36:AC36" si="3">SUM(E30:E35)</f>
        <v>107129.51761797386</v>
      </c>
      <c r="F36" s="346">
        <f t="shared" si="3"/>
        <v>116205.59993308286</v>
      </c>
      <c r="G36" s="346">
        <f t="shared" si="3"/>
        <v>119015.45635804876</v>
      </c>
      <c r="H36" s="346">
        <f t="shared" si="3"/>
        <v>121418.9087163418</v>
      </c>
      <c r="I36" s="346">
        <f t="shared" si="3"/>
        <v>124041.41083819355</v>
      </c>
      <c r="J36" s="346">
        <f t="shared" si="3"/>
        <v>127579.87491491773</v>
      </c>
      <c r="K36" s="346">
        <f t="shared" si="3"/>
        <v>132687.33958798292</v>
      </c>
      <c r="L36" s="346">
        <f t="shared" si="3"/>
        <v>139487.42657912333</v>
      </c>
      <c r="M36" s="346">
        <f t="shared" si="3"/>
        <v>147034.89585887102</v>
      </c>
      <c r="N36" s="346">
        <f t="shared" si="3"/>
        <v>157087.34259837773</v>
      </c>
      <c r="O36" s="346">
        <f t="shared" si="3"/>
        <v>170436.29463739248</v>
      </c>
      <c r="P36" s="346">
        <f t="shared" si="3"/>
        <v>188193.07980812917</v>
      </c>
      <c r="Q36" s="346">
        <f t="shared" si="3"/>
        <v>211928.3073573221</v>
      </c>
      <c r="R36" s="346">
        <f t="shared" si="3"/>
        <v>243810.20020899596</v>
      </c>
      <c r="S36" s="346">
        <f t="shared" si="3"/>
        <v>286844.42486610787</v>
      </c>
      <c r="T36" s="346">
        <f t="shared" si="3"/>
        <v>345214.12727364572</v>
      </c>
      <c r="U36" s="346">
        <f t="shared" si="3"/>
        <v>412459.39860093925</v>
      </c>
      <c r="V36" s="346">
        <f t="shared" si="3"/>
        <v>480762.43046786933</v>
      </c>
      <c r="W36" s="346">
        <f t="shared" si="3"/>
        <v>507416.65606929414</v>
      </c>
      <c r="X36" s="346">
        <f t="shared" si="3"/>
        <v>530831.59418594535</v>
      </c>
      <c r="Y36" s="346">
        <f t="shared" si="3"/>
        <v>559317.05480188131</v>
      </c>
      <c r="Z36" s="346">
        <f t="shared" si="3"/>
        <v>559628.99609735433</v>
      </c>
      <c r="AA36" s="346">
        <f t="shared" si="3"/>
        <v>559991.79899561289</v>
      </c>
      <c r="AB36" s="346">
        <f t="shared" si="3"/>
        <v>560414.29765247379</v>
      </c>
      <c r="AC36" s="346">
        <f t="shared" si="3"/>
        <v>560906.92510587268</v>
      </c>
    </row>
    <row r="39" spans="2:29" s="342" customFormat="1" x14ac:dyDescent="0.2">
      <c r="B39" s="334" t="str">
        <f>Workings_costs!B18</f>
        <v>Option 2 - Decomission switchboard and connect transformers and VR Cremorne feeders to RMU</v>
      </c>
    </row>
    <row r="41" spans="2:29" x14ac:dyDescent="0.2">
      <c r="E41" s="337" t="s">
        <v>19</v>
      </c>
      <c r="F41" s="337" t="str">
        <f t="shared" ref="F41:AC41" si="4">LEFT(E41,4)+1&amp;"-"&amp;RIGHT(E41,2)+1</f>
        <v>2027-28</v>
      </c>
      <c r="G41" s="337" t="str">
        <f t="shared" si="4"/>
        <v>2028-29</v>
      </c>
      <c r="H41" s="337" t="str">
        <f t="shared" si="4"/>
        <v>2029-30</v>
      </c>
      <c r="I41" s="337" t="str">
        <f t="shared" si="4"/>
        <v>2030-31</v>
      </c>
      <c r="J41" s="337" t="str">
        <f t="shared" si="4"/>
        <v>2031-32</v>
      </c>
      <c r="K41" s="337" t="str">
        <f t="shared" si="4"/>
        <v>2032-33</v>
      </c>
      <c r="L41" s="337" t="str">
        <f t="shared" si="4"/>
        <v>2033-34</v>
      </c>
      <c r="M41" s="337" t="str">
        <f t="shared" si="4"/>
        <v>2034-35</v>
      </c>
      <c r="N41" s="337" t="str">
        <f t="shared" si="4"/>
        <v>2035-36</v>
      </c>
      <c r="O41" s="337" t="str">
        <f t="shared" si="4"/>
        <v>2036-37</v>
      </c>
      <c r="P41" s="337" t="str">
        <f t="shared" si="4"/>
        <v>2037-38</v>
      </c>
      <c r="Q41" s="337" t="str">
        <f t="shared" si="4"/>
        <v>2038-39</v>
      </c>
      <c r="R41" s="337" t="str">
        <f t="shared" si="4"/>
        <v>2039-40</v>
      </c>
      <c r="S41" s="337" t="str">
        <f t="shared" si="4"/>
        <v>2040-41</v>
      </c>
      <c r="T41" s="337" t="str">
        <f t="shared" si="4"/>
        <v>2041-42</v>
      </c>
      <c r="U41" s="337" t="str">
        <f t="shared" si="4"/>
        <v>2042-43</v>
      </c>
      <c r="V41" s="337" t="str">
        <f t="shared" si="4"/>
        <v>2043-44</v>
      </c>
      <c r="W41" s="337" t="str">
        <f t="shared" si="4"/>
        <v>2044-45</v>
      </c>
      <c r="X41" s="337" t="str">
        <f t="shared" si="4"/>
        <v>2045-46</v>
      </c>
      <c r="Y41" s="337" t="str">
        <f t="shared" si="4"/>
        <v>2046-47</v>
      </c>
      <c r="Z41" s="337" t="str">
        <f t="shared" si="4"/>
        <v>2047-48</v>
      </c>
      <c r="AA41" s="337" t="str">
        <f t="shared" si="4"/>
        <v>2048-49</v>
      </c>
      <c r="AB41" s="337" t="str">
        <f t="shared" si="4"/>
        <v>2049-50</v>
      </c>
      <c r="AC41" s="337" t="str">
        <f t="shared" si="4"/>
        <v>2050-51</v>
      </c>
    </row>
    <row r="42" spans="2:29" x14ac:dyDescent="0.2">
      <c r="D42" s="3" t="s">
        <v>256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2:29" s="362" customFormat="1" x14ac:dyDescent="0.2"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2:29" x14ac:dyDescent="0.2">
      <c r="D44" s="362" t="s">
        <v>257</v>
      </c>
      <c r="E44" s="365">
        <v>61694.748328645939</v>
      </c>
      <c r="F44" s="365">
        <v>6887.8556847110958</v>
      </c>
      <c r="G44" s="365">
        <v>7032.6638860464491</v>
      </c>
      <c r="H44" s="365">
        <v>7078.7951210750089</v>
      </c>
      <c r="I44" s="365">
        <v>7082.9881107956135</v>
      </c>
      <c r="J44" s="365">
        <v>7094.6408170738605</v>
      </c>
      <c r="K44" s="365">
        <v>7159.3307615411768</v>
      </c>
      <c r="L44" s="365">
        <v>7256.4244373082938</v>
      </c>
      <c r="M44" s="365">
        <v>7249.1834557892189</v>
      </c>
      <c r="N44" s="365">
        <v>7249.1834557892189</v>
      </c>
      <c r="O44" s="365">
        <v>7249.1834557892189</v>
      </c>
      <c r="P44" s="365">
        <v>7249.1834557892189</v>
      </c>
      <c r="Q44" s="365">
        <v>7249.1834557892189</v>
      </c>
      <c r="R44" s="365">
        <v>7249.1834557892189</v>
      </c>
      <c r="S44" s="365">
        <v>7249.1834557892189</v>
      </c>
      <c r="T44" s="365">
        <v>7249.1834557892189</v>
      </c>
      <c r="U44" s="365">
        <v>7249.1834557892189</v>
      </c>
      <c r="V44" s="365">
        <v>7249.1834557892189</v>
      </c>
      <c r="W44" s="365">
        <v>7249.1834557892189</v>
      </c>
      <c r="X44" s="365">
        <v>7249.1834557892189</v>
      </c>
      <c r="Y44" s="365">
        <v>7249.1834557892189</v>
      </c>
      <c r="Z44" s="365">
        <v>7249.1834557892189</v>
      </c>
      <c r="AA44" s="365">
        <v>7249.1834557892189</v>
      </c>
      <c r="AB44" s="365">
        <v>7249.1834557892189</v>
      </c>
      <c r="AC44" s="365">
        <v>7249.1834557892189</v>
      </c>
    </row>
    <row r="45" spans="2:29" x14ac:dyDescent="0.2">
      <c r="D45" s="362" t="s">
        <v>307</v>
      </c>
      <c r="E45" s="365">
        <v>532.4346625500001</v>
      </c>
      <c r="F45" s="365">
        <v>53.243466255000001</v>
      </c>
      <c r="G45" s="365">
        <v>53.243466254999994</v>
      </c>
      <c r="H45" s="365">
        <v>53.243466254999994</v>
      </c>
      <c r="I45" s="365">
        <v>53.243466254999994</v>
      </c>
      <c r="J45" s="365">
        <v>53.243466254999994</v>
      </c>
      <c r="K45" s="365">
        <v>53.243466254999994</v>
      </c>
      <c r="L45" s="365">
        <v>53.243466254999994</v>
      </c>
      <c r="M45" s="365">
        <v>53.243466254999994</v>
      </c>
      <c r="N45" s="365">
        <v>53.243466254999994</v>
      </c>
      <c r="O45" s="365">
        <v>53.243466254999994</v>
      </c>
      <c r="P45" s="365">
        <v>53.243466254999994</v>
      </c>
      <c r="Q45" s="365">
        <v>53.243466254999994</v>
      </c>
      <c r="R45" s="365">
        <v>53.243466254999994</v>
      </c>
      <c r="S45" s="365">
        <v>53.243466254999994</v>
      </c>
      <c r="T45" s="365">
        <v>53.243466254999994</v>
      </c>
      <c r="U45" s="365">
        <v>53.243466254999994</v>
      </c>
      <c r="V45" s="365">
        <v>53.243466254999994</v>
      </c>
      <c r="W45" s="365">
        <v>53.243466254999994</v>
      </c>
      <c r="X45" s="365">
        <v>53.243466254999994</v>
      </c>
      <c r="Y45" s="365">
        <v>53.243466254999994</v>
      </c>
      <c r="Z45" s="365">
        <v>53.243466254999994</v>
      </c>
      <c r="AA45" s="365">
        <v>53.243466254999994</v>
      </c>
      <c r="AB45" s="365">
        <v>53.243466254999994</v>
      </c>
      <c r="AC45" s="365">
        <v>53.243466254999994</v>
      </c>
    </row>
    <row r="46" spans="2:29" x14ac:dyDescent="0.2">
      <c r="D46" s="362" t="s">
        <v>319</v>
      </c>
      <c r="E46" s="365">
        <v>8100</v>
      </c>
      <c r="F46" s="365">
        <v>810</v>
      </c>
      <c r="G46" s="365">
        <v>809.99999999999977</v>
      </c>
      <c r="H46" s="365">
        <v>809.99999999999977</v>
      </c>
      <c r="I46" s="365">
        <v>809.99999999999977</v>
      </c>
      <c r="J46" s="365">
        <v>809.99999999999977</v>
      </c>
      <c r="K46" s="365">
        <v>809.99999999999977</v>
      </c>
      <c r="L46" s="365">
        <v>809.99999999999977</v>
      </c>
      <c r="M46" s="365">
        <v>809.99999999999977</v>
      </c>
      <c r="N46" s="365">
        <v>809.99999999999977</v>
      </c>
      <c r="O46" s="365">
        <v>809.99999999999977</v>
      </c>
      <c r="P46" s="365">
        <v>809.99999999999977</v>
      </c>
      <c r="Q46" s="365">
        <v>809.99999999999977</v>
      </c>
      <c r="R46" s="365">
        <v>809.99999999999977</v>
      </c>
      <c r="S46" s="365">
        <v>809.99999999999977</v>
      </c>
      <c r="T46" s="365">
        <v>809.99999999999977</v>
      </c>
      <c r="U46" s="365">
        <v>809.99999999999977</v>
      </c>
      <c r="V46" s="365">
        <v>809.99999999999977</v>
      </c>
      <c r="W46" s="365">
        <v>809.99999999999977</v>
      </c>
      <c r="X46" s="365">
        <v>809.99999999999977</v>
      </c>
      <c r="Y46" s="365">
        <v>809.99999999999977</v>
      </c>
      <c r="Z46" s="365">
        <v>809.99999999999977</v>
      </c>
      <c r="AA46" s="365">
        <v>809.99999999999977</v>
      </c>
      <c r="AB46" s="365">
        <v>809.99999999999977</v>
      </c>
      <c r="AC46" s="365">
        <v>809.99999999999977</v>
      </c>
    </row>
    <row r="47" spans="2:29" s="362" customFormat="1" x14ac:dyDescent="0.2">
      <c r="D47" s="362" t="s">
        <v>320</v>
      </c>
      <c r="E47" s="365">
        <v>762</v>
      </c>
      <c r="F47" s="365">
        <v>76.199999999999974</v>
      </c>
      <c r="G47" s="365">
        <v>76.199999999999974</v>
      </c>
      <c r="H47" s="365">
        <v>76.199999999999974</v>
      </c>
      <c r="I47" s="365">
        <v>76.199999999999974</v>
      </c>
      <c r="J47" s="365">
        <v>76.199999999999974</v>
      </c>
      <c r="K47" s="365">
        <v>76.199999999999974</v>
      </c>
      <c r="L47" s="365">
        <v>76.199999999999974</v>
      </c>
      <c r="M47" s="365">
        <v>76.199999999999974</v>
      </c>
      <c r="N47" s="365">
        <v>76.199999999999974</v>
      </c>
      <c r="O47" s="365">
        <v>76.199999999999974</v>
      </c>
      <c r="P47" s="365">
        <v>76.199999999999974</v>
      </c>
      <c r="Q47" s="365">
        <v>76.199999999999974</v>
      </c>
      <c r="R47" s="365">
        <v>76.199999999999974</v>
      </c>
      <c r="S47" s="365">
        <v>76.199999999999974</v>
      </c>
      <c r="T47" s="365">
        <v>76.199999999999974</v>
      </c>
      <c r="U47" s="365">
        <v>76.199999999999974</v>
      </c>
      <c r="V47" s="365">
        <v>76.199999999999974</v>
      </c>
      <c r="W47" s="365">
        <v>76.199999999999974</v>
      </c>
      <c r="X47" s="365">
        <v>76.199999999999974</v>
      </c>
      <c r="Y47" s="365">
        <v>76.199999999999974</v>
      </c>
      <c r="Z47" s="365">
        <v>76.199999999999974</v>
      </c>
      <c r="AA47" s="365">
        <v>76.199999999999974</v>
      </c>
      <c r="AB47" s="365">
        <v>76.199999999999974</v>
      </c>
      <c r="AC47" s="365">
        <v>76.199999999999974</v>
      </c>
    </row>
    <row r="48" spans="2:29" x14ac:dyDescent="0.2">
      <c r="D48" s="362" t="s">
        <v>321</v>
      </c>
      <c r="E48" s="365">
        <v>30000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L48" s="365">
        <v>0</v>
      </c>
      <c r="M48" s="365">
        <v>0</v>
      </c>
      <c r="N48" s="365">
        <v>0</v>
      </c>
      <c r="O48" s="365">
        <v>0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</v>
      </c>
      <c r="AB48" s="365">
        <v>0</v>
      </c>
      <c r="AC48" s="365">
        <v>0</v>
      </c>
    </row>
    <row r="49" spans="4:30" x14ac:dyDescent="0.2">
      <c r="D49" s="347" t="s">
        <v>261</v>
      </c>
      <c r="E49" s="346">
        <f t="shared" ref="E49:AC49" si="5">SUM(E44:E48)</f>
        <v>101089.18299119594</v>
      </c>
      <c r="F49" s="346">
        <f t="shared" si="5"/>
        <v>7827.299150966096</v>
      </c>
      <c r="G49" s="346">
        <f t="shared" si="5"/>
        <v>7972.1073523014493</v>
      </c>
      <c r="H49" s="346">
        <f t="shared" si="5"/>
        <v>8018.2385873300091</v>
      </c>
      <c r="I49" s="346">
        <f t="shared" si="5"/>
        <v>8022.4315770506137</v>
      </c>
      <c r="J49" s="346">
        <f t="shared" si="5"/>
        <v>8034.0842833288607</v>
      </c>
      <c r="K49" s="346">
        <f t="shared" si="5"/>
        <v>8098.774227796177</v>
      </c>
      <c r="L49" s="346">
        <f t="shared" si="5"/>
        <v>8195.867903563294</v>
      </c>
      <c r="M49" s="346">
        <f t="shared" si="5"/>
        <v>8188.6269220442191</v>
      </c>
      <c r="N49" s="346">
        <f t="shared" si="5"/>
        <v>8188.6269220442191</v>
      </c>
      <c r="O49" s="346">
        <f t="shared" si="5"/>
        <v>8188.6269220442191</v>
      </c>
      <c r="P49" s="346">
        <f t="shared" si="5"/>
        <v>8188.6269220442191</v>
      </c>
      <c r="Q49" s="346">
        <f t="shared" si="5"/>
        <v>8188.6269220442191</v>
      </c>
      <c r="R49" s="346">
        <f t="shared" si="5"/>
        <v>8188.6269220442191</v>
      </c>
      <c r="S49" s="346">
        <f t="shared" si="5"/>
        <v>8188.6269220442191</v>
      </c>
      <c r="T49" s="346">
        <f t="shared" si="5"/>
        <v>8188.6269220442191</v>
      </c>
      <c r="U49" s="346">
        <f t="shared" si="5"/>
        <v>8188.6269220442191</v>
      </c>
      <c r="V49" s="346">
        <f t="shared" si="5"/>
        <v>8188.6269220442191</v>
      </c>
      <c r="W49" s="346">
        <f t="shared" si="5"/>
        <v>8188.6269220442191</v>
      </c>
      <c r="X49" s="346">
        <f t="shared" si="5"/>
        <v>8188.6269220442191</v>
      </c>
      <c r="Y49" s="346">
        <f t="shared" si="5"/>
        <v>8188.6269220442191</v>
      </c>
      <c r="Z49" s="346">
        <f t="shared" si="5"/>
        <v>8188.6269220442191</v>
      </c>
      <c r="AA49" s="346">
        <f t="shared" si="5"/>
        <v>8188.6269220442191</v>
      </c>
      <c r="AB49" s="346">
        <f t="shared" si="5"/>
        <v>8188.6269220442191</v>
      </c>
      <c r="AC49" s="346">
        <f t="shared" si="5"/>
        <v>8188.6269220442191</v>
      </c>
    </row>
    <row r="51" spans="4:30" x14ac:dyDescent="0.2">
      <c r="D51" s="3" t="s">
        <v>262</v>
      </c>
    </row>
    <row r="52" spans="4:30" x14ac:dyDescent="0.2">
      <c r="D52" s="166" t="s">
        <v>308</v>
      </c>
      <c r="E52" s="365">
        <v>207.68260030401137</v>
      </c>
      <c r="F52" s="365">
        <v>80.194343985339714</v>
      </c>
      <c r="G52" s="365">
        <v>81.312593719302868</v>
      </c>
      <c r="H52" s="365">
        <v>82.688295053131753</v>
      </c>
      <c r="I52" s="365">
        <v>84.57193586533613</v>
      </c>
      <c r="J52" s="365">
        <v>87.33723507208849</v>
      </c>
      <c r="K52" s="365">
        <v>97.081838299549077</v>
      </c>
      <c r="L52" s="365">
        <v>115.43609143894327</v>
      </c>
      <c r="M52" s="365">
        <v>140.14355542808249</v>
      </c>
      <c r="N52" s="365">
        <v>173.58011307798702</v>
      </c>
      <c r="O52" s="365">
        <v>219.0555754655341</v>
      </c>
      <c r="P52" s="365">
        <v>281.20744783819777</v>
      </c>
      <c r="Q52" s="365">
        <v>366.58680461834621</v>
      </c>
      <c r="R52" s="365">
        <v>484.19943689828773</v>
      </c>
      <c r="S52" s="365">
        <v>646.81553712997106</v>
      </c>
      <c r="T52" s="365">
        <v>872.41966323243639</v>
      </c>
      <c r="U52" s="365">
        <v>1186.3810156449922</v>
      </c>
      <c r="V52" s="365">
        <v>1624.5381245338194</v>
      </c>
      <c r="W52" s="365">
        <v>2244.5087893705299</v>
      </c>
      <c r="X52" s="365">
        <v>3117.9416637663376</v>
      </c>
      <c r="Y52" s="365">
        <v>4225.0648449489645</v>
      </c>
      <c r="Z52" s="365">
        <v>5754.5880284297582</v>
      </c>
      <c r="AA52" s="365">
        <v>7626.3090804649473</v>
      </c>
      <c r="AB52" s="365">
        <v>7676.8083735902228</v>
      </c>
      <c r="AC52" s="365">
        <v>7747.0834543847213</v>
      </c>
      <c r="AD52" s="350"/>
    </row>
    <row r="53" spans="4:30" s="348" customFormat="1" x14ac:dyDescent="0.2">
      <c r="D53" s="166" t="s">
        <v>257</v>
      </c>
      <c r="E53" s="365">
        <v>957.08685653825819</v>
      </c>
      <c r="F53" s="365">
        <v>955.07232150876428</v>
      </c>
      <c r="G53" s="365">
        <v>955.30651456923033</v>
      </c>
      <c r="H53" s="365">
        <v>955.5946252621028</v>
      </c>
      <c r="I53" s="365">
        <v>1033.967898449768</v>
      </c>
      <c r="J53" s="365">
        <v>1313.1271524999879</v>
      </c>
      <c r="K53" s="365">
        <v>1703.4039717762751</v>
      </c>
      <c r="L53" s="365">
        <v>2250.7495403737835</v>
      </c>
      <c r="M53" s="365">
        <v>3019.6381768790579</v>
      </c>
      <c r="N53" s="365">
        <v>4104.1990058020119</v>
      </c>
      <c r="O53" s="365">
        <v>5639.696765702819</v>
      </c>
      <c r="P53" s="365">
        <v>7824.8230371046311</v>
      </c>
      <c r="Q53" s="365">
        <v>10961.778355658165</v>
      </c>
      <c r="R53" s="365">
        <v>15434.843608954701</v>
      </c>
      <c r="S53" s="365">
        <v>21829.982748085728</v>
      </c>
      <c r="T53" s="365">
        <v>30994.416165002945</v>
      </c>
      <c r="U53" s="365">
        <v>44154.253115611406</v>
      </c>
      <c r="V53" s="365">
        <v>63085.407924533829</v>
      </c>
      <c r="W53" s="365">
        <v>90362.11106973917</v>
      </c>
      <c r="X53" s="365">
        <v>129717.93845010956</v>
      </c>
      <c r="Y53" s="365">
        <v>137006.7983042186</v>
      </c>
      <c r="Z53" s="365">
        <v>137558.30929625523</v>
      </c>
      <c r="AA53" s="365">
        <v>138230.54089152624</v>
      </c>
      <c r="AB53" s="365">
        <v>138400.7476210155</v>
      </c>
      <c r="AC53" s="365">
        <v>138601.4474200187</v>
      </c>
      <c r="AD53" s="351"/>
    </row>
    <row r="54" spans="4:30" x14ac:dyDescent="0.2">
      <c r="D54" s="362" t="s">
        <v>307</v>
      </c>
      <c r="E54" s="365">
        <v>1498.9959109185131</v>
      </c>
      <c r="F54" s="365">
        <v>594.26870947396731</v>
      </c>
      <c r="G54" s="365">
        <v>602.20864181725369</v>
      </c>
      <c r="H54" s="365">
        <v>611.97656322462876</v>
      </c>
      <c r="I54" s="365">
        <v>627.41933027272296</v>
      </c>
      <c r="J54" s="365">
        <v>654.44291236572008</v>
      </c>
      <c r="K54" s="365">
        <v>733.91924717539484</v>
      </c>
      <c r="L54" s="365">
        <v>878.63157844110572</v>
      </c>
      <c r="M54" s="365">
        <v>1074.2856754319603</v>
      </c>
      <c r="N54" s="365">
        <v>1340.2310651902642</v>
      </c>
      <c r="O54" s="365">
        <v>1703.5329580290766</v>
      </c>
      <c r="P54" s="365">
        <v>2202.3566028349851</v>
      </c>
      <c r="Q54" s="365">
        <v>2891.1862586054076</v>
      </c>
      <c r="R54" s="365">
        <v>3844.0949830498348</v>
      </c>
      <c r="S54" s="365">
        <v>5167.2072512088198</v>
      </c>
      <c r="T54" s="365">
        <v>7010.563919501541</v>
      </c>
      <c r="U54" s="365">
        <v>9586.6366302371171</v>
      </c>
      <c r="V54" s="365">
        <v>13196.741662210798</v>
      </c>
      <c r="W54" s="365">
        <v>18317.874537074691</v>
      </c>
      <c r="X54" s="365">
        <v>25557.286478382415</v>
      </c>
      <c r="Y54" s="339">
        <v>33603.61199692732</v>
      </c>
      <c r="Z54" s="339">
        <v>44467.330194510963</v>
      </c>
      <c r="AA54" s="339">
        <v>57761.417736252064</v>
      </c>
      <c r="AB54" s="339">
        <v>58124.273131612412</v>
      </c>
      <c r="AC54" s="339">
        <v>58628.265629476213</v>
      </c>
      <c r="AD54" s="350"/>
    </row>
    <row r="55" spans="4:30" s="362" customFormat="1" x14ac:dyDescent="0.2">
      <c r="D55" s="362" t="s">
        <v>319</v>
      </c>
      <c r="E55" s="365">
        <v>3376.5692590171557</v>
      </c>
      <c r="F55" s="365">
        <v>1143.1879113228133</v>
      </c>
      <c r="G55" s="365">
        <v>1152.9287133838634</v>
      </c>
      <c r="H55" s="365">
        <v>1164.9121138542191</v>
      </c>
      <c r="I55" s="365">
        <v>1210.5785771536016</v>
      </c>
      <c r="J55" s="365">
        <v>1339.1928507937346</v>
      </c>
      <c r="K55" s="365">
        <v>1558.6500146636595</v>
      </c>
      <c r="L55" s="365">
        <v>1897.767542964928</v>
      </c>
      <c r="M55" s="365">
        <v>2365.8298407776088</v>
      </c>
      <c r="N55" s="365">
        <v>3015.1636603773491</v>
      </c>
      <c r="O55" s="365">
        <v>3920.1860714995005</v>
      </c>
      <c r="P55" s="365">
        <v>5188.5820177713886</v>
      </c>
      <c r="Q55" s="365">
        <v>6980.5551191466257</v>
      </c>
      <c r="R55" s="365">
        <v>9504.4315120966257</v>
      </c>
      <c r="S55" s="365">
        <v>13071.063955352716</v>
      </c>
      <c r="T55" s="365">
        <v>18126.421534671841</v>
      </c>
      <c r="U55" s="365">
        <v>25311.160724584741</v>
      </c>
      <c r="V55" s="365">
        <v>35546.697278872271</v>
      </c>
      <c r="W55" s="365">
        <v>50250.81331084983</v>
      </c>
      <c r="X55" s="365">
        <v>71333.332594504274</v>
      </c>
      <c r="Y55" s="339">
        <v>81897.567518116935</v>
      </c>
      <c r="Z55" s="339">
        <v>92866.719036552531</v>
      </c>
      <c r="AA55" s="339">
        <v>106219.77585205981</v>
      </c>
      <c r="AB55" s="339">
        <v>106945.36110441686</v>
      </c>
      <c r="AC55" s="339">
        <v>107942.19782400024</v>
      </c>
      <c r="AD55" s="350"/>
    </row>
    <row r="56" spans="4:30" s="362" customFormat="1" x14ac:dyDescent="0.2">
      <c r="D56" s="362" t="s">
        <v>320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0</v>
      </c>
      <c r="K56" s="365">
        <v>0</v>
      </c>
      <c r="L56" s="365">
        <v>0</v>
      </c>
      <c r="M56" s="365">
        <v>0</v>
      </c>
      <c r="N56" s="365">
        <v>0</v>
      </c>
      <c r="O56" s="365">
        <v>0</v>
      </c>
      <c r="P56" s="365">
        <v>0</v>
      </c>
      <c r="Q56" s="365">
        <v>0</v>
      </c>
      <c r="R56" s="365">
        <v>0</v>
      </c>
      <c r="S56" s="365">
        <v>0</v>
      </c>
      <c r="T56" s="365">
        <v>0</v>
      </c>
      <c r="U56" s="365">
        <v>0</v>
      </c>
      <c r="V56" s="365">
        <v>0</v>
      </c>
      <c r="W56" s="365">
        <v>0</v>
      </c>
      <c r="X56" s="365">
        <v>0</v>
      </c>
      <c r="Y56" s="339">
        <v>0</v>
      </c>
      <c r="Z56" s="339">
        <v>0</v>
      </c>
      <c r="AA56" s="339">
        <v>0</v>
      </c>
      <c r="AB56" s="339">
        <v>0</v>
      </c>
      <c r="AC56" s="339">
        <v>0</v>
      </c>
      <c r="AD56" s="350"/>
    </row>
    <row r="57" spans="4:30" x14ac:dyDescent="0.2">
      <c r="D57" s="362" t="s">
        <v>321</v>
      </c>
      <c r="E57" s="365">
        <v>0</v>
      </c>
      <c r="F57" s="365">
        <v>0</v>
      </c>
      <c r="G57" s="365">
        <v>0</v>
      </c>
      <c r="H57" s="365">
        <v>0</v>
      </c>
      <c r="I57" s="365">
        <v>0</v>
      </c>
      <c r="J57" s="365">
        <v>0</v>
      </c>
      <c r="K57" s="365">
        <v>0</v>
      </c>
      <c r="L57" s="365">
        <v>0</v>
      </c>
      <c r="M57" s="365">
        <v>0</v>
      </c>
      <c r="N57" s="365">
        <v>0</v>
      </c>
      <c r="O57" s="365">
        <v>0</v>
      </c>
      <c r="P57" s="365">
        <v>0</v>
      </c>
      <c r="Q57" s="365">
        <v>0</v>
      </c>
      <c r="R57" s="365">
        <v>0</v>
      </c>
      <c r="S57" s="365">
        <v>0</v>
      </c>
      <c r="T57" s="365">
        <v>0</v>
      </c>
      <c r="U57" s="365">
        <v>0</v>
      </c>
      <c r="V57" s="365">
        <v>0</v>
      </c>
      <c r="W57" s="365">
        <v>0</v>
      </c>
      <c r="X57" s="365">
        <v>0</v>
      </c>
      <c r="Y57" s="339">
        <v>0</v>
      </c>
      <c r="Z57" s="339">
        <v>0</v>
      </c>
      <c r="AA57" s="339">
        <v>0</v>
      </c>
      <c r="AB57" s="339">
        <v>0</v>
      </c>
      <c r="AC57" s="339">
        <v>0</v>
      </c>
      <c r="AD57" s="350"/>
    </row>
    <row r="58" spans="4:30" x14ac:dyDescent="0.2">
      <c r="D58" s="347" t="s">
        <v>263</v>
      </c>
      <c r="E58" s="346">
        <f t="shared" ref="E58:AC58" si="6">SUM(E52:E57)</f>
        <v>6040.334626777938</v>
      </c>
      <c r="F58" s="346">
        <f t="shared" si="6"/>
        <v>2772.7232862908845</v>
      </c>
      <c r="G58" s="346">
        <f t="shared" si="6"/>
        <v>2791.7564634896503</v>
      </c>
      <c r="H58" s="346">
        <f t="shared" si="6"/>
        <v>2815.1715973940827</v>
      </c>
      <c r="I58" s="346">
        <f t="shared" si="6"/>
        <v>2956.5377417414288</v>
      </c>
      <c r="J58" s="346">
        <f t="shared" si="6"/>
        <v>3394.1001507315314</v>
      </c>
      <c r="K58" s="346">
        <f t="shared" si="6"/>
        <v>4093.0550719148787</v>
      </c>
      <c r="L58" s="346">
        <f t="shared" si="6"/>
        <v>5142.5847532187599</v>
      </c>
      <c r="M58" s="346">
        <f t="shared" si="6"/>
        <v>6599.8972485167087</v>
      </c>
      <c r="N58" s="346">
        <f t="shared" si="6"/>
        <v>8633.1738444476123</v>
      </c>
      <c r="O58" s="346">
        <f t="shared" si="6"/>
        <v>11482.471370696931</v>
      </c>
      <c r="P58" s="346">
        <f t="shared" si="6"/>
        <v>15496.969105549202</v>
      </c>
      <c r="Q58" s="346">
        <f t="shared" si="6"/>
        <v>21200.106538028544</v>
      </c>
      <c r="R58" s="346">
        <f t="shared" si="6"/>
        <v>29267.569540999451</v>
      </c>
      <c r="S58" s="346">
        <f t="shared" si="6"/>
        <v>40715.069491777234</v>
      </c>
      <c r="T58" s="346">
        <f t="shared" si="6"/>
        <v>57003.82128240876</v>
      </c>
      <c r="U58" s="346">
        <f t="shared" si="6"/>
        <v>80238.431486078247</v>
      </c>
      <c r="V58" s="346">
        <f t="shared" si="6"/>
        <v>113453.38499015072</v>
      </c>
      <c r="W58" s="346">
        <f t="shared" si="6"/>
        <v>161175.30770703423</v>
      </c>
      <c r="X58" s="346">
        <f t="shared" si="6"/>
        <v>229726.49918676261</v>
      </c>
      <c r="Y58" s="346">
        <f t="shared" si="6"/>
        <v>256733.04266421183</v>
      </c>
      <c r="Z58" s="346">
        <f t="shared" si="6"/>
        <v>280646.94655574847</v>
      </c>
      <c r="AA58" s="346">
        <f t="shared" si="6"/>
        <v>309838.04356030305</v>
      </c>
      <c r="AB58" s="346">
        <f t="shared" si="6"/>
        <v>311147.19023063499</v>
      </c>
      <c r="AC58" s="346">
        <f t="shared" si="6"/>
        <v>312918.99432787986</v>
      </c>
    </row>
    <row r="60" spans="4:30" x14ac:dyDescent="0.2">
      <c r="D60" s="3" t="s">
        <v>264</v>
      </c>
    </row>
    <row r="61" spans="4:30" x14ac:dyDescent="0.2">
      <c r="D61" s="3" t="s">
        <v>257</v>
      </c>
      <c r="E61" s="349" cm="1">
        <f t="array" ref="E61">SUMPRODUCT((E$44:E$57)*($D$44:$D$57=$D61))</f>
        <v>62651.835185184194</v>
      </c>
      <c r="F61" s="349" cm="1">
        <f t="array" ref="F61">SUMPRODUCT((F$44:F$57)*($D$44:$D$57=$D61))</f>
        <v>7842.9280062198604</v>
      </c>
      <c r="G61" s="349" cm="1">
        <f t="array" ref="G61">SUMPRODUCT((G$44:G$57)*($D$44:$D$57=$D61))</f>
        <v>7987.970400615679</v>
      </c>
      <c r="H61" s="349" cm="1">
        <f t="array" ref="H61">SUMPRODUCT((H$44:H$57)*($D$44:$D$57=$D61))</f>
        <v>8034.3897463371113</v>
      </c>
      <c r="I61" s="349" cm="1">
        <f t="array" ref="I61">SUMPRODUCT((I$44:I$57)*($D$44:$D$57=$D61))</f>
        <v>8116.9560092453812</v>
      </c>
      <c r="J61" s="349" cm="1">
        <f t="array" ref="J61">SUMPRODUCT((J$44:J$57)*($D$44:$D$57=$D61))</f>
        <v>8407.7679695738479</v>
      </c>
      <c r="K61" s="349" cm="1">
        <f t="array" ref="K61">SUMPRODUCT((K$44:K$57)*($D$44:$D$57=$D61))</f>
        <v>8862.7347333174512</v>
      </c>
      <c r="L61" s="349" cm="1">
        <f t="array" ref="L61">SUMPRODUCT((L$44:L$57)*($D$44:$D$57=$D61))</f>
        <v>9507.1739776820777</v>
      </c>
      <c r="M61" s="349" cm="1">
        <f t="array" ref="M61">SUMPRODUCT((M$44:M$57)*($D$44:$D$57=$D61))</f>
        <v>10268.821632668278</v>
      </c>
      <c r="N61" s="349" cm="1">
        <f t="array" ref="N61">SUMPRODUCT((N$44:N$57)*($D$44:$D$57=$D61))</f>
        <v>11353.382461591231</v>
      </c>
      <c r="O61" s="349" cm="1">
        <f t="array" ref="O61">SUMPRODUCT((O$44:O$57)*($D$44:$D$57=$D61))</f>
        <v>12888.880221492038</v>
      </c>
      <c r="P61" s="349" cm="1">
        <f t="array" ref="P61">SUMPRODUCT((P$44:P$57)*($D$44:$D$57=$D61))</f>
        <v>15074.00649289385</v>
      </c>
      <c r="Q61" s="349" cm="1">
        <f t="array" ref="Q61">SUMPRODUCT((Q$44:Q$57)*($D$44:$D$57=$D61))</f>
        <v>18210.961811447385</v>
      </c>
      <c r="R61" s="349" cm="1">
        <f t="array" ref="R61">SUMPRODUCT((R$44:R$57)*($D$44:$D$57=$D61))</f>
        <v>22684.027064743921</v>
      </c>
      <c r="S61" s="349" cm="1">
        <f t="array" ref="S61">SUMPRODUCT((S$44:S$57)*($D$44:$D$57=$D61))</f>
        <v>29079.166203874945</v>
      </c>
      <c r="T61" s="349" cm="1">
        <f t="array" ref="T61">SUMPRODUCT((T$44:T$57)*($D$44:$D$57=$D61))</f>
        <v>38243.599620792163</v>
      </c>
      <c r="U61" s="349" cm="1">
        <f t="array" ref="U61">SUMPRODUCT((U$44:U$57)*($D$44:$D$57=$D61))</f>
        <v>51403.436571400627</v>
      </c>
      <c r="V61" s="349" cm="1">
        <f t="array" ref="V61">SUMPRODUCT((V$44:V$57)*($D$44:$D$57=$D61))</f>
        <v>70334.591380323051</v>
      </c>
      <c r="W61" s="349" cm="1">
        <f t="array" ref="W61">SUMPRODUCT((W$44:W$57)*($D$44:$D$57=$D61))</f>
        <v>97611.294525528385</v>
      </c>
      <c r="X61" s="349" cm="1">
        <f t="array" ref="X61">SUMPRODUCT((X$44:X$57)*($D$44:$D$57=$D61))</f>
        <v>136967.12190589879</v>
      </c>
      <c r="Y61" s="349" cm="1">
        <f t="array" ref="Y61">SUMPRODUCT((Y$44:Y$57)*($D$44:$D$57=$D61))</f>
        <v>144255.98176000782</v>
      </c>
      <c r="Z61" s="349" cm="1">
        <f t="array" ref="Z61">SUMPRODUCT((Z$44:Z$57)*($D$44:$D$57=$D61))</f>
        <v>144807.49275204446</v>
      </c>
      <c r="AA61" s="349" cm="1">
        <f t="array" ref="AA61">SUMPRODUCT((AA$44:AA$57)*($D$44:$D$57=$D61))</f>
        <v>145479.72434731547</v>
      </c>
      <c r="AB61" s="349" cm="1">
        <f t="array" ref="AB61">SUMPRODUCT((AB$44:AB$57)*($D$44:$D$57=$D61))</f>
        <v>145649.93107680473</v>
      </c>
      <c r="AC61" s="349" cm="1">
        <f t="array" ref="AC61">SUMPRODUCT((AC$44:AC$57)*($D$44:$D$57=$D61))</f>
        <v>145850.63087580792</v>
      </c>
    </row>
    <row r="62" spans="4:30" x14ac:dyDescent="0.2">
      <c r="D62" s="3" t="s">
        <v>307</v>
      </c>
      <c r="E62" s="349" cm="1">
        <f t="array" ref="E62">SUMPRODUCT((E$44:E$57)*($D$44:$D$57=$D62))</f>
        <v>2031.4305734685131</v>
      </c>
      <c r="F62" s="349" cm="1">
        <f t="array" ref="F62">SUMPRODUCT((F$44:F$57)*($D$44:$D$57=$D62))</f>
        <v>647.51217572896735</v>
      </c>
      <c r="G62" s="349" cm="1">
        <f t="array" ref="G62">SUMPRODUCT((G$44:G$57)*($D$44:$D$57=$D62))</f>
        <v>655.45210807225374</v>
      </c>
      <c r="H62" s="349" cm="1">
        <f t="array" ref="H62">SUMPRODUCT((H$44:H$57)*($D$44:$D$57=$D62))</f>
        <v>665.22002947962881</v>
      </c>
      <c r="I62" s="349" cm="1">
        <f t="array" ref="I62">SUMPRODUCT((I$44:I$57)*($D$44:$D$57=$D62))</f>
        <v>680.662796527723</v>
      </c>
      <c r="J62" s="349" cm="1">
        <f t="array" ref="J62">SUMPRODUCT((J$44:J$57)*($D$44:$D$57=$D62))</f>
        <v>707.68637862072012</v>
      </c>
      <c r="K62" s="349" cm="1">
        <f t="array" ref="K62">SUMPRODUCT((K$44:K$57)*($D$44:$D$57=$D62))</f>
        <v>787.16271343039489</v>
      </c>
      <c r="L62" s="349" cm="1">
        <f t="array" ref="L62">SUMPRODUCT((L$44:L$57)*($D$44:$D$57=$D62))</f>
        <v>931.87504469610576</v>
      </c>
      <c r="M62" s="349" cm="1">
        <f t="array" ref="M62">SUMPRODUCT((M$44:M$57)*($D$44:$D$57=$D62))</f>
        <v>1127.5291416869602</v>
      </c>
      <c r="N62" s="349" cm="1">
        <f t="array" ref="N62">SUMPRODUCT((N$44:N$57)*($D$44:$D$57=$D62))</f>
        <v>1393.4745314452641</v>
      </c>
      <c r="O62" s="349" cm="1">
        <f t="array" ref="O62">SUMPRODUCT((O$44:O$57)*($D$44:$D$57=$D62))</f>
        <v>1756.7764242840765</v>
      </c>
      <c r="P62" s="349" cm="1">
        <f t="array" ref="P62">SUMPRODUCT((P$44:P$57)*($D$44:$D$57=$D62))</f>
        <v>2255.600069089985</v>
      </c>
      <c r="Q62" s="349" cm="1">
        <f t="array" ref="Q62">SUMPRODUCT((Q$44:Q$57)*($D$44:$D$57=$D62))</f>
        <v>2944.4297248604075</v>
      </c>
      <c r="R62" s="349" cm="1">
        <f t="array" ref="R62">SUMPRODUCT((R$44:R$57)*($D$44:$D$57=$D62))</f>
        <v>3897.3384493048347</v>
      </c>
      <c r="S62" s="349" cm="1">
        <f t="array" ref="S62">SUMPRODUCT((S$44:S$57)*($D$44:$D$57=$D62))</f>
        <v>5220.4507174638202</v>
      </c>
      <c r="T62" s="349" cm="1">
        <f t="array" ref="T62">SUMPRODUCT((T$44:T$57)*($D$44:$D$57=$D62))</f>
        <v>7063.8073857565414</v>
      </c>
      <c r="U62" s="349" cm="1">
        <f t="array" ref="U62">SUMPRODUCT((U$44:U$57)*($D$44:$D$57=$D62))</f>
        <v>9639.8800964921174</v>
      </c>
      <c r="V62" s="349" cm="1">
        <f t="array" ref="V62">SUMPRODUCT((V$44:V$57)*($D$44:$D$57=$D62))</f>
        <v>13249.985128465798</v>
      </c>
      <c r="W62" s="349" cm="1">
        <f t="array" ref="W62">SUMPRODUCT((W$44:W$57)*($D$44:$D$57=$D62))</f>
        <v>18371.118003329691</v>
      </c>
      <c r="X62" s="349" cm="1">
        <f t="array" ref="X62">SUMPRODUCT((X$44:X$57)*($D$44:$D$57=$D62))</f>
        <v>25610.529944637416</v>
      </c>
      <c r="Y62" s="349" cm="1">
        <f t="array" ref="Y62">SUMPRODUCT((Y$44:Y$57)*($D$44:$D$57=$D62))</f>
        <v>33656.855463182321</v>
      </c>
      <c r="Z62" s="349" cm="1">
        <f t="array" ref="Z62">SUMPRODUCT((Z$44:Z$57)*($D$44:$D$57=$D62))</f>
        <v>44520.573660765964</v>
      </c>
      <c r="AA62" s="349" cm="1">
        <f t="array" ref="AA62">SUMPRODUCT((AA$44:AA$57)*($D$44:$D$57=$D62))</f>
        <v>57814.661202507064</v>
      </c>
      <c r="AB62" s="349" cm="1">
        <f t="array" ref="AB62">SUMPRODUCT((AB$44:AB$57)*($D$44:$D$57=$D62))</f>
        <v>58177.516597867412</v>
      </c>
      <c r="AC62" s="349" cm="1">
        <f t="array" ref="AC62">SUMPRODUCT((AC$44:AC$57)*($D$44:$D$57=$D62))</f>
        <v>58681.509095731213</v>
      </c>
    </row>
    <row r="63" spans="4:30" x14ac:dyDescent="0.2">
      <c r="D63" s="3" t="s">
        <v>319</v>
      </c>
      <c r="E63" s="349" cm="1">
        <f t="array" ref="E63">SUMPRODUCT((E$44:E$57)*($D$44:$D$57=$D63))</f>
        <v>11476.569259017157</v>
      </c>
      <c r="F63" s="349" cm="1">
        <f t="array" ref="F63">SUMPRODUCT((F$44:F$57)*($D$44:$D$57=$D63))</f>
        <v>1953.1879113228133</v>
      </c>
      <c r="G63" s="349" cm="1">
        <f t="array" ref="G63">SUMPRODUCT((G$44:G$57)*($D$44:$D$57=$D63))</f>
        <v>1962.9287133838632</v>
      </c>
      <c r="H63" s="349" cm="1">
        <f t="array" ref="H63">SUMPRODUCT((H$44:H$57)*($D$44:$D$57=$D63))</f>
        <v>1974.9121138542189</v>
      </c>
      <c r="I63" s="349" cm="1">
        <f t="array" ref="I63">SUMPRODUCT((I$44:I$57)*($D$44:$D$57=$D63))</f>
        <v>2020.5785771536014</v>
      </c>
      <c r="J63" s="349" cm="1">
        <f t="array" ref="J63">SUMPRODUCT((J$44:J$57)*($D$44:$D$57=$D63))</f>
        <v>2149.1928507937346</v>
      </c>
      <c r="K63" s="349" cm="1">
        <f t="array" ref="K63">SUMPRODUCT((K$44:K$57)*($D$44:$D$57=$D63))</f>
        <v>2368.650014663659</v>
      </c>
      <c r="L63" s="349" cm="1">
        <f t="array" ref="L63">SUMPRODUCT((L$44:L$57)*($D$44:$D$57=$D63))</f>
        <v>2707.767542964928</v>
      </c>
      <c r="M63" s="349" cm="1">
        <f t="array" ref="M63">SUMPRODUCT((M$44:M$57)*($D$44:$D$57=$D63))</f>
        <v>3175.8298407776083</v>
      </c>
      <c r="N63" s="349" cm="1">
        <f t="array" ref="N63">SUMPRODUCT((N$44:N$57)*($D$44:$D$57=$D63))</f>
        <v>3825.1636603773486</v>
      </c>
      <c r="O63" s="349" cm="1">
        <f t="array" ref="O63">SUMPRODUCT((O$44:O$57)*($D$44:$D$57=$D63))</f>
        <v>4730.1860714995</v>
      </c>
      <c r="P63" s="349" cm="1">
        <f t="array" ref="P63">SUMPRODUCT((P$44:P$57)*($D$44:$D$57=$D63))</f>
        <v>5998.5820177713886</v>
      </c>
      <c r="Q63" s="349" cm="1">
        <f t="array" ref="Q63">SUMPRODUCT((Q$44:Q$57)*($D$44:$D$57=$D63))</f>
        <v>7790.5551191466257</v>
      </c>
      <c r="R63" s="349" cm="1">
        <f t="array" ref="R63">SUMPRODUCT((R$44:R$57)*($D$44:$D$57=$D63))</f>
        <v>10314.431512096626</v>
      </c>
      <c r="S63" s="349" cm="1">
        <f t="array" ref="S63">SUMPRODUCT((S$44:S$57)*($D$44:$D$57=$D63))</f>
        <v>13881.063955352716</v>
      </c>
      <c r="T63" s="349" cm="1">
        <f t="array" ref="T63">SUMPRODUCT((T$44:T$57)*($D$44:$D$57=$D63))</f>
        <v>18936.421534671841</v>
      </c>
      <c r="U63" s="349" cm="1">
        <f t="array" ref="U63">SUMPRODUCT((U$44:U$57)*($D$44:$D$57=$D63))</f>
        <v>26121.160724584741</v>
      </c>
      <c r="V63" s="349" cm="1">
        <f t="array" ref="V63">SUMPRODUCT((V$44:V$57)*($D$44:$D$57=$D63))</f>
        <v>36356.697278872271</v>
      </c>
      <c r="W63" s="349" cm="1">
        <f t="array" ref="W63">SUMPRODUCT((W$44:W$57)*($D$44:$D$57=$D63))</f>
        <v>51060.81331084983</v>
      </c>
      <c r="X63" s="349" cm="1">
        <f t="array" ref="X63">SUMPRODUCT((X$44:X$57)*($D$44:$D$57=$D63))</f>
        <v>72143.332594504274</v>
      </c>
      <c r="Y63" s="349" cm="1">
        <f t="array" ref="Y63">SUMPRODUCT((Y$44:Y$57)*($D$44:$D$57=$D63))</f>
        <v>82707.567518116935</v>
      </c>
      <c r="Z63" s="349" cm="1">
        <f t="array" ref="Z63">SUMPRODUCT((Z$44:Z$57)*($D$44:$D$57=$D63))</f>
        <v>93676.719036552531</v>
      </c>
      <c r="AA63" s="349" cm="1">
        <f t="array" ref="AA63">SUMPRODUCT((AA$44:AA$57)*($D$44:$D$57=$D63))</f>
        <v>107029.77585205981</v>
      </c>
      <c r="AB63" s="349" cm="1">
        <f t="array" ref="AB63">SUMPRODUCT((AB$44:AB$57)*($D$44:$D$57=$D63))</f>
        <v>107755.36110441686</v>
      </c>
      <c r="AC63" s="349" cm="1">
        <f t="array" ref="AC63">SUMPRODUCT((AC$44:AC$57)*($D$44:$D$57=$D63))</f>
        <v>108752.19782400024</v>
      </c>
    </row>
    <row r="64" spans="4:30" x14ac:dyDescent="0.2">
      <c r="D64" s="3" t="s">
        <v>320</v>
      </c>
      <c r="E64" s="349" cm="1">
        <f t="array" ref="E64">SUMPRODUCT((E$44:E$57)*($D$44:$D$57=$D64))</f>
        <v>762</v>
      </c>
      <c r="F64" s="349" cm="1">
        <f t="array" ref="F64">SUMPRODUCT((F$44:F$57)*($D$44:$D$57=$D64))</f>
        <v>76.199999999999974</v>
      </c>
      <c r="G64" s="349" cm="1">
        <f t="array" ref="G64">SUMPRODUCT((G$44:G$57)*($D$44:$D$57=$D64))</f>
        <v>76.199999999999974</v>
      </c>
      <c r="H64" s="349" cm="1">
        <f t="array" ref="H64">SUMPRODUCT((H$44:H$57)*($D$44:$D$57=$D64))</f>
        <v>76.199999999999974</v>
      </c>
      <c r="I64" s="349" cm="1">
        <f t="array" ref="I64">SUMPRODUCT((I$44:I$57)*($D$44:$D$57=$D64))</f>
        <v>76.199999999999974</v>
      </c>
      <c r="J64" s="349" cm="1">
        <f t="array" ref="J64">SUMPRODUCT((J$44:J$57)*($D$44:$D$57=$D64))</f>
        <v>76.199999999999974</v>
      </c>
      <c r="K64" s="349" cm="1">
        <f t="array" ref="K64">SUMPRODUCT((K$44:K$57)*($D$44:$D$57=$D64))</f>
        <v>76.199999999999974</v>
      </c>
      <c r="L64" s="349" cm="1">
        <f t="array" ref="L64">SUMPRODUCT((L$44:L$57)*($D$44:$D$57=$D64))</f>
        <v>76.199999999999974</v>
      </c>
      <c r="M64" s="349" cm="1">
        <f t="array" ref="M64">SUMPRODUCT((M$44:M$57)*($D$44:$D$57=$D64))</f>
        <v>76.199999999999974</v>
      </c>
      <c r="N64" s="349" cm="1">
        <f t="array" ref="N64">SUMPRODUCT((N$44:N$57)*($D$44:$D$57=$D64))</f>
        <v>76.199999999999974</v>
      </c>
      <c r="O64" s="349" cm="1">
        <f t="array" ref="O64">SUMPRODUCT((O$44:O$57)*($D$44:$D$57=$D64))</f>
        <v>76.199999999999974</v>
      </c>
      <c r="P64" s="349" cm="1">
        <f t="array" ref="P64">SUMPRODUCT((P$44:P$57)*($D$44:$D$57=$D64))</f>
        <v>76.199999999999974</v>
      </c>
      <c r="Q64" s="349" cm="1">
        <f t="array" ref="Q64">SUMPRODUCT((Q$44:Q$57)*($D$44:$D$57=$D64))</f>
        <v>76.199999999999974</v>
      </c>
      <c r="R64" s="349" cm="1">
        <f t="array" ref="R64">SUMPRODUCT((R$44:R$57)*($D$44:$D$57=$D64))</f>
        <v>76.199999999999974</v>
      </c>
      <c r="S64" s="349" cm="1">
        <f t="array" ref="S64">SUMPRODUCT((S$44:S$57)*($D$44:$D$57=$D64))</f>
        <v>76.199999999999974</v>
      </c>
      <c r="T64" s="349" cm="1">
        <f t="array" ref="T64">SUMPRODUCT((T$44:T$57)*($D$44:$D$57=$D64))</f>
        <v>76.199999999999974</v>
      </c>
      <c r="U64" s="349" cm="1">
        <f t="array" ref="U64">SUMPRODUCT((U$44:U$57)*($D$44:$D$57=$D64))</f>
        <v>76.199999999999974</v>
      </c>
      <c r="V64" s="349" cm="1">
        <f t="array" ref="V64">SUMPRODUCT((V$44:V$57)*($D$44:$D$57=$D64))</f>
        <v>76.199999999999974</v>
      </c>
      <c r="W64" s="349" cm="1">
        <f t="array" ref="W64">SUMPRODUCT((W$44:W$57)*($D$44:$D$57=$D64))</f>
        <v>76.199999999999974</v>
      </c>
      <c r="X64" s="349" cm="1">
        <f t="array" ref="X64">SUMPRODUCT((X$44:X$57)*($D$44:$D$57=$D64))</f>
        <v>76.199999999999974</v>
      </c>
      <c r="Y64" s="349" cm="1">
        <f t="array" ref="Y64">SUMPRODUCT((Y$44:Y$57)*($D$44:$D$57=$D64))</f>
        <v>76.199999999999974</v>
      </c>
      <c r="Z64" s="349" cm="1">
        <f t="array" ref="Z64">SUMPRODUCT((Z$44:Z$57)*($D$44:$D$57=$D64))</f>
        <v>76.199999999999974</v>
      </c>
      <c r="AA64" s="349" cm="1">
        <f t="array" ref="AA64">SUMPRODUCT((AA$44:AA$57)*($D$44:$D$57=$D64))</f>
        <v>76.199999999999974</v>
      </c>
      <c r="AB64" s="349" cm="1">
        <f t="array" ref="AB64">SUMPRODUCT((AB$44:AB$57)*($D$44:$D$57=$D64))</f>
        <v>76.199999999999974</v>
      </c>
      <c r="AC64" s="349" cm="1">
        <f t="array" ref="AC64">SUMPRODUCT((AC$44:AC$57)*($D$44:$D$57=$D64))</f>
        <v>76.199999999999974</v>
      </c>
    </row>
    <row r="65" spans="2:29" s="362" customFormat="1" x14ac:dyDescent="0.2">
      <c r="D65" s="3" t="s">
        <v>308</v>
      </c>
      <c r="E65" s="349" cm="1">
        <f t="array" ref="E65">SUMPRODUCT((E$44:E$57)*($D$44:$D$57=$D65))</f>
        <v>207.68260030401137</v>
      </c>
      <c r="F65" s="349" cm="1">
        <f t="array" ref="F65">SUMPRODUCT((F$44:F$57)*($D$44:$D$57=$D65))</f>
        <v>80.194343985339714</v>
      </c>
      <c r="G65" s="349" cm="1">
        <f t="array" ref="G65">SUMPRODUCT((G$44:G$57)*($D$44:$D$57=$D65))</f>
        <v>81.312593719302868</v>
      </c>
      <c r="H65" s="349" cm="1">
        <f t="array" ref="H65">SUMPRODUCT((H$44:H$57)*($D$44:$D$57=$D65))</f>
        <v>82.688295053131753</v>
      </c>
      <c r="I65" s="349" cm="1">
        <f t="array" ref="I65">SUMPRODUCT((I$44:I$57)*($D$44:$D$57=$D65))</f>
        <v>84.57193586533613</v>
      </c>
      <c r="J65" s="349" cm="1">
        <f t="array" ref="J65">SUMPRODUCT((J$44:J$57)*($D$44:$D$57=$D65))</f>
        <v>87.33723507208849</v>
      </c>
      <c r="K65" s="349" cm="1">
        <f t="array" ref="K65">SUMPRODUCT((K$44:K$57)*($D$44:$D$57=$D65))</f>
        <v>97.081838299549077</v>
      </c>
      <c r="L65" s="349" cm="1">
        <f t="array" ref="L65">SUMPRODUCT((L$44:L$57)*($D$44:$D$57=$D65))</f>
        <v>115.43609143894327</v>
      </c>
      <c r="M65" s="349" cm="1">
        <f t="array" ref="M65">SUMPRODUCT((M$44:M$57)*($D$44:$D$57=$D65))</f>
        <v>140.14355542808249</v>
      </c>
      <c r="N65" s="349" cm="1">
        <f t="array" ref="N65">SUMPRODUCT((N$44:N$57)*($D$44:$D$57=$D65))</f>
        <v>173.58011307798702</v>
      </c>
      <c r="O65" s="349" cm="1">
        <f t="array" ref="O65">SUMPRODUCT((O$44:O$57)*($D$44:$D$57=$D65))</f>
        <v>219.0555754655341</v>
      </c>
      <c r="P65" s="349" cm="1">
        <f t="array" ref="P65">SUMPRODUCT((P$44:P$57)*($D$44:$D$57=$D65))</f>
        <v>281.20744783819777</v>
      </c>
      <c r="Q65" s="349" cm="1">
        <f t="array" ref="Q65">SUMPRODUCT((Q$44:Q$57)*($D$44:$D$57=$D65))</f>
        <v>366.58680461834621</v>
      </c>
      <c r="R65" s="349" cm="1">
        <f t="array" ref="R65">SUMPRODUCT((R$44:R$57)*($D$44:$D$57=$D65))</f>
        <v>484.19943689828773</v>
      </c>
      <c r="S65" s="349" cm="1">
        <f t="array" ref="S65">SUMPRODUCT((S$44:S$57)*($D$44:$D$57=$D65))</f>
        <v>646.81553712997106</v>
      </c>
      <c r="T65" s="349" cm="1">
        <f t="array" ref="T65">SUMPRODUCT((T$44:T$57)*($D$44:$D$57=$D65))</f>
        <v>872.41966323243639</v>
      </c>
      <c r="U65" s="349" cm="1">
        <f t="array" ref="U65">SUMPRODUCT((U$44:U$57)*($D$44:$D$57=$D65))</f>
        <v>1186.3810156449922</v>
      </c>
      <c r="V65" s="349" cm="1">
        <f t="array" ref="V65">SUMPRODUCT((V$44:V$57)*($D$44:$D$57=$D65))</f>
        <v>1624.5381245338194</v>
      </c>
      <c r="W65" s="349" cm="1">
        <f t="array" ref="W65">SUMPRODUCT((W$44:W$57)*($D$44:$D$57=$D65))</f>
        <v>2244.5087893705299</v>
      </c>
      <c r="X65" s="349" cm="1">
        <f t="array" ref="X65">SUMPRODUCT((X$44:X$57)*($D$44:$D$57=$D65))</f>
        <v>3117.9416637663376</v>
      </c>
      <c r="Y65" s="349" cm="1">
        <f t="array" ref="Y65">SUMPRODUCT((Y$44:Y$57)*($D$44:$D$57=$D65))</f>
        <v>4225.0648449489645</v>
      </c>
      <c r="Z65" s="349" cm="1">
        <f t="array" ref="Z65">SUMPRODUCT((Z$44:Z$57)*($D$44:$D$57=$D65))</f>
        <v>5754.5880284297582</v>
      </c>
      <c r="AA65" s="349" cm="1">
        <f t="array" ref="AA65">SUMPRODUCT((AA$44:AA$57)*($D$44:$D$57=$D65))</f>
        <v>7626.3090804649473</v>
      </c>
      <c r="AB65" s="349" cm="1">
        <f t="array" ref="AB65">SUMPRODUCT((AB$44:AB$57)*($D$44:$D$57=$D65))</f>
        <v>7676.8083735902228</v>
      </c>
      <c r="AC65" s="349" cm="1">
        <f t="array" ref="AC65">SUMPRODUCT((AC$44:AC$57)*($D$44:$D$57=$D65))</f>
        <v>7747.0834543847213</v>
      </c>
    </row>
    <row r="66" spans="2:29" x14ac:dyDescent="0.2">
      <c r="D66" s="3" t="s">
        <v>321</v>
      </c>
      <c r="E66" s="349" cm="1">
        <f t="array" ref="E66">SUMPRODUCT((E$44:E$57)*($D$44:$D$57=$D66))</f>
        <v>30000</v>
      </c>
      <c r="F66" s="349" cm="1">
        <f t="array" ref="F66">SUMPRODUCT((F$44:F$57)*($D$44:$D$57=$D66))</f>
        <v>0</v>
      </c>
      <c r="G66" s="349" cm="1">
        <f t="array" ref="G66">SUMPRODUCT((G$44:G$57)*($D$44:$D$57=$D66))</f>
        <v>0</v>
      </c>
      <c r="H66" s="349" cm="1">
        <f t="array" ref="H66">SUMPRODUCT((H$44:H$57)*($D$44:$D$57=$D66))</f>
        <v>0</v>
      </c>
      <c r="I66" s="349" cm="1">
        <f t="array" ref="I66">SUMPRODUCT((I$44:I$57)*($D$44:$D$57=$D66))</f>
        <v>0</v>
      </c>
      <c r="J66" s="349" cm="1">
        <f t="array" ref="J66">SUMPRODUCT((J$44:J$57)*($D$44:$D$57=$D66))</f>
        <v>0</v>
      </c>
      <c r="K66" s="349" cm="1">
        <f t="array" ref="K66">SUMPRODUCT((K$44:K$57)*($D$44:$D$57=$D66))</f>
        <v>0</v>
      </c>
      <c r="L66" s="349" cm="1">
        <f t="array" ref="L66">SUMPRODUCT((L$44:L$57)*($D$44:$D$57=$D66))</f>
        <v>0</v>
      </c>
      <c r="M66" s="349" cm="1">
        <f t="array" ref="M66">SUMPRODUCT((M$44:M$57)*($D$44:$D$57=$D66))</f>
        <v>0</v>
      </c>
      <c r="N66" s="349" cm="1">
        <f t="array" ref="N66">SUMPRODUCT((N$44:N$57)*($D$44:$D$57=$D66))</f>
        <v>0</v>
      </c>
      <c r="O66" s="349" cm="1">
        <f t="array" ref="O66">SUMPRODUCT((O$44:O$57)*($D$44:$D$57=$D66))</f>
        <v>0</v>
      </c>
      <c r="P66" s="349" cm="1">
        <f t="array" ref="P66">SUMPRODUCT((P$44:P$57)*($D$44:$D$57=$D66))</f>
        <v>0</v>
      </c>
      <c r="Q66" s="349" cm="1">
        <f t="array" ref="Q66">SUMPRODUCT((Q$44:Q$57)*($D$44:$D$57=$D66))</f>
        <v>0</v>
      </c>
      <c r="R66" s="349" cm="1">
        <f t="array" ref="R66">SUMPRODUCT((R$44:R$57)*($D$44:$D$57=$D66))</f>
        <v>0</v>
      </c>
      <c r="S66" s="349" cm="1">
        <f t="array" ref="S66">SUMPRODUCT((S$44:S$57)*($D$44:$D$57=$D66))</f>
        <v>0</v>
      </c>
      <c r="T66" s="349" cm="1">
        <f t="array" ref="T66">SUMPRODUCT((T$44:T$57)*($D$44:$D$57=$D66))</f>
        <v>0</v>
      </c>
      <c r="U66" s="349" cm="1">
        <f t="array" ref="U66">SUMPRODUCT((U$44:U$57)*($D$44:$D$57=$D66))</f>
        <v>0</v>
      </c>
      <c r="V66" s="349" cm="1">
        <f t="array" ref="V66">SUMPRODUCT((V$44:V$57)*($D$44:$D$57=$D66))</f>
        <v>0</v>
      </c>
      <c r="W66" s="349" cm="1">
        <f t="array" ref="W66">SUMPRODUCT((W$44:W$57)*($D$44:$D$57=$D66))</f>
        <v>0</v>
      </c>
      <c r="X66" s="349" cm="1">
        <f t="array" ref="X66">SUMPRODUCT((X$44:X$57)*($D$44:$D$57=$D66))</f>
        <v>0</v>
      </c>
      <c r="Y66" s="349" cm="1">
        <f t="array" ref="Y66">SUMPRODUCT((Y$44:Y$57)*($D$44:$D$57=$D66))</f>
        <v>0</v>
      </c>
      <c r="Z66" s="349" cm="1">
        <f t="array" ref="Z66">SUMPRODUCT((Z$44:Z$57)*($D$44:$D$57=$D66))</f>
        <v>0</v>
      </c>
      <c r="AA66" s="349" cm="1">
        <f t="array" ref="AA66">SUMPRODUCT((AA$44:AA$57)*($D$44:$D$57=$D66))</f>
        <v>0</v>
      </c>
      <c r="AB66" s="349" cm="1">
        <f t="array" ref="AB66">SUMPRODUCT((AB$44:AB$57)*($D$44:$D$57=$D66))</f>
        <v>0</v>
      </c>
      <c r="AC66" s="349" cm="1">
        <f t="array" ref="AC66">SUMPRODUCT((AC$44:AC$57)*($D$44:$D$57=$D66))</f>
        <v>0</v>
      </c>
    </row>
    <row r="67" spans="2:29" x14ac:dyDescent="0.2">
      <c r="D67" s="347" t="s">
        <v>265</v>
      </c>
      <c r="E67" s="346">
        <f t="shared" ref="E67:AC67" si="7">SUM(E61:E66)</f>
        <v>107129.51761797386</v>
      </c>
      <c r="F67" s="346">
        <f t="shared" si="7"/>
        <v>10600.022437256983</v>
      </c>
      <c r="G67" s="346">
        <f t="shared" si="7"/>
        <v>10763.863815791099</v>
      </c>
      <c r="H67" s="346">
        <f t="shared" si="7"/>
        <v>10833.410184724093</v>
      </c>
      <c r="I67" s="346">
        <f t="shared" si="7"/>
        <v>10978.969318792044</v>
      </c>
      <c r="J67" s="346">
        <f t="shared" si="7"/>
        <v>11428.184434060393</v>
      </c>
      <c r="K67" s="346">
        <f t="shared" si="7"/>
        <v>12191.829299711055</v>
      </c>
      <c r="L67" s="346">
        <f t="shared" si="7"/>
        <v>13338.452656782056</v>
      </c>
      <c r="M67" s="346">
        <f t="shared" si="7"/>
        <v>14788.52417056093</v>
      </c>
      <c r="N67" s="346">
        <f t="shared" si="7"/>
        <v>16821.800766491833</v>
      </c>
      <c r="O67" s="346">
        <f t="shared" si="7"/>
        <v>19671.098292741146</v>
      </c>
      <c r="P67" s="346">
        <f t="shared" si="7"/>
        <v>23685.596027593423</v>
      </c>
      <c r="Q67" s="346">
        <f t="shared" si="7"/>
        <v>29388.733460072766</v>
      </c>
      <c r="R67" s="346">
        <f t="shared" si="7"/>
        <v>37456.196463043663</v>
      </c>
      <c r="S67" s="346">
        <f t="shared" si="7"/>
        <v>48903.696413821446</v>
      </c>
      <c r="T67" s="346">
        <f t="shared" si="7"/>
        <v>65192.44820445298</v>
      </c>
      <c r="U67" s="346">
        <f t="shared" si="7"/>
        <v>88427.058408122466</v>
      </c>
      <c r="V67" s="346">
        <f t="shared" si="7"/>
        <v>121642.01191219492</v>
      </c>
      <c r="W67" s="346">
        <f t="shared" si="7"/>
        <v>169363.93462907846</v>
      </c>
      <c r="X67" s="346">
        <f t="shared" si="7"/>
        <v>237915.12610880681</v>
      </c>
      <c r="Y67" s="346">
        <f t="shared" si="7"/>
        <v>264921.66958625603</v>
      </c>
      <c r="Z67" s="346">
        <f t="shared" si="7"/>
        <v>288835.57347779273</v>
      </c>
      <c r="AA67" s="346">
        <f t="shared" si="7"/>
        <v>318026.67048234731</v>
      </c>
      <c r="AB67" s="346">
        <f t="shared" si="7"/>
        <v>319335.81715267926</v>
      </c>
      <c r="AC67" s="346">
        <f t="shared" si="7"/>
        <v>321107.62124992412</v>
      </c>
    </row>
    <row r="70" spans="2:29" s="342" customFormat="1" x14ac:dyDescent="0.2">
      <c r="B70" s="334" t="str">
        <f>Workings_costs!B34</f>
        <v>Option 3 - Decomission switchboard, direct connect transformers and connect VR Cremorne feeders to RTS</v>
      </c>
    </row>
    <row r="72" spans="2:29" x14ac:dyDescent="0.2">
      <c r="E72" s="337" t="s">
        <v>19</v>
      </c>
      <c r="F72" s="337" t="str">
        <f t="shared" ref="F72:AC72" si="8">LEFT(E72,4)+1&amp;"-"&amp;RIGHT(E72,2)+1</f>
        <v>2027-28</v>
      </c>
      <c r="G72" s="337" t="str">
        <f t="shared" si="8"/>
        <v>2028-29</v>
      </c>
      <c r="H72" s="337" t="str">
        <f t="shared" si="8"/>
        <v>2029-30</v>
      </c>
      <c r="I72" s="337" t="str">
        <f t="shared" si="8"/>
        <v>2030-31</v>
      </c>
      <c r="J72" s="337" t="str">
        <f t="shared" si="8"/>
        <v>2031-32</v>
      </c>
      <c r="K72" s="337" t="str">
        <f t="shared" si="8"/>
        <v>2032-33</v>
      </c>
      <c r="L72" s="337" t="str">
        <f t="shared" si="8"/>
        <v>2033-34</v>
      </c>
      <c r="M72" s="337" t="str">
        <f t="shared" si="8"/>
        <v>2034-35</v>
      </c>
      <c r="N72" s="337" t="str">
        <f t="shared" si="8"/>
        <v>2035-36</v>
      </c>
      <c r="O72" s="337" t="str">
        <f t="shared" si="8"/>
        <v>2036-37</v>
      </c>
      <c r="P72" s="337" t="str">
        <f t="shared" si="8"/>
        <v>2037-38</v>
      </c>
      <c r="Q72" s="337" t="str">
        <f t="shared" si="8"/>
        <v>2038-39</v>
      </c>
      <c r="R72" s="337" t="str">
        <f t="shared" si="8"/>
        <v>2039-40</v>
      </c>
      <c r="S72" s="337" t="str">
        <f t="shared" si="8"/>
        <v>2040-41</v>
      </c>
      <c r="T72" s="337" t="str">
        <f t="shared" si="8"/>
        <v>2041-42</v>
      </c>
      <c r="U72" s="337" t="str">
        <f t="shared" si="8"/>
        <v>2042-43</v>
      </c>
      <c r="V72" s="337" t="str">
        <f t="shared" si="8"/>
        <v>2043-44</v>
      </c>
      <c r="W72" s="337" t="str">
        <f t="shared" si="8"/>
        <v>2044-45</v>
      </c>
      <c r="X72" s="337" t="str">
        <f t="shared" si="8"/>
        <v>2045-46</v>
      </c>
      <c r="Y72" s="337" t="str">
        <f t="shared" si="8"/>
        <v>2046-47</v>
      </c>
      <c r="Z72" s="337" t="str">
        <f t="shared" si="8"/>
        <v>2047-48</v>
      </c>
      <c r="AA72" s="337" t="str">
        <f t="shared" si="8"/>
        <v>2048-49</v>
      </c>
      <c r="AB72" s="337" t="str">
        <f t="shared" si="8"/>
        <v>2049-50</v>
      </c>
      <c r="AC72" s="337" t="str">
        <f t="shared" si="8"/>
        <v>2050-51</v>
      </c>
    </row>
    <row r="73" spans="2:29" x14ac:dyDescent="0.2">
      <c r="D73" s="3" t="s">
        <v>256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2:29" s="362" customFormat="1" x14ac:dyDescent="0.2"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2:29" x14ac:dyDescent="0.2">
      <c r="D75" s="362" t="s">
        <v>257</v>
      </c>
      <c r="E75" s="365">
        <v>61694.748328645939</v>
      </c>
      <c r="F75" s="365">
        <v>4130.2695355645619</v>
      </c>
      <c r="G75" s="365">
        <v>4217.0718427391266</v>
      </c>
      <c r="H75" s="365">
        <v>4244.7240626139101</v>
      </c>
      <c r="I75" s="365">
        <v>4247.2377432887042</v>
      </c>
      <c r="J75" s="365">
        <v>4254.2225835468062</v>
      </c>
      <c r="K75" s="365">
        <v>4293.0000602194223</v>
      </c>
      <c r="L75" s="365">
        <v>4351.2014821432504</v>
      </c>
      <c r="M75" s="365">
        <v>4346.8612090694742</v>
      </c>
      <c r="N75" s="365">
        <v>4346.8612090694742</v>
      </c>
      <c r="O75" s="365">
        <v>4346.8612090694742</v>
      </c>
      <c r="P75" s="365">
        <v>4346.8612090694742</v>
      </c>
      <c r="Q75" s="365">
        <v>4346.8612090694742</v>
      </c>
      <c r="R75" s="365">
        <v>4346.8612090694742</v>
      </c>
      <c r="S75" s="365">
        <v>4346.8612090694742</v>
      </c>
      <c r="T75" s="365">
        <v>4346.8612090694742</v>
      </c>
      <c r="U75" s="365">
        <v>4346.8612090694742</v>
      </c>
      <c r="V75" s="365">
        <v>4346.8612090694742</v>
      </c>
      <c r="W75" s="365">
        <v>4346.8612090694742</v>
      </c>
      <c r="X75" s="365">
        <v>4346.8612090694742</v>
      </c>
      <c r="Y75" s="365">
        <v>4346.8612090694742</v>
      </c>
      <c r="Z75" s="365">
        <v>4346.8612090694742</v>
      </c>
      <c r="AA75" s="365">
        <v>4346.8612090694742</v>
      </c>
      <c r="AB75" s="365">
        <v>4346.8612090694742</v>
      </c>
      <c r="AC75" s="365">
        <v>4346.8612090694742</v>
      </c>
    </row>
    <row r="76" spans="2:29" x14ac:dyDescent="0.2">
      <c r="D76" s="362" t="s">
        <v>307</v>
      </c>
      <c r="E76" s="365">
        <v>532.4346625500001</v>
      </c>
      <c r="F76" s="365">
        <v>42.594773003999997</v>
      </c>
      <c r="G76" s="365">
        <v>42.594773003999997</v>
      </c>
      <c r="H76" s="365">
        <v>42.594773003999997</v>
      </c>
      <c r="I76" s="365">
        <v>42.594773003999997</v>
      </c>
      <c r="J76" s="365">
        <v>42.594773003999997</v>
      </c>
      <c r="K76" s="365">
        <v>42.594773003999997</v>
      </c>
      <c r="L76" s="365">
        <v>42.594773003999997</v>
      </c>
      <c r="M76" s="365">
        <v>42.594773003999997</v>
      </c>
      <c r="N76" s="365">
        <v>42.594773003999997</v>
      </c>
      <c r="O76" s="365">
        <v>42.594773003999997</v>
      </c>
      <c r="P76" s="365">
        <v>42.594773003999997</v>
      </c>
      <c r="Q76" s="365">
        <v>42.594773003999997</v>
      </c>
      <c r="R76" s="365">
        <v>42.594773003999997</v>
      </c>
      <c r="S76" s="365">
        <v>42.594773003999997</v>
      </c>
      <c r="T76" s="365">
        <v>42.594773003999997</v>
      </c>
      <c r="U76" s="365">
        <v>42.594773003999997</v>
      </c>
      <c r="V76" s="365">
        <v>42.594773003999997</v>
      </c>
      <c r="W76" s="365">
        <v>42.594773003999997</v>
      </c>
      <c r="X76" s="365">
        <v>42.594773003999997</v>
      </c>
      <c r="Y76" s="365">
        <v>42.594773003999997</v>
      </c>
      <c r="Z76" s="365">
        <v>42.594773003999997</v>
      </c>
      <c r="AA76" s="365">
        <v>42.594773003999997</v>
      </c>
      <c r="AB76" s="365">
        <v>42.594773003999997</v>
      </c>
      <c r="AC76" s="365">
        <v>42.594773003999997</v>
      </c>
    </row>
    <row r="77" spans="2:29" x14ac:dyDescent="0.2">
      <c r="D77" s="362" t="s">
        <v>319</v>
      </c>
      <c r="E77" s="365">
        <v>8100</v>
      </c>
      <c r="F77" s="365">
        <v>486</v>
      </c>
      <c r="G77" s="365">
        <v>485.99999999999989</v>
      </c>
      <c r="H77" s="365">
        <v>485.99999999999989</v>
      </c>
      <c r="I77" s="365">
        <v>485.99999999999989</v>
      </c>
      <c r="J77" s="365">
        <v>485.99999999999989</v>
      </c>
      <c r="K77" s="365">
        <v>485.99999999999989</v>
      </c>
      <c r="L77" s="365">
        <v>485.99999999999989</v>
      </c>
      <c r="M77" s="365">
        <v>485.99999999999989</v>
      </c>
      <c r="N77" s="365">
        <v>485.99999999999989</v>
      </c>
      <c r="O77" s="365">
        <v>485.99999999999989</v>
      </c>
      <c r="P77" s="365">
        <v>485.99999999999989</v>
      </c>
      <c r="Q77" s="365">
        <v>485.99999999999989</v>
      </c>
      <c r="R77" s="365">
        <v>485.99999999999989</v>
      </c>
      <c r="S77" s="365">
        <v>485.99999999999989</v>
      </c>
      <c r="T77" s="365">
        <v>485.99999999999989</v>
      </c>
      <c r="U77" s="365">
        <v>485.99999999999989</v>
      </c>
      <c r="V77" s="365">
        <v>485.99999999999989</v>
      </c>
      <c r="W77" s="365">
        <v>485.99999999999989</v>
      </c>
      <c r="X77" s="365">
        <v>485.99999999999989</v>
      </c>
      <c r="Y77" s="365">
        <v>485.99999999999989</v>
      </c>
      <c r="Z77" s="365">
        <v>485.99999999999989</v>
      </c>
      <c r="AA77" s="365">
        <v>485.99999999999989</v>
      </c>
      <c r="AB77" s="365">
        <v>485.99999999999989</v>
      </c>
      <c r="AC77" s="365">
        <v>485.99999999999989</v>
      </c>
    </row>
    <row r="78" spans="2:29" s="362" customFormat="1" x14ac:dyDescent="0.2">
      <c r="D78" s="362" t="s">
        <v>320</v>
      </c>
      <c r="E78" s="365">
        <v>762</v>
      </c>
      <c r="F78" s="365">
        <v>76.199999999999974</v>
      </c>
      <c r="G78" s="365">
        <v>76.199999999999974</v>
      </c>
      <c r="H78" s="365">
        <v>76.199999999999974</v>
      </c>
      <c r="I78" s="365">
        <v>76.199999999999974</v>
      </c>
      <c r="J78" s="365">
        <v>76.199999999999974</v>
      </c>
      <c r="K78" s="365">
        <v>76.199999999999974</v>
      </c>
      <c r="L78" s="365">
        <v>76.199999999999974</v>
      </c>
      <c r="M78" s="365">
        <v>76.199999999999974</v>
      </c>
      <c r="N78" s="365">
        <v>76.199999999999974</v>
      </c>
      <c r="O78" s="365">
        <v>76.199999999999974</v>
      </c>
      <c r="P78" s="365">
        <v>76.199999999999974</v>
      </c>
      <c r="Q78" s="365">
        <v>76.199999999999974</v>
      </c>
      <c r="R78" s="365">
        <v>76.199999999999974</v>
      </c>
      <c r="S78" s="365">
        <v>76.199999999999974</v>
      </c>
      <c r="T78" s="365">
        <v>76.199999999999974</v>
      </c>
      <c r="U78" s="365">
        <v>76.199999999999974</v>
      </c>
      <c r="V78" s="365">
        <v>76.199999999999974</v>
      </c>
      <c r="W78" s="365">
        <v>76.199999999999974</v>
      </c>
      <c r="X78" s="365">
        <v>76.199999999999974</v>
      </c>
      <c r="Y78" s="365">
        <v>76.199999999999974</v>
      </c>
      <c r="Z78" s="365">
        <v>76.199999999999974</v>
      </c>
      <c r="AA78" s="365">
        <v>76.199999999999974</v>
      </c>
      <c r="AB78" s="365">
        <v>76.199999999999974</v>
      </c>
      <c r="AC78" s="365">
        <v>76.199999999999974</v>
      </c>
    </row>
    <row r="79" spans="2:29" x14ac:dyDescent="0.2">
      <c r="D79" s="362" t="s">
        <v>321</v>
      </c>
      <c r="E79" s="365">
        <v>30000</v>
      </c>
      <c r="F79" s="365">
        <v>0</v>
      </c>
      <c r="G79" s="365">
        <v>0</v>
      </c>
      <c r="H79" s="365">
        <v>0</v>
      </c>
      <c r="I79" s="365">
        <v>0</v>
      </c>
      <c r="J79" s="365">
        <v>0</v>
      </c>
      <c r="K79" s="365">
        <v>0</v>
      </c>
      <c r="L79" s="365">
        <v>0</v>
      </c>
      <c r="M79" s="365">
        <v>0</v>
      </c>
      <c r="N79" s="365">
        <v>0</v>
      </c>
      <c r="O79" s="365">
        <v>0</v>
      </c>
      <c r="P79" s="365">
        <v>0</v>
      </c>
      <c r="Q79" s="365">
        <v>0</v>
      </c>
      <c r="R79" s="365">
        <v>0</v>
      </c>
      <c r="S79" s="365">
        <v>0</v>
      </c>
      <c r="T79" s="365">
        <v>0</v>
      </c>
      <c r="U79" s="365">
        <v>0</v>
      </c>
      <c r="V79" s="365">
        <v>0</v>
      </c>
      <c r="W79" s="365">
        <v>0</v>
      </c>
      <c r="X79" s="365">
        <v>0</v>
      </c>
      <c r="Y79" s="365">
        <v>0</v>
      </c>
      <c r="Z79" s="365">
        <v>0</v>
      </c>
      <c r="AA79" s="365">
        <v>0</v>
      </c>
      <c r="AB79" s="365">
        <v>0</v>
      </c>
      <c r="AC79" s="365">
        <v>0</v>
      </c>
    </row>
    <row r="80" spans="2:29" x14ac:dyDescent="0.2">
      <c r="D80" s="347" t="s">
        <v>261</v>
      </c>
      <c r="E80" s="346">
        <f t="shared" ref="E80:AC80" si="9">SUM(E75:E79)</f>
        <v>101089.18299119594</v>
      </c>
      <c r="F80" s="346">
        <f t="shared" si="9"/>
        <v>4735.0643085685615</v>
      </c>
      <c r="G80" s="346">
        <f t="shared" si="9"/>
        <v>4821.8666157431262</v>
      </c>
      <c r="H80" s="346">
        <f t="shared" si="9"/>
        <v>4849.5188356179096</v>
      </c>
      <c r="I80" s="346">
        <f t="shared" si="9"/>
        <v>4852.0325162927038</v>
      </c>
      <c r="J80" s="346">
        <f t="shared" si="9"/>
        <v>4859.0173565508057</v>
      </c>
      <c r="K80" s="346">
        <f t="shared" si="9"/>
        <v>4897.7948332234218</v>
      </c>
      <c r="L80" s="346">
        <f t="shared" si="9"/>
        <v>4955.9962551472499</v>
      </c>
      <c r="M80" s="346">
        <f t="shared" si="9"/>
        <v>4951.6559820734738</v>
      </c>
      <c r="N80" s="346">
        <f t="shared" si="9"/>
        <v>4951.6559820734738</v>
      </c>
      <c r="O80" s="346">
        <f t="shared" si="9"/>
        <v>4951.6559820734738</v>
      </c>
      <c r="P80" s="346">
        <f t="shared" si="9"/>
        <v>4951.6559820734738</v>
      </c>
      <c r="Q80" s="346">
        <f t="shared" si="9"/>
        <v>4951.6559820734738</v>
      </c>
      <c r="R80" s="346">
        <f t="shared" si="9"/>
        <v>4951.6559820734738</v>
      </c>
      <c r="S80" s="346">
        <f t="shared" si="9"/>
        <v>4951.6559820734738</v>
      </c>
      <c r="T80" s="346">
        <f t="shared" si="9"/>
        <v>4951.6559820734738</v>
      </c>
      <c r="U80" s="346">
        <f t="shared" si="9"/>
        <v>4951.6559820734738</v>
      </c>
      <c r="V80" s="346">
        <f t="shared" si="9"/>
        <v>4951.6559820734738</v>
      </c>
      <c r="W80" s="346">
        <f t="shared" si="9"/>
        <v>4951.6559820734738</v>
      </c>
      <c r="X80" s="346">
        <f t="shared" si="9"/>
        <v>4951.6559820734738</v>
      </c>
      <c r="Y80" s="346">
        <f t="shared" si="9"/>
        <v>4951.6559820734738</v>
      </c>
      <c r="Z80" s="346">
        <f t="shared" si="9"/>
        <v>4951.6559820734738</v>
      </c>
      <c r="AA80" s="346">
        <f t="shared" si="9"/>
        <v>4951.6559820734738</v>
      </c>
      <c r="AB80" s="346">
        <f t="shared" si="9"/>
        <v>4951.6559820734738</v>
      </c>
      <c r="AC80" s="346">
        <f t="shared" si="9"/>
        <v>4951.6559820734738</v>
      </c>
    </row>
    <row r="82" spans="4:30" x14ac:dyDescent="0.2">
      <c r="D82" s="3" t="s">
        <v>262</v>
      </c>
    </row>
    <row r="83" spans="4:30" x14ac:dyDescent="0.2">
      <c r="D83" s="166" t="s">
        <v>308</v>
      </c>
      <c r="E83" s="339">
        <v>207.68260030401137</v>
      </c>
      <c r="F83" s="339">
        <v>80.194343985339714</v>
      </c>
      <c r="G83" s="339">
        <v>81.312593719302868</v>
      </c>
      <c r="H83" s="339">
        <v>82.688295053131753</v>
      </c>
      <c r="I83" s="339">
        <v>84.57193586533613</v>
      </c>
      <c r="J83" s="339">
        <v>87.33723507208849</v>
      </c>
      <c r="K83" s="339">
        <v>97.081838299549077</v>
      </c>
      <c r="L83" s="339">
        <v>115.43609143894327</v>
      </c>
      <c r="M83" s="339">
        <v>140.14355542808249</v>
      </c>
      <c r="N83" s="339">
        <v>173.58011307798702</v>
      </c>
      <c r="O83" s="339">
        <v>219.0555754655341</v>
      </c>
      <c r="P83" s="339">
        <v>281.20744783819777</v>
      </c>
      <c r="Q83" s="339">
        <v>366.58680461834621</v>
      </c>
      <c r="R83" s="339">
        <v>484.19943689828773</v>
      </c>
      <c r="S83" s="339">
        <v>646.81553712997106</v>
      </c>
      <c r="T83" s="339">
        <v>872.41966323243639</v>
      </c>
      <c r="U83" s="339">
        <v>1186.3810156449922</v>
      </c>
      <c r="V83" s="339">
        <v>1624.5381245338194</v>
      </c>
      <c r="W83" s="339">
        <v>2244.5087893705299</v>
      </c>
      <c r="X83" s="339">
        <v>3117.9416637663376</v>
      </c>
      <c r="Y83" s="339">
        <v>4225.0648449489645</v>
      </c>
      <c r="Z83" s="339">
        <v>5754.5880284297582</v>
      </c>
      <c r="AA83" s="339">
        <v>7626.3090804649473</v>
      </c>
      <c r="AB83" s="339">
        <v>7676.8083735902228</v>
      </c>
      <c r="AC83" s="339">
        <v>7747.0834543847213</v>
      </c>
      <c r="AD83" s="344"/>
    </row>
    <row r="84" spans="4:30" s="348" customFormat="1" x14ac:dyDescent="0.2">
      <c r="D84" s="166" t="s">
        <v>257</v>
      </c>
      <c r="E84" s="339">
        <v>957.08685653825819</v>
      </c>
      <c r="F84" s="339">
        <v>955.07232150876428</v>
      </c>
      <c r="G84" s="339">
        <v>955.30651456923033</v>
      </c>
      <c r="H84" s="339">
        <v>955.5946252621028</v>
      </c>
      <c r="I84" s="339">
        <v>1033.967898449768</v>
      </c>
      <c r="J84" s="339">
        <v>1313.1271524999879</v>
      </c>
      <c r="K84" s="339">
        <v>1703.4039717762751</v>
      </c>
      <c r="L84" s="339">
        <v>2250.7495403737835</v>
      </c>
      <c r="M84" s="339">
        <v>3019.6381768790579</v>
      </c>
      <c r="N84" s="339">
        <v>4104.1990058020119</v>
      </c>
      <c r="O84" s="339">
        <v>5639.696765702819</v>
      </c>
      <c r="P84" s="339">
        <v>7824.8230371046311</v>
      </c>
      <c r="Q84" s="339">
        <v>10961.778355658165</v>
      </c>
      <c r="R84" s="339">
        <v>15434.843608954701</v>
      </c>
      <c r="S84" s="339">
        <v>21829.982748085728</v>
      </c>
      <c r="T84" s="339">
        <v>30994.416165002945</v>
      </c>
      <c r="U84" s="339">
        <v>44154.253115611406</v>
      </c>
      <c r="V84" s="339">
        <v>63085.407924533829</v>
      </c>
      <c r="W84" s="339">
        <v>90362.11106973917</v>
      </c>
      <c r="X84" s="339">
        <v>129717.93845010956</v>
      </c>
      <c r="Y84" s="339">
        <v>137006.7983042186</v>
      </c>
      <c r="Z84" s="339">
        <v>137558.30929625523</v>
      </c>
      <c r="AA84" s="339">
        <v>138230.54089152624</v>
      </c>
      <c r="AB84" s="339">
        <v>138400.7476210155</v>
      </c>
      <c r="AC84" s="339">
        <v>138601.4474200187</v>
      </c>
      <c r="AD84" s="352"/>
    </row>
    <row r="85" spans="4:30" x14ac:dyDescent="0.2">
      <c r="D85" s="362" t="s">
        <v>307</v>
      </c>
      <c r="E85" s="365">
        <v>1498.9959109185131</v>
      </c>
      <c r="F85" s="365">
        <v>594.26870947396731</v>
      </c>
      <c r="G85" s="365">
        <v>602.20864181725369</v>
      </c>
      <c r="H85" s="365">
        <v>611.97656322462876</v>
      </c>
      <c r="I85" s="365">
        <v>627.41933027272296</v>
      </c>
      <c r="J85" s="365">
        <v>654.44291236572008</v>
      </c>
      <c r="K85" s="365">
        <v>733.91924717539484</v>
      </c>
      <c r="L85" s="365">
        <v>878.63157844110572</v>
      </c>
      <c r="M85" s="365">
        <v>1074.2856754319603</v>
      </c>
      <c r="N85" s="365">
        <v>1340.2310651902642</v>
      </c>
      <c r="O85" s="365">
        <v>1703.5329580290766</v>
      </c>
      <c r="P85" s="365">
        <v>2202.3566028349851</v>
      </c>
      <c r="Q85" s="365">
        <v>2891.1862586054076</v>
      </c>
      <c r="R85" s="365">
        <v>3844.0949830498348</v>
      </c>
      <c r="S85" s="365">
        <v>5167.2072512088198</v>
      </c>
      <c r="T85" s="365">
        <v>7010.563919501541</v>
      </c>
      <c r="U85" s="365">
        <v>9586.6366302371171</v>
      </c>
      <c r="V85" s="365">
        <v>13196.741662210798</v>
      </c>
      <c r="W85" s="365">
        <v>18317.874537074691</v>
      </c>
      <c r="X85" s="365">
        <v>25557.286478382415</v>
      </c>
      <c r="Y85" s="339">
        <v>33603.61199692732</v>
      </c>
      <c r="Z85" s="339">
        <v>44467.330194510963</v>
      </c>
      <c r="AA85" s="339">
        <v>57761.417736252064</v>
      </c>
      <c r="AB85" s="339">
        <v>58124.273131612412</v>
      </c>
      <c r="AC85" s="339">
        <v>58628.265629476213</v>
      </c>
      <c r="AD85" s="350"/>
    </row>
    <row r="86" spans="4:30" s="362" customFormat="1" x14ac:dyDescent="0.2">
      <c r="D86" s="362" t="s">
        <v>319</v>
      </c>
      <c r="E86" s="365">
        <v>3376.5692590171557</v>
      </c>
      <c r="F86" s="365">
        <v>1143.1879113228133</v>
      </c>
      <c r="G86" s="365">
        <v>1152.9287133838634</v>
      </c>
      <c r="H86" s="365">
        <v>1164.9121138542191</v>
      </c>
      <c r="I86" s="365">
        <v>1210.5785771536016</v>
      </c>
      <c r="J86" s="365">
        <v>1339.1928507937346</v>
      </c>
      <c r="K86" s="365">
        <v>1558.6500146636595</v>
      </c>
      <c r="L86" s="365">
        <v>1897.767542964928</v>
      </c>
      <c r="M86" s="365">
        <v>2365.8298407776088</v>
      </c>
      <c r="N86" s="365">
        <v>3015.1636603773491</v>
      </c>
      <c r="O86" s="365">
        <v>3920.1860714995005</v>
      </c>
      <c r="P86" s="365">
        <v>5188.5820177713886</v>
      </c>
      <c r="Q86" s="365">
        <v>6980.5551191466257</v>
      </c>
      <c r="R86" s="365">
        <v>9504.4315120966257</v>
      </c>
      <c r="S86" s="365">
        <v>13071.063955352716</v>
      </c>
      <c r="T86" s="365">
        <v>18126.421534671841</v>
      </c>
      <c r="U86" s="365">
        <v>25311.160724584741</v>
      </c>
      <c r="V86" s="365">
        <v>35546.697278872271</v>
      </c>
      <c r="W86" s="365">
        <v>50250.81331084983</v>
      </c>
      <c r="X86" s="365">
        <v>71333.332594504274</v>
      </c>
      <c r="Y86" s="339">
        <v>81897.567518116935</v>
      </c>
      <c r="Z86" s="339">
        <v>92866.719036552531</v>
      </c>
      <c r="AA86" s="339">
        <v>106219.77585205981</v>
      </c>
      <c r="AB86" s="339">
        <v>106945.36110441686</v>
      </c>
      <c r="AC86" s="339">
        <v>107942.19782400024</v>
      </c>
      <c r="AD86" s="350"/>
    </row>
    <row r="87" spans="4:30" s="362" customFormat="1" x14ac:dyDescent="0.2">
      <c r="D87" s="362" t="s">
        <v>320</v>
      </c>
      <c r="E87" s="365">
        <v>0</v>
      </c>
      <c r="F87" s="365">
        <v>0</v>
      </c>
      <c r="G87" s="365">
        <v>0</v>
      </c>
      <c r="H87" s="365">
        <v>0</v>
      </c>
      <c r="I87" s="365">
        <v>0</v>
      </c>
      <c r="J87" s="365">
        <v>0</v>
      </c>
      <c r="K87" s="365">
        <v>0</v>
      </c>
      <c r="L87" s="365">
        <v>0</v>
      </c>
      <c r="M87" s="365">
        <v>0</v>
      </c>
      <c r="N87" s="365">
        <v>0</v>
      </c>
      <c r="O87" s="365">
        <v>0</v>
      </c>
      <c r="P87" s="365">
        <v>0</v>
      </c>
      <c r="Q87" s="365">
        <v>0</v>
      </c>
      <c r="R87" s="365">
        <v>0</v>
      </c>
      <c r="S87" s="365">
        <v>0</v>
      </c>
      <c r="T87" s="365">
        <v>0</v>
      </c>
      <c r="U87" s="365">
        <v>0</v>
      </c>
      <c r="V87" s="365">
        <v>0</v>
      </c>
      <c r="W87" s="365">
        <v>0</v>
      </c>
      <c r="X87" s="365">
        <v>0</v>
      </c>
      <c r="Y87" s="339">
        <v>0</v>
      </c>
      <c r="Z87" s="339">
        <v>0</v>
      </c>
      <c r="AA87" s="339">
        <v>0</v>
      </c>
      <c r="AB87" s="339">
        <v>0</v>
      </c>
      <c r="AC87" s="339">
        <v>0</v>
      </c>
      <c r="AD87" s="350"/>
    </row>
    <row r="88" spans="4:30" x14ac:dyDescent="0.2">
      <c r="D88" s="362" t="s">
        <v>321</v>
      </c>
      <c r="E88" s="364">
        <v>0</v>
      </c>
      <c r="F88" s="365">
        <v>0</v>
      </c>
      <c r="G88" s="365">
        <v>0</v>
      </c>
      <c r="H88" s="365">
        <v>0</v>
      </c>
      <c r="I88" s="365">
        <v>0</v>
      </c>
      <c r="J88" s="365">
        <v>0</v>
      </c>
      <c r="K88" s="365">
        <v>0</v>
      </c>
      <c r="L88" s="365">
        <v>0</v>
      </c>
      <c r="M88" s="365">
        <v>0</v>
      </c>
      <c r="N88" s="365">
        <v>0</v>
      </c>
      <c r="O88" s="365">
        <v>0</v>
      </c>
      <c r="P88" s="365">
        <v>0</v>
      </c>
      <c r="Q88" s="365">
        <v>0</v>
      </c>
      <c r="R88" s="365">
        <v>0</v>
      </c>
      <c r="S88" s="365">
        <v>0</v>
      </c>
      <c r="T88" s="365">
        <v>0</v>
      </c>
      <c r="U88" s="365">
        <v>0</v>
      </c>
      <c r="V88" s="365">
        <v>0</v>
      </c>
      <c r="W88" s="365">
        <v>0</v>
      </c>
      <c r="X88" s="365">
        <v>0</v>
      </c>
      <c r="Y88" s="339">
        <v>0</v>
      </c>
      <c r="Z88" s="339">
        <v>0</v>
      </c>
      <c r="AA88" s="339">
        <v>0</v>
      </c>
      <c r="AB88" s="339">
        <v>0</v>
      </c>
      <c r="AC88" s="339">
        <v>0</v>
      </c>
      <c r="AD88" s="350"/>
    </row>
    <row r="89" spans="4:30" x14ac:dyDescent="0.2">
      <c r="D89" s="347" t="s">
        <v>263</v>
      </c>
      <c r="E89" s="346">
        <f t="shared" ref="E89:AC89" si="10">SUM(E83:E88)</f>
        <v>6040.334626777938</v>
      </c>
      <c r="F89" s="346">
        <f t="shared" si="10"/>
        <v>2772.7232862908845</v>
      </c>
      <c r="G89" s="346">
        <f t="shared" si="10"/>
        <v>2791.7564634896503</v>
      </c>
      <c r="H89" s="346">
        <f t="shared" si="10"/>
        <v>2815.1715973940827</v>
      </c>
      <c r="I89" s="346">
        <f t="shared" si="10"/>
        <v>2956.5377417414288</v>
      </c>
      <c r="J89" s="346">
        <f t="shared" si="10"/>
        <v>3394.1001507315314</v>
      </c>
      <c r="K89" s="346">
        <f t="shared" si="10"/>
        <v>4093.0550719148787</v>
      </c>
      <c r="L89" s="346">
        <f t="shared" si="10"/>
        <v>5142.5847532187599</v>
      </c>
      <c r="M89" s="346">
        <f t="shared" si="10"/>
        <v>6599.8972485167087</v>
      </c>
      <c r="N89" s="346">
        <f t="shared" si="10"/>
        <v>8633.1738444476123</v>
      </c>
      <c r="O89" s="346">
        <f t="shared" si="10"/>
        <v>11482.471370696931</v>
      </c>
      <c r="P89" s="346">
        <f t="shared" si="10"/>
        <v>15496.969105549202</v>
      </c>
      <c r="Q89" s="346">
        <f t="shared" si="10"/>
        <v>21200.106538028544</v>
      </c>
      <c r="R89" s="346">
        <f t="shared" si="10"/>
        <v>29267.569540999451</v>
      </c>
      <c r="S89" s="346">
        <f t="shared" si="10"/>
        <v>40715.069491777234</v>
      </c>
      <c r="T89" s="346">
        <f t="shared" si="10"/>
        <v>57003.82128240876</v>
      </c>
      <c r="U89" s="346">
        <f t="shared" si="10"/>
        <v>80238.431486078247</v>
      </c>
      <c r="V89" s="346">
        <f t="shared" si="10"/>
        <v>113453.38499015072</v>
      </c>
      <c r="W89" s="346">
        <f t="shared" si="10"/>
        <v>161175.30770703423</v>
      </c>
      <c r="X89" s="346">
        <f t="shared" si="10"/>
        <v>229726.49918676261</v>
      </c>
      <c r="Y89" s="346">
        <f t="shared" si="10"/>
        <v>256733.04266421183</v>
      </c>
      <c r="Z89" s="346">
        <f t="shared" si="10"/>
        <v>280646.94655574847</v>
      </c>
      <c r="AA89" s="346">
        <f t="shared" si="10"/>
        <v>309838.04356030305</v>
      </c>
      <c r="AB89" s="346">
        <f t="shared" si="10"/>
        <v>311147.19023063499</v>
      </c>
      <c r="AC89" s="346">
        <f t="shared" si="10"/>
        <v>312918.99432787986</v>
      </c>
    </row>
    <row r="91" spans="4:30" x14ac:dyDescent="0.2">
      <c r="D91" s="3" t="s">
        <v>264</v>
      </c>
    </row>
    <row r="92" spans="4:30" x14ac:dyDescent="0.2">
      <c r="D92" s="3" t="s">
        <v>257</v>
      </c>
      <c r="E92" s="349" cm="1">
        <f t="array" ref="E92">SUMPRODUCT((E$75:E$88)*($D$75:$D$88=$D92))</f>
        <v>62651.835185184194</v>
      </c>
      <c r="F92" s="349" cm="1">
        <f t="array" ref="F92">SUMPRODUCT((F$75:F$88)*($D$75:$D$88=$D92))</f>
        <v>5085.3418570733265</v>
      </c>
      <c r="G92" s="349" cm="1">
        <f t="array" ref="G92">SUMPRODUCT((G$75:G$88)*($D$75:$D$88=$D92))</f>
        <v>5172.3783573083565</v>
      </c>
      <c r="H92" s="349" cm="1">
        <f t="array" ref="H92">SUMPRODUCT((H$75:H$88)*($D$75:$D$88=$D92))</f>
        <v>5200.3186878760125</v>
      </c>
      <c r="I92" s="349" cm="1">
        <f t="array" ref="I92">SUMPRODUCT((I$75:I$88)*($D$75:$D$88=$D92))</f>
        <v>5281.205641738472</v>
      </c>
      <c r="J92" s="349" cm="1">
        <f t="array" ref="J92">SUMPRODUCT((J$75:J$88)*($D$75:$D$88=$D92))</f>
        <v>5567.3497360467936</v>
      </c>
      <c r="K92" s="349" cm="1">
        <f t="array" ref="K92">SUMPRODUCT((K$75:K$88)*($D$75:$D$88=$D92))</f>
        <v>5996.4040319956976</v>
      </c>
      <c r="L92" s="349" cm="1">
        <f t="array" ref="L92">SUMPRODUCT((L$75:L$88)*($D$75:$D$88=$D92))</f>
        <v>6601.9510225170343</v>
      </c>
      <c r="M92" s="349" cm="1">
        <f t="array" ref="M92">SUMPRODUCT((M$75:M$88)*($D$75:$D$88=$D92))</f>
        <v>7366.4993859485321</v>
      </c>
      <c r="N92" s="349" cm="1">
        <f t="array" ref="N92">SUMPRODUCT((N$75:N$88)*($D$75:$D$88=$D92))</f>
        <v>8451.0602148714861</v>
      </c>
      <c r="O92" s="349" cm="1">
        <f t="array" ref="O92">SUMPRODUCT((O$75:O$88)*($D$75:$D$88=$D92))</f>
        <v>9986.5579747722932</v>
      </c>
      <c r="P92" s="349" cm="1">
        <f t="array" ref="P92">SUMPRODUCT((P$75:P$88)*($D$75:$D$88=$D92))</f>
        <v>12171.684246174105</v>
      </c>
      <c r="Q92" s="349" cm="1">
        <f t="array" ref="Q92">SUMPRODUCT((Q$75:Q$88)*($D$75:$D$88=$D92))</f>
        <v>15308.63956472764</v>
      </c>
      <c r="R92" s="349" cm="1">
        <f t="array" ref="R92">SUMPRODUCT((R$75:R$88)*($D$75:$D$88=$D92))</f>
        <v>19781.704818024176</v>
      </c>
      <c r="S92" s="349" cm="1">
        <f t="array" ref="S92">SUMPRODUCT((S$75:S$88)*($D$75:$D$88=$D92))</f>
        <v>26176.843957155201</v>
      </c>
      <c r="T92" s="349" cm="1">
        <f t="array" ref="T92">SUMPRODUCT((T$75:T$88)*($D$75:$D$88=$D92))</f>
        <v>35341.277374072422</v>
      </c>
      <c r="U92" s="349" cm="1">
        <f t="array" ref="U92">SUMPRODUCT((U$75:U$88)*($D$75:$D$88=$D92))</f>
        <v>48501.114324680879</v>
      </c>
      <c r="V92" s="349" cm="1">
        <f t="array" ref="V92">SUMPRODUCT((V$75:V$88)*($D$75:$D$88=$D92))</f>
        <v>67432.269133603302</v>
      </c>
      <c r="W92" s="349" cm="1">
        <f t="array" ref="W92">SUMPRODUCT((W$75:W$88)*($D$75:$D$88=$D92))</f>
        <v>94708.972278808651</v>
      </c>
      <c r="X92" s="349" cm="1">
        <f t="array" ref="X92">SUMPRODUCT((X$75:X$88)*($D$75:$D$88=$D92))</f>
        <v>134064.79965917903</v>
      </c>
      <c r="Y92" s="349" cm="1">
        <f t="array" ref="Y92">SUMPRODUCT((Y$75:Y$88)*($D$75:$D$88=$D92))</f>
        <v>141353.65951328806</v>
      </c>
      <c r="Z92" s="349" cm="1">
        <f t="array" ref="Z92">SUMPRODUCT((Z$75:Z$88)*($D$75:$D$88=$D92))</f>
        <v>141905.1705053247</v>
      </c>
      <c r="AA92" s="349" cm="1">
        <f t="array" ref="AA92">SUMPRODUCT((AA$75:AA$88)*($D$75:$D$88=$D92))</f>
        <v>142577.4021005957</v>
      </c>
      <c r="AB92" s="349" cm="1">
        <f t="array" ref="AB92">SUMPRODUCT((AB$75:AB$88)*($D$75:$D$88=$D92))</f>
        <v>142747.60883008497</v>
      </c>
      <c r="AC92" s="349" cm="1">
        <f t="array" ref="AC92">SUMPRODUCT((AC$75:AC$88)*($D$75:$D$88=$D92))</f>
        <v>142948.30862908816</v>
      </c>
    </row>
    <row r="93" spans="4:30" x14ac:dyDescent="0.2">
      <c r="D93" s="3" t="s">
        <v>307</v>
      </c>
      <c r="E93" s="349" cm="1">
        <f t="array" ref="E93">SUMPRODUCT((E$75:E$88)*($D$75:$D$88=$D93))</f>
        <v>2031.4305734685131</v>
      </c>
      <c r="F93" s="349" cm="1">
        <f t="array" ref="F93">SUMPRODUCT((F$75:F$88)*($D$75:$D$88=$D93))</f>
        <v>636.8634824779673</v>
      </c>
      <c r="G93" s="349" cm="1">
        <f t="array" ref="G93">SUMPRODUCT((G$75:G$88)*($D$75:$D$88=$D93))</f>
        <v>644.80341482125368</v>
      </c>
      <c r="H93" s="349" cm="1">
        <f t="array" ref="H93">SUMPRODUCT((H$75:H$88)*($D$75:$D$88=$D93))</f>
        <v>654.57133622862875</v>
      </c>
      <c r="I93" s="349" cm="1">
        <f t="array" ref="I93">SUMPRODUCT((I$75:I$88)*($D$75:$D$88=$D93))</f>
        <v>670.01410327672295</v>
      </c>
      <c r="J93" s="349" cm="1">
        <f t="array" ref="J93">SUMPRODUCT((J$75:J$88)*($D$75:$D$88=$D93))</f>
        <v>697.03768536972007</v>
      </c>
      <c r="K93" s="349" cm="1">
        <f t="array" ref="K93">SUMPRODUCT((K$75:K$88)*($D$75:$D$88=$D93))</f>
        <v>776.51402017939483</v>
      </c>
      <c r="L93" s="349" cm="1">
        <f t="array" ref="L93">SUMPRODUCT((L$75:L$88)*($D$75:$D$88=$D93))</f>
        <v>921.22635144510571</v>
      </c>
      <c r="M93" s="349" cm="1">
        <f t="array" ref="M93">SUMPRODUCT((M$75:M$88)*($D$75:$D$88=$D93))</f>
        <v>1116.8804484359603</v>
      </c>
      <c r="N93" s="349" cm="1">
        <f t="array" ref="N93">SUMPRODUCT((N$75:N$88)*($D$75:$D$88=$D93))</f>
        <v>1382.8258381942642</v>
      </c>
      <c r="O93" s="349" cm="1">
        <f t="array" ref="O93">SUMPRODUCT((O$75:O$88)*($D$75:$D$88=$D93))</f>
        <v>1746.1277310330765</v>
      </c>
      <c r="P93" s="349" cm="1">
        <f t="array" ref="P93">SUMPRODUCT((P$75:P$88)*($D$75:$D$88=$D93))</f>
        <v>2244.9513758389853</v>
      </c>
      <c r="Q93" s="349" cm="1">
        <f t="array" ref="Q93">SUMPRODUCT((Q$75:Q$88)*($D$75:$D$88=$D93))</f>
        <v>2933.7810316094078</v>
      </c>
      <c r="R93" s="349" cm="1">
        <f t="array" ref="R93">SUMPRODUCT((R$75:R$88)*($D$75:$D$88=$D93))</f>
        <v>3886.689756053835</v>
      </c>
      <c r="S93" s="349" cm="1">
        <f t="array" ref="S93">SUMPRODUCT((S$75:S$88)*($D$75:$D$88=$D93))</f>
        <v>5209.8020242128196</v>
      </c>
      <c r="T93" s="349" cm="1">
        <f t="array" ref="T93">SUMPRODUCT((T$75:T$88)*($D$75:$D$88=$D93))</f>
        <v>7053.1586925055408</v>
      </c>
      <c r="U93" s="349" cm="1">
        <f t="array" ref="U93">SUMPRODUCT((U$75:U$88)*($D$75:$D$88=$D93))</f>
        <v>9629.2314032411177</v>
      </c>
      <c r="V93" s="349" cm="1">
        <f t="array" ref="V93">SUMPRODUCT((V$75:V$88)*($D$75:$D$88=$D93))</f>
        <v>13239.336435214798</v>
      </c>
      <c r="W93" s="349" cm="1">
        <f t="array" ref="W93">SUMPRODUCT((W$75:W$88)*($D$75:$D$88=$D93))</f>
        <v>18360.46931007869</v>
      </c>
      <c r="X93" s="349" cm="1">
        <f t="array" ref="X93">SUMPRODUCT((X$75:X$88)*($D$75:$D$88=$D93))</f>
        <v>25599.881251386414</v>
      </c>
      <c r="Y93" s="349" cm="1">
        <f t="array" ref="Y93">SUMPRODUCT((Y$75:Y$88)*($D$75:$D$88=$D93))</f>
        <v>33646.206769931319</v>
      </c>
      <c r="Z93" s="349" cm="1">
        <f t="array" ref="Z93">SUMPRODUCT((Z$75:Z$88)*($D$75:$D$88=$D93))</f>
        <v>44509.924967514962</v>
      </c>
      <c r="AA93" s="349" cm="1">
        <f t="array" ref="AA93">SUMPRODUCT((AA$75:AA$88)*($D$75:$D$88=$D93))</f>
        <v>57804.012509256063</v>
      </c>
      <c r="AB93" s="349" cm="1">
        <f t="array" ref="AB93">SUMPRODUCT((AB$75:AB$88)*($D$75:$D$88=$D93))</f>
        <v>58166.867904616411</v>
      </c>
      <c r="AC93" s="349" cm="1">
        <f t="array" ref="AC93">SUMPRODUCT((AC$75:AC$88)*($D$75:$D$88=$D93))</f>
        <v>58670.860402480212</v>
      </c>
    </row>
    <row r="94" spans="4:30" x14ac:dyDescent="0.2">
      <c r="D94" s="3" t="s">
        <v>319</v>
      </c>
      <c r="E94" s="349" cm="1">
        <f t="array" ref="E94">SUMPRODUCT((E$75:E$88)*($D$75:$D$88=$D94))</f>
        <v>11476.569259017157</v>
      </c>
      <c r="F94" s="349" cm="1">
        <f t="array" ref="F94">SUMPRODUCT((F$75:F$88)*($D$75:$D$88=$D94))</f>
        <v>1629.1879113228133</v>
      </c>
      <c r="G94" s="349" cm="1">
        <f t="array" ref="G94">SUMPRODUCT((G$75:G$88)*($D$75:$D$88=$D94))</f>
        <v>1638.9287133838634</v>
      </c>
      <c r="H94" s="349" cm="1">
        <f t="array" ref="H94">SUMPRODUCT((H$75:H$88)*($D$75:$D$88=$D94))</f>
        <v>1650.9121138542191</v>
      </c>
      <c r="I94" s="349" cm="1">
        <f t="array" ref="I94">SUMPRODUCT((I$75:I$88)*($D$75:$D$88=$D94))</f>
        <v>1696.5785771536016</v>
      </c>
      <c r="J94" s="349" cm="1">
        <f t="array" ref="J94">SUMPRODUCT((J$75:J$88)*($D$75:$D$88=$D94))</f>
        <v>1825.1928507937346</v>
      </c>
      <c r="K94" s="349" cm="1">
        <f t="array" ref="K94">SUMPRODUCT((K$75:K$88)*($D$75:$D$88=$D94))</f>
        <v>2044.6500146636595</v>
      </c>
      <c r="L94" s="349" cm="1">
        <f t="array" ref="L94">SUMPRODUCT((L$75:L$88)*($D$75:$D$88=$D94))</f>
        <v>2383.767542964928</v>
      </c>
      <c r="M94" s="349" cm="1">
        <f t="array" ref="M94">SUMPRODUCT((M$75:M$88)*($D$75:$D$88=$D94))</f>
        <v>2851.8298407776088</v>
      </c>
      <c r="N94" s="349" cm="1">
        <f t="array" ref="N94">SUMPRODUCT((N$75:N$88)*($D$75:$D$88=$D94))</f>
        <v>3501.1636603773491</v>
      </c>
      <c r="O94" s="349" cm="1">
        <f t="array" ref="O94">SUMPRODUCT((O$75:O$88)*($D$75:$D$88=$D94))</f>
        <v>4406.1860714995</v>
      </c>
      <c r="P94" s="349" cm="1">
        <f t="array" ref="P94">SUMPRODUCT((P$75:P$88)*($D$75:$D$88=$D94))</f>
        <v>5674.5820177713886</v>
      </c>
      <c r="Q94" s="349" cm="1">
        <f t="array" ref="Q94">SUMPRODUCT((Q$75:Q$88)*($D$75:$D$88=$D94))</f>
        <v>7466.5551191466257</v>
      </c>
      <c r="R94" s="349" cm="1">
        <f t="array" ref="R94">SUMPRODUCT((R$75:R$88)*($D$75:$D$88=$D94))</f>
        <v>9990.4315120966257</v>
      </c>
      <c r="S94" s="349" cm="1">
        <f t="array" ref="S94">SUMPRODUCT((S$75:S$88)*($D$75:$D$88=$D94))</f>
        <v>13557.063955352716</v>
      </c>
      <c r="T94" s="349" cm="1">
        <f t="array" ref="T94">SUMPRODUCT((T$75:T$88)*($D$75:$D$88=$D94))</f>
        <v>18612.421534671841</v>
      </c>
      <c r="U94" s="349" cm="1">
        <f t="array" ref="U94">SUMPRODUCT((U$75:U$88)*($D$75:$D$88=$D94))</f>
        <v>25797.160724584741</v>
      </c>
      <c r="V94" s="349" cm="1">
        <f t="array" ref="V94">SUMPRODUCT((V$75:V$88)*($D$75:$D$88=$D94))</f>
        <v>36032.697278872271</v>
      </c>
      <c r="W94" s="349" cm="1">
        <f t="array" ref="W94">SUMPRODUCT((W$75:W$88)*($D$75:$D$88=$D94))</f>
        <v>50736.81331084983</v>
      </c>
      <c r="X94" s="349" cm="1">
        <f t="array" ref="X94">SUMPRODUCT((X$75:X$88)*($D$75:$D$88=$D94))</f>
        <v>71819.332594504274</v>
      </c>
      <c r="Y94" s="349" cm="1">
        <f t="array" ref="Y94">SUMPRODUCT((Y$75:Y$88)*($D$75:$D$88=$D94))</f>
        <v>82383.567518116935</v>
      </c>
      <c r="Z94" s="349" cm="1">
        <f t="array" ref="Z94">SUMPRODUCT((Z$75:Z$88)*($D$75:$D$88=$D94))</f>
        <v>93352.719036552531</v>
      </c>
      <c r="AA94" s="349" cm="1">
        <f t="array" ref="AA94">SUMPRODUCT((AA$75:AA$88)*($D$75:$D$88=$D94))</f>
        <v>106705.77585205981</v>
      </c>
      <c r="AB94" s="349" cm="1">
        <f t="array" ref="AB94">SUMPRODUCT((AB$75:AB$88)*($D$75:$D$88=$D94))</f>
        <v>107431.36110441686</v>
      </c>
      <c r="AC94" s="349" cm="1">
        <f t="array" ref="AC94">SUMPRODUCT((AC$75:AC$88)*($D$75:$D$88=$D94))</f>
        <v>108428.19782400024</v>
      </c>
    </row>
    <row r="95" spans="4:30" x14ac:dyDescent="0.2">
      <c r="D95" s="3" t="s">
        <v>320</v>
      </c>
      <c r="E95" s="349" cm="1">
        <f t="array" ref="E95">SUMPRODUCT((E$75:E$88)*($D$75:$D$88=$D95))</f>
        <v>762</v>
      </c>
      <c r="F95" s="349" cm="1">
        <f t="array" ref="F95">SUMPRODUCT((F$75:F$88)*($D$75:$D$88=$D95))</f>
        <v>76.199999999999974</v>
      </c>
      <c r="G95" s="349" cm="1">
        <f t="array" ref="G95">SUMPRODUCT((G$75:G$88)*($D$75:$D$88=$D95))</f>
        <v>76.199999999999974</v>
      </c>
      <c r="H95" s="349" cm="1">
        <f t="array" ref="H95">SUMPRODUCT((H$75:H$88)*($D$75:$D$88=$D95))</f>
        <v>76.199999999999974</v>
      </c>
      <c r="I95" s="349" cm="1">
        <f t="array" ref="I95">SUMPRODUCT((I$75:I$88)*($D$75:$D$88=$D95))</f>
        <v>76.199999999999974</v>
      </c>
      <c r="J95" s="349" cm="1">
        <f t="array" ref="J95">SUMPRODUCT((J$75:J$88)*($D$75:$D$88=$D95))</f>
        <v>76.199999999999974</v>
      </c>
      <c r="K95" s="349" cm="1">
        <f t="array" ref="K95">SUMPRODUCT((K$75:K$88)*($D$75:$D$88=$D95))</f>
        <v>76.199999999999974</v>
      </c>
      <c r="L95" s="349" cm="1">
        <f t="array" ref="L95">SUMPRODUCT((L$75:L$88)*($D$75:$D$88=$D95))</f>
        <v>76.199999999999974</v>
      </c>
      <c r="M95" s="349" cm="1">
        <f t="array" ref="M95">SUMPRODUCT((M$75:M$88)*($D$75:$D$88=$D95))</f>
        <v>76.199999999999974</v>
      </c>
      <c r="N95" s="349" cm="1">
        <f t="array" ref="N95">SUMPRODUCT((N$75:N$88)*($D$75:$D$88=$D95))</f>
        <v>76.199999999999974</v>
      </c>
      <c r="O95" s="349" cm="1">
        <f t="array" ref="O95">SUMPRODUCT((O$75:O$88)*($D$75:$D$88=$D95))</f>
        <v>76.199999999999974</v>
      </c>
      <c r="P95" s="349" cm="1">
        <f t="array" ref="P95">SUMPRODUCT((P$75:P$88)*($D$75:$D$88=$D95))</f>
        <v>76.199999999999974</v>
      </c>
      <c r="Q95" s="349" cm="1">
        <f t="array" ref="Q95">SUMPRODUCT((Q$75:Q$88)*($D$75:$D$88=$D95))</f>
        <v>76.199999999999974</v>
      </c>
      <c r="R95" s="349" cm="1">
        <f t="array" ref="R95">SUMPRODUCT((R$75:R$88)*($D$75:$D$88=$D95))</f>
        <v>76.199999999999974</v>
      </c>
      <c r="S95" s="349" cm="1">
        <f t="array" ref="S95">SUMPRODUCT((S$75:S$88)*($D$75:$D$88=$D95))</f>
        <v>76.199999999999974</v>
      </c>
      <c r="T95" s="349" cm="1">
        <f t="array" ref="T95">SUMPRODUCT((T$75:T$88)*($D$75:$D$88=$D95))</f>
        <v>76.199999999999974</v>
      </c>
      <c r="U95" s="349" cm="1">
        <f t="array" ref="U95">SUMPRODUCT((U$75:U$88)*($D$75:$D$88=$D95))</f>
        <v>76.199999999999974</v>
      </c>
      <c r="V95" s="349" cm="1">
        <f t="array" ref="V95">SUMPRODUCT((V$75:V$88)*($D$75:$D$88=$D95))</f>
        <v>76.199999999999974</v>
      </c>
      <c r="W95" s="349" cm="1">
        <f t="array" ref="W95">SUMPRODUCT((W$75:W$88)*($D$75:$D$88=$D95))</f>
        <v>76.199999999999974</v>
      </c>
      <c r="X95" s="349" cm="1">
        <f t="array" ref="X95">SUMPRODUCT((X$75:X$88)*($D$75:$D$88=$D95))</f>
        <v>76.199999999999974</v>
      </c>
      <c r="Y95" s="349" cm="1">
        <f t="array" ref="Y95">SUMPRODUCT((Y$75:Y$88)*($D$75:$D$88=$D95))</f>
        <v>76.199999999999974</v>
      </c>
      <c r="Z95" s="349" cm="1">
        <f t="array" ref="Z95">SUMPRODUCT((Z$75:Z$88)*($D$75:$D$88=$D95))</f>
        <v>76.199999999999974</v>
      </c>
      <c r="AA95" s="349" cm="1">
        <f t="array" ref="AA95">SUMPRODUCT((AA$75:AA$88)*($D$75:$D$88=$D95))</f>
        <v>76.199999999999974</v>
      </c>
      <c r="AB95" s="349" cm="1">
        <f t="array" ref="AB95">SUMPRODUCT((AB$75:AB$88)*($D$75:$D$88=$D95))</f>
        <v>76.199999999999974</v>
      </c>
      <c r="AC95" s="349" cm="1">
        <f t="array" ref="AC95">SUMPRODUCT((AC$75:AC$88)*($D$75:$D$88=$D95))</f>
        <v>76.199999999999974</v>
      </c>
    </row>
    <row r="96" spans="4:30" s="362" customFormat="1" x14ac:dyDescent="0.2">
      <c r="D96" s="3" t="s">
        <v>308</v>
      </c>
      <c r="E96" s="349" cm="1">
        <f t="array" ref="E96">SUMPRODUCT((E$75:E$88)*($D$75:$D$88=$D96))</f>
        <v>207.68260030401137</v>
      </c>
      <c r="F96" s="349" cm="1">
        <f t="array" ref="F96">SUMPRODUCT((F$75:F$88)*($D$75:$D$88=$D96))</f>
        <v>80.194343985339714</v>
      </c>
      <c r="G96" s="349" cm="1">
        <f t="array" ref="G96">SUMPRODUCT((G$75:G$88)*($D$75:$D$88=$D96))</f>
        <v>81.312593719302868</v>
      </c>
      <c r="H96" s="349" cm="1">
        <f t="array" ref="H96">SUMPRODUCT((H$75:H$88)*($D$75:$D$88=$D96))</f>
        <v>82.688295053131753</v>
      </c>
      <c r="I96" s="349" cm="1">
        <f t="array" ref="I96">SUMPRODUCT((I$75:I$88)*($D$75:$D$88=$D96))</f>
        <v>84.57193586533613</v>
      </c>
      <c r="J96" s="349" cm="1">
        <f t="array" ref="J96">SUMPRODUCT((J$75:J$88)*($D$75:$D$88=$D96))</f>
        <v>87.33723507208849</v>
      </c>
      <c r="K96" s="349" cm="1">
        <f t="array" ref="K96">SUMPRODUCT((K$75:K$88)*($D$75:$D$88=$D96))</f>
        <v>97.081838299549077</v>
      </c>
      <c r="L96" s="349" cm="1">
        <f t="array" ref="L96">SUMPRODUCT((L$75:L$88)*($D$75:$D$88=$D96))</f>
        <v>115.43609143894327</v>
      </c>
      <c r="M96" s="349" cm="1">
        <f t="array" ref="M96">SUMPRODUCT((M$75:M$88)*($D$75:$D$88=$D96))</f>
        <v>140.14355542808249</v>
      </c>
      <c r="N96" s="349" cm="1">
        <f t="array" ref="N96">SUMPRODUCT((N$75:N$88)*($D$75:$D$88=$D96))</f>
        <v>173.58011307798702</v>
      </c>
      <c r="O96" s="349" cm="1">
        <f t="array" ref="O96">SUMPRODUCT((O$75:O$88)*($D$75:$D$88=$D96))</f>
        <v>219.0555754655341</v>
      </c>
      <c r="P96" s="349" cm="1">
        <f t="array" ref="P96">SUMPRODUCT((P$75:P$88)*($D$75:$D$88=$D96))</f>
        <v>281.20744783819777</v>
      </c>
      <c r="Q96" s="349" cm="1">
        <f t="array" ref="Q96">SUMPRODUCT((Q$75:Q$88)*($D$75:$D$88=$D96))</f>
        <v>366.58680461834621</v>
      </c>
      <c r="R96" s="349" cm="1">
        <f t="array" ref="R96">SUMPRODUCT((R$75:R$88)*($D$75:$D$88=$D96))</f>
        <v>484.19943689828773</v>
      </c>
      <c r="S96" s="349" cm="1">
        <f t="array" ref="S96">SUMPRODUCT((S$75:S$88)*($D$75:$D$88=$D96))</f>
        <v>646.81553712997106</v>
      </c>
      <c r="T96" s="349" cm="1">
        <f t="array" ref="T96">SUMPRODUCT((T$75:T$88)*($D$75:$D$88=$D96))</f>
        <v>872.41966323243639</v>
      </c>
      <c r="U96" s="349" cm="1">
        <f t="array" ref="U96">SUMPRODUCT((U$75:U$88)*($D$75:$D$88=$D96))</f>
        <v>1186.3810156449922</v>
      </c>
      <c r="V96" s="349" cm="1">
        <f t="array" ref="V96">SUMPRODUCT((V$75:V$88)*($D$75:$D$88=$D96))</f>
        <v>1624.5381245338194</v>
      </c>
      <c r="W96" s="349" cm="1">
        <f t="array" ref="W96">SUMPRODUCT((W$75:W$88)*($D$75:$D$88=$D96))</f>
        <v>2244.5087893705299</v>
      </c>
      <c r="X96" s="349" cm="1">
        <f t="array" ref="X96">SUMPRODUCT((X$75:X$88)*($D$75:$D$88=$D96))</f>
        <v>3117.9416637663376</v>
      </c>
      <c r="Y96" s="349" cm="1">
        <f t="array" ref="Y96">SUMPRODUCT((Y$75:Y$88)*($D$75:$D$88=$D96))</f>
        <v>4225.0648449489645</v>
      </c>
      <c r="Z96" s="349" cm="1">
        <f t="array" ref="Z96">SUMPRODUCT((Z$75:Z$88)*($D$75:$D$88=$D96))</f>
        <v>5754.5880284297582</v>
      </c>
      <c r="AA96" s="349" cm="1">
        <f t="array" ref="AA96">SUMPRODUCT((AA$75:AA$88)*($D$75:$D$88=$D96))</f>
        <v>7626.3090804649473</v>
      </c>
      <c r="AB96" s="349" cm="1">
        <f t="array" ref="AB96">SUMPRODUCT((AB$75:AB$88)*($D$75:$D$88=$D96))</f>
        <v>7676.8083735902228</v>
      </c>
      <c r="AC96" s="349" cm="1">
        <f t="array" ref="AC96">SUMPRODUCT((AC$75:AC$88)*($D$75:$D$88=$D96))</f>
        <v>7747.0834543847213</v>
      </c>
    </row>
    <row r="97" spans="4:29" x14ac:dyDescent="0.2">
      <c r="D97" s="3" t="s">
        <v>321</v>
      </c>
      <c r="E97" s="349" cm="1">
        <f t="array" ref="E97">SUMPRODUCT((E$75:E$88)*($D$75:$D$88=$D97))</f>
        <v>30000</v>
      </c>
      <c r="F97" s="349" cm="1">
        <f t="array" ref="F97">SUMPRODUCT((F$75:F$88)*($D$75:$D$88=$D97))</f>
        <v>0</v>
      </c>
      <c r="G97" s="349" cm="1">
        <f t="array" ref="G97">SUMPRODUCT((G$75:G$88)*($D$75:$D$88=$D97))</f>
        <v>0</v>
      </c>
      <c r="H97" s="349" cm="1">
        <f t="array" ref="H97">SUMPRODUCT((H$75:H$88)*($D$75:$D$88=$D97))</f>
        <v>0</v>
      </c>
      <c r="I97" s="349" cm="1">
        <f t="array" ref="I97">SUMPRODUCT((I$75:I$88)*($D$75:$D$88=$D97))</f>
        <v>0</v>
      </c>
      <c r="J97" s="349" cm="1">
        <f t="array" ref="J97">SUMPRODUCT((J$75:J$88)*($D$75:$D$88=$D97))</f>
        <v>0</v>
      </c>
      <c r="K97" s="349" cm="1">
        <f t="array" ref="K97">SUMPRODUCT((K$75:K$88)*($D$75:$D$88=$D97))</f>
        <v>0</v>
      </c>
      <c r="L97" s="349" cm="1">
        <f t="array" ref="L97">SUMPRODUCT((L$75:L$88)*($D$75:$D$88=$D97))</f>
        <v>0</v>
      </c>
      <c r="M97" s="349" cm="1">
        <f t="array" ref="M97">SUMPRODUCT((M$75:M$88)*($D$75:$D$88=$D97))</f>
        <v>0</v>
      </c>
      <c r="N97" s="349" cm="1">
        <f t="array" ref="N97">SUMPRODUCT((N$75:N$88)*($D$75:$D$88=$D97))</f>
        <v>0</v>
      </c>
      <c r="O97" s="349" cm="1">
        <f t="array" ref="O97">SUMPRODUCT((O$75:O$88)*($D$75:$D$88=$D97))</f>
        <v>0</v>
      </c>
      <c r="P97" s="349" cm="1">
        <f t="array" ref="P97">SUMPRODUCT((P$75:P$88)*($D$75:$D$88=$D97))</f>
        <v>0</v>
      </c>
      <c r="Q97" s="349" cm="1">
        <f t="array" ref="Q97">SUMPRODUCT((Q$75:Q$88)*($D$75:$D$88=$D97))</f>
        <v>0</v>
      </c>
      <c r="R97" s="349" cm="1">
        <f t="array" ref="R97">SUMPRODUCT((R$75:R$88)*($D$75:$D$88=$D97))</f>
        <v>0</v>
      </c>
      <c r="S97" s="349" cm="1">
        <f t="array" ref="S97">SUMPRODUCT((S$75:S$88)*($D$75:$D$88=$D97))</f>
        <v>0</v>
      </c>
      <c r="T97" s="349" cm="1">
        <f t="array" ref="T97">SUMPRODUCT((T$75:T$88)*($D$75:$D$88=$D97))</f>
        <v>0</v>
      </c>
      <c r="U97" s="349" cm="1">
        <f t="array" ref="U97">SUMPRODUCT((U$75:U$88)*($D$75:$D$88=$D97))</f>
        <v>0</v>
      </c>
      <c r="V97" s="349" cm="1">
        <f t="array" ref="V97">SUMPRODUCT((V$75:V$88)*($D$75:$D$88=$D97))</f>
        <v>0</v>
      </c>
      <c r="W97" s="349" cm="1">
        <f t="array" ref="W97">SUMPRODUCT((W$75:W$88)*($D$75:$D$88=$D97))</f>
        <v>0</v>
      </c>
      <c r="X97" s="349" cm="1">
        <f t="array" ref="X97">SUMPRODUCT((X$75:X$88)*($D$75:$D$88=$D97))</f>
        <v>0</v>
      </c>
      <c r="Y97" s="349" cm="1">
        <f t="array" ref="Y97">SUMPRODUCT((Y$75:Y$88)*($D$75:$D$88=$D97))</f>
        <v>0</v>
      </c>
      <c r="Z97" s="349" cm="1">
        <f t="array" ref="Z97">SUMPRODUCT((Z$75:Z$88)*($D$75:$D$88=$D97))</f>
        <v>0</v>
      </c>
      <c r="AA97" s="349" cm="1">
        <f t="array" ref="AA97">SUMPRODUCT((AA$75:AA$88)*($D$75:$D$88=$D97))</f>
        <v>0</v>
      </c>
      <c r="AB97" s="349" cm="1">
        <f t="array" ref="AB97">SUMPRODUCT((AB$75:AB$88)*($D$75:$D$88=$D97))</f>
        <v>0</v>
      </c>
      <c r="AC97" s="349" cm="1">
        <f t="array" ref="AC97">SUMPRODUCT((AC$75:AC$88)*($D$75:$D$88=$D97))</f>
        <v>0</v>
      </c>
    </row>
    <row r="98" spans="4:29" x14ac:dyDescent="0.2">
      <c r="D98" s="347" t="s">
        <v>265</v>
      </c>
      <c r="E98" s="346">
        <f t="shared" ref="E98:AC98" si="11">SUM(E92:E97)</f>
        <v>107129.51761797386</v>
      </c>
      <c r="F98" s="346">
        <f t="shared" si="11"/>
        <v>7507.7875948594465</v>
      </c>
      <c r="G98" s="346">
        <f t="shared" si="11"/>
        <v>7613.623079232776</v>
      </c>
      <c r="H98" s="346">
        <f t="shared" si="11"/>
        <v>7664.6904330119924</v>
      </c>
      <c r="I98" s="346">
        <f t="shared" si="11"/>
        <v>7808.5702580341331</v>
      </c>
      <c r="J98" s="346">
        <f t="shared" si="11"/>
        <v>8253.1175072823371</v>
      </c>
      <c r="K98" s="346">
        <f t="shared" si="11"/>
        <v>8990.8499051383023</v>
      </c>
      <c r="L98" s="346">
        <f t="shared" si="11"/>
        <v>10098.581008366013</v>
      </c>
      <c r="M98" s="346">
        <f t="shared" si="11"/>
        <v>11551.553230590185</v>
      </c>
      <c r="N98" s="346">
        <f t="shared" si="11"/>
        <v>13584.829826521089</v>
      </c>
      <c r="O98" s="346">
        <f t="shared" si="11"/>
        <v>16434.127352770403</v>
      </c>
      <c r="P98" s="346">
        <f t="shared" si="11"/>
        <v>20448.62508762268</v>
      </c>
      <c r="Q98" s="346">
        <f t="shared" si="11"/>
        <v>26151.76252010202</v>
      </c>
      <c r="R98" s="346">
        <f t="shared" si="11"/>
        <v>34219.225523072921</v>
      </c>
      <c r="S98" s="346">
        <f t="shared" si="11"/>
        <v>45666.725473850704</v>
      </c>
      <c r="T98" s="346">
        <f t="shared" si="11"/>
        <v>61955.477264482237</v>
      </c>
      <c r="U98" s="346">
        <f t="shared" si="11"/>
        <v>85190.087468151716</v>
      </c>
      <c r="V98" s="346">
        <f t="shared" si="11"/>
        <v>118405.0409722242</v>
      </c>
      <c r="W98" s="346">
        <f t="shared" si="11"/>
        <v>166126.96368910771</v>
      </c>
      <c r="X98" s="346">
        <f t="shared" si="11"/>
        <v>234678.15516883606</v>
      </c>
      <c r="Y98" s="346">
        <f t="shared" si="11"/>
        <v>261684.69864628528</v>
      </c>
      <c r="Z98" s="346">
        <f t="shared" si="11"/>
        <v>285598.60253782198</v>
      </c>
      <c r="AA98" s="346">
        <f t="shared" si="11"/>
        <v>314789.69954237656</v>
      </c>
      <c r="AB98" s="346">
        <f t="shared" si="11"/>
        <v>316098.84621270845</v>
      </c>
      <c r="AC98" s="346">
        <f t="shared" si="11"/>
        <v>317870.65030995331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972B-C094-4944-A1A4-F0D5D3F70D73}">
  <sheetPr codeName="Sheet12"/>
  <dimension ref="A1:AJ91"/>
  <sheetViews>
    <sheetView showGridLines="0" zoomScale="85" zoomScaleNormal="85" workbookViewId="0"/>
  </sheetViews>
  <sheetFormatPr defaultColWidth="8.25" defaultRowHeight="12.75" x14ac:dyDescent="0.2"/>
  <cols>
    <col min="1" max="1" width="23.125" style="353" customWidth="1"/>
    <col min="2" max="2" width="12.5" style="353" customWidth="1"/>
    <col min="3" max="3" width="20.25" style="353" customWidth="1"/>
    <col min="4" max="4" width="21.375" style="353" customWidth="1"/>
    <col min="5" max="7" width="13.5" style="353" customWidth="1"/>
    <col min="8" max="8" width="24.125" style="353" bestFit="1" customWidth="1"/>
    <col min="9" max="11" width="15.25" style="353" customWidth="1"/>
    <col min="12" max="12" width="13.375" style="353" customWidth="1"/>
    <col min="13" max="13" width="15.25" style="353" customWidth="1"/>
    <col min="14" max="14" width="13.5" style="353" customWidth="1"/>
    <col min="15" max="15" width="15.25" style="353" customWidth="1"/>
    <col min="16" max="16" width="13.5" style="353" customWidth="1"/>
    <col min="17" max="17" width="13.375" style="353" customWidth="1"/>
    <col min="18" max="32" width="14.875" style="353" customWidth="1"/>
    <col min="33" max="36" width="14.875" customWidth="1"/>
    <col min="37" max="16384" width="8.25" style="353"/>
  </cols>
  <sheetData>
    <row r="1" spans="1:36" s="1" customFormat="1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394"/>
      <c r="AE1" s="394"/>
      <c r="AF1" s="394"/>
      <c r="AG1" s="394"/>
      <c r="AH1" s="394"/>
      <c r="AI1" s="394"/>
      <c r="AJ1" s="394"/>
    </row>
    <row r="2" spans="1:36" s="1" customFormat="1" ht="18.75" x14ac:dyDescent="0.3">
      <c r="A2" s="55" t="str">
        <f>proj</f>
        <v>R switchboard and relay retirement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394"/>
      <c r="AE2" s="394"/>
      <c r="AF2" s="394"/>
      <c r="AG2" s="394"/>
      <c r="AH2" s="394"/>
      <c r="AI2" s="394"/>
      <c r="AJ2" s="394"/>
    </row>
    <row r="5" spans="1:36" x14ac:dyDescent="0.2">
      <c r="A5" s="366" t="s">
        <v>267</v>
      </c>
      <c r="B5" s="366"/>
      <c r="C5" s="367" t="s">
        <v>268</v>
      </c>
      <c r="D5" s="367"/>
      <c r="E5" s="363"/>
      <c r="F5" s="369" t="s">
        <v>269</v>
      </c>
      <c r="G5" s="370" t="s">
        <v>270</v>
      </c>
      <c r="H5" s="367" t="s">
        <v>271</v>
      </c>
      <c r="I5" s="367" t="s">
        <v>272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 x14ac:dyDescent="0.2">
      <c r="A6" s="371" t="s">
        <v>273</v>
      </c>
      <c r="B6" s="372" t="s">
        <v>314</v>
      </c>
      <c r="C6" s="373" t="s">
        <v>274</v>
      </c>
      <c r="D6" s="354"/>
      <c r="E6" s="363"/>
      <c r="F6" s="373" t="s">
        <v>275</v>
      </c>
      <c r="G6" s="374">
        <v>2.5000000000000001E-3</v>
      </c>
      <c r="H6" s="370">
        <v>1</v>
      </c>
      <c r="I6" s="375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</row>
    <row r="7" spans="1:36" x14ac:dyDescent="0.2">
      <c r="A7" s="371" t="s">
        <v>276</v>
      </c>
      <c r="B7" s="372" t="s">
        <v>277</v>
      </c>
      <c r="C7" s="373" t="s">
        <v>278</v>
      </c>
      <c r="D7" s="354"/>
      <c r="E7" s="363"/>
      <c r="F7" s="373" t="s">
        <v>279</v>
      </c>
      <c r="G7" s="374">
        <v>2.5000000000000001E-3</v>
      </c>
      <c r="H7" s="370">
        <v>1</v>
      </c>
      <c r="I7" s="375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</row>
    <row r="8" spans="1:36" x14ac:dyDescent="0.2">
      <c r="A8" s="376" t="s">
        <v>8</v>
      </c>
      <c r="B8" s="355">
        <v>50.104999999999997</v>
      </c>
      <c r="C8" s="376" t="s">
        <v>280</v>
      </c>
      <c r="D8" s="377">
        <v>1080000</v>
      </c>
      <c r="E8" s="363"/>
      <c r="F8" s="373" t="s">
        <v>281</v>
      </c>
      <c r="G8" s="374">
        <v>2.5000000000000001E-3</v>
      </c>
      <c r="H8" s="370">
        <v>1</v>
      </c>
      <c r="I8" s="375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</row>
    <row r="9" spans="1:36" x14ac:dyDescent="0.2">
      <c r="A9" s="376" t="s">
        <v>282</v>
      </c>
      <c r="B9" s="391">
        <v>0.5</v>
      </c>
      <c r="C9" s="376" t="s">
        <v>283</v>
      </c>
      <c r="D9" s="377">
        <v>101600</v>
      </c>
      <c r="E9" s="363"/>
      <c r="F9" s="373" t="s">
        <v>284</v>
      </c>
      <c r="G9" s="378">
        <v>0</v>
      </c>
      <c r="H9" s="370">
        <v>1</v>
      </c>
      <c r="I9" s="375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</row>
    <row r="10" spans="1:36" x14ac:dyDescent="0.2">
      <c r="A10" s="379" t="s">
        <v>316</v>
      </c>
      <c r="B10" s="380" t="s">
        <v>285</v>
      </c>
      <c r="C10" s="367" t="s">
        <v>286</v>
      </c>
      <c r="D10" s="366" t="s">
        <v>287</v>
      </c>
      <c r="E10" s="367">
        <v>2025</v>
      </c>
      <c r="F10" s="367">
        <v>2026</v>
      </c>
      <c r="G10" s="367">
        <v>2027</v>
      </c>
      <c r="H10" s="367">
        <v>2028</v>
      </c>
      <c r="I10" s="367">
        <v>2029</v>
      </c>
      <c r="J10" s="367">
        <v>2030</v>
      </c>
      <c r="K10" s="367">
        <v>2031</v>
      </c>
      <c r="L10" s="367">
        <v>2032</v>
      </c>
      <c r="M10" s="367">
        <v>2033</v>
      </c>
      <c r="N10" s="367">
        <v>2034</v>
      </c>
      <c r="O10" s="367">
        <v>2035</v>
      </c>
      <c r="P10" s="367">
        <v>2036</v>
      </c>
      <c r="Q10" s="367">
        <v>2037</v>
      </c>
      <c r="R10" s="367">
        <v>2038</v>
      </c>
      <c r="S10" s="367">
        <v>2039</v>
      </c>
      <c r="T10" s="367">
        <v>2040</v>
      </c>
      <c r="U10" s="367">
        <v>2041</v>
      </c>
      <c r="V10" s="367">
        <v>2042</v>
      </c>
      <c r="W10" s="367">
        <v>2043</v>
      </c>
      <c r="X10" s="367">
        <v>2044</v>
      </c>
      <c r="Y10" s="367">
        <v>2045</v>
      </c>
      <c r="Z10" s="367">
        <v>2046</v>
      </c>
      <c r="AA10" s="367">
        <v>2047</v>
      </c>
      <c r="AB10" s="381">
        <v>2048</v>
      </c>
      <c r="AC10" s="381">
        <v>2049</v>
      </c>
      <c r="AD10" s="381">
        <v>2050</v>
      </c>
      <c r="AE10" s="381">
        <v>2051</v>
      </c>
      <c r="AF10" s="381">
        <v>2052</v>
      </c>
      <c r="AG10" s="381">
        <v>2053</v>
      </c>
      <c r="AH10" s="381">
        <v>2054</v>
      </c>
      <c r="AI10" s="381">
        <v>2055</v>
      </c>
      <c r="AJ10" s="381">
        <v>2056</v>
      </c>
    </row>
    <row r="11" spans="1:36" x14ac:dyDescent="0.2">
      <c r="A11" s="371" t="s">
        <v>288</v>
      </c>
      <c r="B11" s="382" t="b">
        <v>0</v>
      </c>
      <c r="C11" s="383">
        <v>0</v>
      </c>
      <c r="D11" s="371" t="s">
        <v>23</v>
      </c>
      <c r="E11" s="356">
        <v>1002.7588824216011</v>
      </c>
      <c r="F11" s="356">
        <v>1215.4824992214631</v>
      </c>
      <c r="G11" s="356">
        <v>1369.8261454813608</v>
      </c>
      <c r="H11" s="356">
        <v>1396.1329778930863</v>
      </c>
      <c r="I11" s="356">
        <v>1402.2936455703646</v>
      </c>
      <c r="J11" s="356">
        <v>1401.5265383820747</v>
      </c>
      <c r="K11" s="356">
        <v>1402.6575981212216</v>
      </c>
      <c r="L11" s="356">
        <v>1414.5924593544478</v>
      </c>
      <c r="M11" s="356">
        <v>1430.9391200464343</v>
      </c>
      <c r="N11" s="356">
        <v>1427.2260077494143</v>
      </c>
      <c r="O11" s="356">
        <v>1427.2260077494143</v>
      </c>
      <c r="P11" s="356">
        <v>1427.2260077494143</v>
      </c>
      <c r="Q11" s="356">
        <v>1427.2260077494143</v>
      </c>
      <c r="R11" s="356">
        <v>1427.2260077494143</v>
      </c>
      <c r="S11" s="356">
        <v>1427.2260077494143</v>
      </c>
      <c r="T11" s="356">
        <v>1427.2260077494143</v>
      </c>
      <c r="U11" s="356">
        <v>1427.2260077494143</v>
      </c>
      <c r="V11" s="356">
        <v>1427.2260077494143</v>
      </c>
      <c r="W11" s="356">
        <v>1427.2260077494143</v>
      </c>
      <c r="X11" s="356">
        <v>1427.2260077494143</v>
      </c>
      <c r="Y11" s="356">
        <v>1427.2260077494143</v>
      </c>
      <c r="Z11" s="356">
        <v>1427.2260077494143</v>
      </c>
      <c r="AA11" s="356">
        <v>1427.2260077494143</v>
      </c>
      <c r="AB11" s="356">
        <v>1427.2260077494143</v>
      </c>
      <c r="AC11" s="356">
        <v>1427.2260077494143</v>
      </c>
      <c r="AD11" s="356">
        <v>1427.2260077494143</v>
      </c>
      <c r="AE11" s="356">
        <v>1427.2260077494143</v>
      </c>
      <c r="AF11" s="356">
        <v>1427.2260077494143</v>
      </c>
      <c r="AG11" s="356">
        <v>1427.2260077494143</v>
      </c>
      <c r="AH11" s="356">
        <v>1427.2260077494143</v>
      </c>
      <c r="AI11" s="356">
        <v>1427.2260077494143</v>
      </c>
      <c r="AJ11" s="356">
        <v>1427.2260077494143</v>
      </c>
    </row>
    <row r="12" spans="1:36" x14ac:dyDescent="0.2">
      <c r="A12" s="371" t="s">
        <v>289</v>
      </c>
      <c r="B12" s="382" t="b">
        <v>0</v>
      </c>
      <c r="C12" s="383">
        <v>50000</v>
      </c>
      <c r="D12" s="371" t="s">
        <v>23</v>
      </c>
      <c r="E12" s="357">
        <v>1037.5783307213967</v>
      </c>
      <c r="F12" s="357">
        <v>1268.2382258724654</v>
      </c>
      <c r="G12" s="357">
        <v>1447.2980234593251</v>
      </c>
      <c r="H12" s="357">
        <v>1484.3218666272055</v>
      </c>
      <c r="I12" s="357">
        <v>1501.3011300473586</v>
      </c>
      <c r="J12" s="357">
        <v>1505.9333656103538</v>
      </c>
      <c r="K12" s="357">
        <v>1511.2163699031644</v>
      </c>
      <c r="L12" s="357">
        <v>1527.3188025422432</v>
      </c>
      <c r="M12" s="357">
        <v>1555.1424872932703</v>
      </c>
      <c r="N12" s="357">
        <v>1558.8809735429891</v>
      </c>
      <c r="O12" s="357">
        <v>1558.8809735429891</v>
      </c>
      <c r="P12" s="357">
        <v>1558.8809735429891</v>
      </c>
      <c r="Q12" s="357">
        <v>1558.8809735429891</v>
      </c>
      <c r="R12" s="357">
        <v>1558.8809735429891</v>
      </c>
      <c r="S12" s="357">
        <v>1558.8809735429891</v>
      </c>
      <c r="T12" s="357">
        <v>1558.8809735429891</v>
      </c>
      <c r="U12" s="357">
        <v>1558.8809735429891</v>
      </c>
      <c r="V12" s="357">
        <v>1558.8809735429891</v>
      </c>
      <c r="W12" s="357">
        <v>1558.8809735429891</v>
      </c>
      <c r="X12" s="357">
        <v>1558.8809735429891</v>
      </c>
      <c r="Y12" s="357">
        <v>1558.8809735429891</v>
      </c>
      <c r="Z12" s="357">
        <v>1558.8809735429891</v>
      </c>
      <c r="AA12" s="357">
        <v>1558.8809735429891</v>
      </c>
      <c r="AB12" s="357">
        <v>1558.8809735429891</v>
      </c>
      <c r="AC12" s="357">
        <v>1558.8809735429891</v>
      </c>
      <c r="AD12" s="357">
        <v>1558.8809735429891</v>
      </c>
      <c r="AE12" s="357">
        <v>1558.8809735429891</v>
      </c>
      <c r="AF12" s="357">
        <v>1558.8809735429891</v>
      </c>
      <c r="AG12" s="357">
        <v>1558.8809735429891</v>
      </c>
      <c r="AH12" s="357">
        <v>1558.8809735429891</v>
      </c>
      <c r="AI12" s="357">
        <v>1558.8809735429891</v>
      </c>
      <c r="AJ12" s="357">
        <v>1558.8809735429891</v>
      </c>
    </row>
    <row r="13" spans="1:36" x14ac:dyDescent="0.2">
      <c r="A13" s="371" t="s">
        <v>290</v>
      </c>
      <c r="B13" s="382" t="b">
        <v>0</v>
      </c>
      <c r="C13" s="383">
        <v>300000</v>
      </c>
      <c r="D13" s="371" t="s">
        <v>23</v>
      </c>
      <c r="E13" s="357">
        <v>1002.7588824216011</v>
      </c>
      <c r="F13" s="357">
        <v>1215.4824992214631</v>
      </c>
      <c r="G13" s="357">
        <v>1369.8261454813608</v>
      </c>
      <c r="H13" s="357">
        <v>1396.1329778930863</v>
      </c>
      <c r="I13" s="357">
        <v>1402.2936455703646</v>
      </c>
      <c r="J13" s="357">
        <v>1401.5265383820747</v>
      </c>
      <c r="K13" s="357">
        <v>1402.6575981212216</v>
      </c>
      <c r="L13" s="357">
        <v>1414.5924593544478</v>
      </c>
      <c r="M13" s="357">
        <v>1430.9391200464343</v>
      </c>
      <c r="N13" s="357">
        <v>1427.2260077494143</v>
      </c>
      <c r="O13" s="357">
        <v>1427.2260077494143</v>
      </c>
      <c r="P13" s="357">
        <v>1427.2260077494143</v>
      </c>
      <c r="Q13" s="357">
        <v>1427.2260077494143</v>
      </c>
      <c r="R13" s="357">
        <v>1427.2260077494143</v>
      </c>
      <c r="S13" s="357">
        <v>1427.2260077494143</v>
      </c>
      <c r="T13" s="357">
        <v>1427.2260077494143</v>
      </c>
      <c r="U13" s="357">
        <v>1427.2260077494143</v>
      </c>
      <c r="V13" s="357">
        <v>1427.2260077494143</v>
      </c>
      <c r="W13" s="357">
        <v>1427.2260077494143</v>
      </c>
      <c r="X13" s="357">
        <v>1427.2260077494143</v>
      </c>
      <c r="Y13" s="357">
        <v>1427.2260077494143</v>
      </c>
      <c r="Z13" s="357">
        <v>1427.2260077494143</v>
      </c>
      <c r="AA13" s="357">
        <v>1427.2260077494143</v>
      </c>
      <c r="AB13" s="357">
        <v>1427.2260077494143</v>
      </c>
      <c r="AC13" s="357">
        <v>1427.2260077494143</v>
      </c>
      <c r="AD13" s="357">
        <v>1427.2260077494143</v>
      </c>
      <c r="AE13" s="357">
        <v>1427.2260077494143</v>
      </c>
      <c r="AF13" s="357">
        <v>1427.2260077494143</v>
      </c>
      <c r="AG13" s="357">
        <v>1427.2260077494143</v>
      </c>
      <c r="AH13" s="357">
        <v>1427.2260077494143</v>
      </c>
      <c r="AI13" s="357">
        <v>1427.2260077494143</v>
      </c>
      <c r="AJ13" s="357">
        <v>1427.2260077494143</v>
      </c>
    </row>
    <row r="14" spans="1:36" x14ac:dyDescent="0.2">
      <c r="A14" s="371" t="s">
        <v>291</v>
      </c>
      <c r="B14" s="382" t="b">
        <v>0</v>
      </c>
      <c r="C14" s="383">
        <v>4000</v>
      </c>
      <c r="D14" s="371" t="s">
        <v>292</v>
      </c>
      <c r="E14" s="358">
        <v>7.4999999999999997E-3</v>
      </c>
      <c r="F14" s="358">
        <v>7.4999999999999997E-3</v>
      </c>
      <c r="G14" s="358">
        <v>7.4999999999999997E-3</v>
      </c>
      <c r="H14" s="358">
        <v>7.4999999999999997E-3</v>
      </c>
      <c r="I14" s="358">
        <v>7.4999999999999997E-3</v>
      </c>
      <c r="J14" s="358">
        <v>7.4999999999999997E-3</v>
      </c>
      <c r="K14" s="358">
        <v>7.4999999999999997E-3</v>
      </c>
      <c r="L14" s="358">
        <v>7.4999999999999997E-3</v>
      </c>
      <c r="M14" s="358">
        <v>7.4999999999999997E-3</v>
      </c>
      <c r="N14" s="358">
        <v>7.4999999999999997E-3</v>
      </c>
      <c r="O14" s="358">
        <v>7.4999999999999997E-3</v>
      </c>
      <c r="P14" s="358">
        <v>7.4999999999999997E-3</v>
      </c>
      <c r="Q14" s="358">
        <v>7.4999999999999997E-3</v>
      </c>
      <c r="R14" s="358">
        <v>7.4999999999999997E-3</v>
      </c>
      <c r="S14" s="358">
        <v>7.4999999999999997E-3</v>
      </c>
      <c r="T14" s="358">
        <v>7.4999999999999997E-3</v>
      </c>
      <c r="U14" s="358">
        <v>7.4999999999999997E-3</v>
      </c>
      <c r="V14" s="358">
        <v>7.4999999999999997E-3</v>
      </c>
      <c r="W14" s="358">
        <v>7.4999999999999997E-3</v>
      </c>
      <c r="X14" s="358">
        <v>7.4999999999999997E-3</v>
      </c>
      <c r="Y14" s="358">
        <v>7.4999999999999997E-3</v>
      </c>
      <c r="Z14" s="358">
        <v>7.4999999999999997E-3</v>
      </c>
      <c r="AA14" s="358">
        <v>7.4999999999999997E-3</v>
      </c>
      <c r="AB14" s="358">
        <v>7.4999999999999997E-3</v>
      </c>
      <c r="AC14" s="358">
        <v>7.4999999999999997E-3</v>
      </c>
      <c r="AD14" s="358">
        <v>7.4999999999999997E-3</v>
      </c>
      <c r="AE14" s="358">
        <v>7.4999999999999997E-3</v>
      </c>
      <c r="AF14" s="358">
        <v>7.4999999999999997E-3</v>
      </c>
      <c r="AG14" s="358">
        <v>7.4999999999999997E-3</v>
      </c>
      <c r="AH14" s="358">
        <v>7.4999999999999997E-3</v>
      </c>
      <c r="AI14" s="358">
        <v>7.4999999999999997E-3</v>
      </c>
      <c r="AJ14" s="358">
        <v>7.4999999999999997E-3</v>
      </c>
    </row>
    <row r="15" spans="1:36" x14ac:dyDescent="0.2">
      <c r="A15" s="371" t="s">
        <v>293</v>
      </c>
      <c r="B15" s="382" t="b">
        <v>0</v>
      </c>
      <c r="C15" s="383">
        <v>650</v>
      </c>
      <c r="D15" s="371" t="s">
        <v>294</v>
      </c>
      <c r="E15" s="358">
        <v>7.4999999999999997E-3</v>
      </c>
      <c r="F15" s="358">
        <v>7.4999999999999997E-3</v>
      </c>
      <c r="G15" s="358">
        <v>7.4999999999999997E-3</v>
      </c>
      <c r="H15" s="358">
        <v>7.4999999999999997E-3</v>
      </c>
      <c r="I15" s="358">
        <v>7.4999999999999997E-3</v>
      </c>
      <c r="J15" s="358">
        <v>7.4999999999999997E-3</v>
      </c>
      <c r="K15" s="358">
        <v>7.4999999999999997E-3</v>
      </c>
      <c r="L15" s="358">
        <v>7.4999999999999997E-3</v>
      </c>
      <c r="M15" s="358">
        <v>7.4999999999999997E-3</v>
      </c>
      <c r="N15" s="358">
        <v>7.4999999999999997E-3</v>
      </c>
      <c r="O15" s="358">
        <v>7.4999999999999997E-3</v>
      </c>
      <c r="P15" s="358">
        <v>7.4999999999999997E-3</v>
      </c>
      <c r="Q15" s="358">
        <v>7.4999999999999997E-3</v>
      </c>
      <c r="R15" s="358">
        <v>7.4999999999999997E-3</v>
      </c>
      <c r="S15" s="358">
        <v>7.4999999999999997E-3</v>
      </c>
      <c r="T15" s="358">
        <v>7.4999999999999997E-3</v>
      </c>
      <c r="U15" s="358">
        <v>7.4999999999999997E-3</v>
      </c>
      <c r="V15" s="358">
        <v>7.4999999999999997E-3</v>
      </c>
      <c r="W15" s="358">
        <v>7.4999999999999997E-3</v>
      </c>
      <c r="X15" s="358">
        <v>7.4999999999999997E-3</v>
      </c>
      <c r="Y15" s="358">
        <v>7.4999999999999997E-3</v>
      </c>
      <c r="Z15" s="358">
        <v>7.4999999999999997E-3</v>
      </c>
      <c r="AA15" s="358">
        <v>7.4999999999999997E-3</v>
      </c>
      <c r="AB15" s="358">
        <v>7.4999999999999997E-3</v>
      </c>
      <c r="AC15" s="358">
        <v>7.4999999999999997E-3</v>
      </c>
      <c r="AD15" s="358">
        <v>7.4999999999999997E-3</v>
      </c>
      <c r="AE15" s="358">
        <v>7.4999999999999997E-3</v>
      </c>
      <c r="AF15" s="358">
        <v>7.4999999999999997E-3</v>
      </c>
      <c r="AG15" s="358">
        <v>7.4999999999999997E-3</v>
      </c>
      <c r="AH15" s="358">
        <v>7.4999999999999997E-3</v>
      </c>
      <c r="AI15" s="358">
        <v>7.4999999999999997E-3</v>
      </c>
      <c r="AJ15" s="358">
        <v>7.4999999999999997E-3</v>
      </c>
    </row>
    <row r="16" spans="1:36" x14ac:dyDescent="0.2">
      <c r="A16" s="371" t="s">
        <v>295</v>
      </c>
      <c r="B16" s="384" t="b">
        <v>0</v>
      </c>
      <c r="C16" s="383">
        <v>300000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</row>
    <row r="17" spans="1:36" x14ac:dyDescent="0.2">
      <c r="A17" s="371" t="s">
        <v>296</v>
      </c>
      <c r="B17" s="384" t="b">
        <v>0</v>
      </c>
      <c r="C17" s="383">
        <v>500000</v>
      </c>
      <c r="D17" s="371" t="s">
        <v>266</v>
      </c>
      <c r="E17" s="359">
        <v>50766.622340852693</v>
      </c>
      <c r="F17" s="359">
        <v>61694.748328645939</v>
      </c>
      <c r="G17" s="359">
        <v>69799.657553169338</v>
      </c>
      <c r="H17" s="359">
        <v>71278.854138339986</v>
      </c>
      <c r="I17" s="359">
        <v>71750.15411421904</v>
      </c>
      <c r="J17" s="359">
        <v>71792.878429115721</v>
      </c>
      <c r="K17" s="359">
        <v>71911.960131904067</v>
      </c>
      <c r="L17" s="359">
        <v>72572.601203581944</v>
      </c>
      <c r="M17" s="359">
        <v>73564.16752469739</v>
      </c>
      <c r="N17" s="359">
        <v>73490.130736610517</v>
      </c>
      <c r="O17" s="359">
        <v>73490.130736610517</v>
      </c>
      <c r="P17" s="359">
        <v>73490.130736610517</v>
      </c>
      <c r="Q17" s="359">
        <v>73490.130736610517</v>
      </c>
      <c r="R17" s="359">
        <v>73490.130736610517</v>
      </c>
      <c r="S17" s="359">
        <v>73490.130736610517</v>
      </c>
      <c r="T17" s="359">
        <v>73490.130736610517</v>
      </c>
      <c r="U17" s="359">
        <v>73490.130736610517</v>
      </c>
      <c r="V17" s="359">
        <v>73490.130736610517</v>
      </c>
      <c r="W17" s="359">
        <v>73490.130736610517</v>
      </c>
      <c r="X17" s="359">
        <v>73490.130736610517</v>
      </c>
      <c r="Y17" s="359">
        <v>73490.130736610517</v>
      </c>
      <c r="Z17" s="359">
        <v>73490.130736610517</v>
      </c>
      <c r="AA17" s="359">
        <v>73490.130736610517</v>
      </c>
      <c r="AB17" s="359">
        <v>73490.130736610517</v>
      </c>
      <c r="AC17" s="359">
        <v>73490.130736610517</v>
      </c>
      <c r="AD17" s="359">
        <v>73490.130736610517</v>
      </c>
      <c r="AE17" s="359">
        <v>73490.130736610517</v>
      </c>
      <c r="AF17" s="359">
        <v>73490.130736610517</v>
      </c>
      <c r="AG17" s="359">
        <v>73490.130736610517</v>
      </c>
      <c r="AH17" s="359">
        <v>73490.130736610517</v>
      </c>
      <c r="AI17" s="359">
        <v>73490.130736610517</v>
      </c>
      <c r="AJ17" s="359">
        <v>73490.130736610517</v>
      </c>
    </row>
    <row r="18" spans="1:36" x14ac:dyDescent="0.2">
      <c r="A18" s="371" t="s">
        <v>297</v>
      </c>
      <c r="B18" s="382" t="b">
        <v>0</v>
      </c>
      <c r="C18" s="383">
        <v>900000</v>
      </c>
      <c r="D18" s="371" t="s">
        <v>258</v>
      </c>
      <c r="E18" s="343">
        <v>532.4346625500001</v>
      </c>
      <c r="F18" s="343">
        <v>532.4346625500001</v>
      </c>
      <c r="G18" s="343">
        <v>532.4346625500001</v>
      </c>
      <c r="H18" s="343">
        <v>532.4346625500001</v>
      </c>
      <c r="I18" s="343">
        <v>532.4346625500001</v>
      </c>
      <c r="J18" s="343">
        <v>532.4346625500001</v>
      </c>
      <c r="K18" s="343">
        <v>532.4346625500001</v>
      </c>
      <c r="L18" s="343">
        <v>532.4346625500001</v>
      </c>
      <c r="M18" s="343">
        <v>532.4346625500001</v>
      </c>
      <c r="N18" s="343">
        <v>532.4346625500001</v>
      </c>
      <c r="O18" s="343">
        <v>532.4346625500001</v>
      </c>
      <c r="P18" s="343">
        <v>532.4346625500001</v>
      </c>
      <c r="Q18" s="343">
        <v>532.4346625500001</v>
      </c>
      <c r="R18" s="343">
        <v>532.4346625500001</v>
      </c>
      <c r="S18" s="343">
        <v>532.4346625500001</v>
      </c>
      <c r="T18" s="343">
        <v>532.4346625500001</v>
      </c>
      <c r="U18" s="343">
        <v>532.4346625500001</v>
      </c>
      <c r="V18" s="343">
        <v>532.4346625500001</v>
      </c>
      <c r="W18" s="343">
        <v>532.4346625500001</v>
      </c>
      <c r="X18" s="343">
        <v>532.4346625500001</v>
      </c>
      <c r="Y18" s="343">
        <v>532.4346625500001</v>
      </c>
      <c r="Z18" s="343">
        <v>532.4346625500001</v>
      </c>
      <c r="AA18" s="343">
        <v>532.4346625500001</v>
      </c>
      <c r="AB18" s="343">
        <v>532.4346625500001</v>
      </c>
      <c r="AC18" s="343">
        <v>532.4346625500001</v>
      </c>
      <c r="AD18" s="343">
        <v>532.4346625500001</v>
      </c>
      <c r="AE18" s="343">
        <v>532.4346625500001</v>
      </c>
      <c r="AF18" s="343">
        <v>532.4346625500001</v>
      </c>
      <c r="AG18" s="343">
        <v>532.4346625500001</v>
      </c>
      <c r="AH18" s="343">
        <v>532.4346625500001</v>
      </c>
      <c r="AI18" s="343">
        <v>532.4346625500001</v>
      </c>
      <c r="AJ18" s="343">
        <v>532.4346625500001</v>
      </c>
    </row>
    <row r="19" spans="1:36" x14ac:dyDescent="0.2">
      <c r="A19" s="371" t="s">
        <v>298</v>
      </c>
      <c r="B19" s="382" t="b">
        <v>0</v>
      </c>
      <c r="C19" s="383">
        <v>1800000</v>
      </c>
      <c r="D19" s="371" t="s">
        <v>259</v>
      </c>
      <c r="E19" s="343">
        <v>8100</v>
      </c>
      <c r="F19" s="343">
        <v>8100</v>
      </c>
      <c r="G19" s="343">
        <v>8100</v>
      </c>
      <c r="H19" s="343">
        <v>8100</v>
      </c>
      <c r="I19" s="343">
        <v>8100</v>
      </c>
      <c r="J19" s="343">
        <v>8100</v>
      </c>
      <c r="K19" s="343">
        <v>8100</v>
      </c>
      <c r="L19" s="343">
        <v>8100</v>
      </c>
      <c r="M19" s="343">
        <v>8100</v>
      </c>
      <c r="N19" s="343">
        <v>8100</v>
      </c>
      <c r="O19" s="343">
        <v>8100</v>
      </c>
      <c r="P19" s="343">
        <v>8100</v>
      </c>
      <c r="Q19" s="343">
        <v>8100</v>
      </c>
      <c r="R19" s="343">
        <v>8100</v>
      </c>
      <c r="S19" s="343">
        <v>8100</v>
      </c>
      <c r="T19" s="343">
        <v>8100</v>
      </c>
      <c r="U19" s="343">
        <v>8100</v>
      </c>
      <c r="V19" s="343">
        <v>8100</v>
      </c>
      <c r="W19" s="343">
        <v>8100</v>
      </c>
      <c r="X19" s="343">
        <v>8100</v>
      </c>
      <c r="Y19" s="343">
        <v>8100</v>
      </c>
      <c r="Z19" s="343">
        <v>8100</v>
      </c>
      <c r="AA19" s="343">
        <v>8100</v>
      </c>
      <c r="AB19" s="343">
        <v>8100</v>
      </c>
      <c r="AC19" s="343">
        <v>8100</v>
      </c>
      <c r="AD19" s="343">
        <v>8100</v>
      </c>
      <c r="AE19" s="343">
        <v>8100</v>
      </c>
      <c r="AF19" s="343">
        <v>8100</v>
      </c>
      <c r="AG19" s="343">
        <v>8100</v>
      </c>
      <c r="AH19" s="343">
        <v>8100</v>
      </c>
      <c r="AI19" s="343">
        <v>8100</v>
      </c>
      <c r="AJ19" s="343">
        <v>8100</v>
      </c>
    </row>
    <row r="20" spans="1:36" x14ac:dyDescent="0.2">
      <c r="A20" s="371" t="s">
        <v>299</v>
      </c>
      <c r="B20" s="382" t="b">
        <v>0</v>
      </c>
      <c r="C20" s="383">
        <v>2700000</v>
      </c>
      <c r="D20" s="371" t="s">
        <v>260</v>
      </c>
      <c r="E20" s="343">
        <v>762</v>
      </c>
      <c r="F20" s="343">
        <v>762</v>
      </c>
      <c r="G20" s="343">
        <v>762</v>
      </c>
      <c r="H20" s="343">
        <v>762</v>
      </c>
      <c r="I20" s="343">
        <v>762</v>
      </c>
      <c r="J20" s="343">
        <v>762</v>
      </c>
      <c r="K20" s="343">
        <v>762</v>
      </c>
      <c r="L20" s="343">
        <v>762</v>
      </c>
      <c r="M20" s="343">
        <v>762</v>
      </c>
      <c r="N20" s="343">
        <v>762</v>
      </c>
      <c r="O20" s="343">
        <v>762</v>
      </c>
      <c r="P20" s="343">
        <v>762</v>
      </c>
      <c r="Q20" s="343">
        <v>762</v>
      </c>
      <c r="R20" s="343">
        <v>762</v>
      </c>
      <c r="S20" s="343">
        <v>762</v>
      </c>
      <c r="T20" s="343">
        <v>762</v>
      </c>
      <c r="U20" s="343">
        <v>762</v>
      </c>
      <c r="V20" s="343">
        <v>762</v>
      </c>
      <c r="W20" s="343">
        <v>762</v>
      </c>
      <c r="X20" s="343">
        <v>762</v>
      </c>
      <c r="Y20" s="343">
        <v>762</v>
      </c>
      <c r="Z20" s="343">
        <v>762</v>
      </c>
      <c r="AA20" s="343">
        <v>762</v>
      </c>
      <c r="AB20" s="343">
        <v>762</v>
      </c>
      <c r="AC20" s="343">
        <v>762</v>
      </c>
      <c r="AD20" s="343">
        <v>762</v>
      </c>
      <c r="AE20" s="343">
        <v>762</v>
      </c>
      <c r="AF20" s="343">
        <v>762</v>
      </c>
      <c r="AG20" s="343">
        <v>762</v>
      </c>
      <c r="AH20" s="343">
        <v>762</v>
      </c>
      <c r="AI20" s="343">
        <v>762</v>
      </c>
      <c r="AJ20" s="343">
        <v>762</v>
      </c>
    </row>
    <row r="21" spans="1:36" x14ac:dyDescent="0.2">
      <c r="A21" s="371" t="s">
        <v>300</v>
      </c>
      <c r="B21" s="382" t="b">
        <v>0</v>
      </c>
      <c r="C21" s="383" t="s">
        <v>136</v>
      </c>
      <c r="D21" s="371" t="s">
        <v>301</v>
      </c>
      <c r="E21" s="360">
        <v>0</v>
      </c>
      <c r="F21" s="360">
        <v>0</v>
      </c>
      <c r="G21" s="360">
        <v>0</v>
      </c>
      <c r="H21" s="360">
        <v>0</v>
      </c>
      <c r="I21" s="360">
        <v>0</v>
      </c>
      <c r="J21" s="360">
        <v>0</v>
      </c>
      <c r="K21" s="360">
        <v>0</v>
      </c>
      <c r="L21" s="360">
        <v>0</v>
      </c>
      <c r="M21" s="360">
        <v>0</v>
      </c>
      <c r="N21" s="360">
        <v>0</v>
      </c>
      <c r="O21" s="360">
        <v>0</v>
      </c>
      <c r="P21" s="360">
        <v>0</v>
      </c>
      <c r="Q21" s="360">
        <v>0</v>
      </c>
      <c r="R21" s="360">
        <v>0</v>
      </c>
      <c r="S21" s="360">
        <v>0</v>
      </c>
      <c r="T21" s="360">
        <v>0</v>
      </c>
      <c r="U21" s="360">
        <v>0</v>
      </c>
      <c r="V21" s="360">
        <v>0</v>
      </c>
      <c r="W21" s="360">
        <v>0</v>
      </c>
      <c r="X21" s="360">
        <v>0</v>
      </c>
      <c r="Y21" s="360">
        <v>0</v>
      </c>
      <c r="Z21" s="360">
        <v>0</v>
      </c>
      <c r="AA21" s="360">
        <v>0</v>
      </c>
      <c r="AB21" s="360">
        <v>0</v>
      </c>
      <c r="AC21" s="360">
        <v>0</v>
      </c>
      <c r="AD21" s="360">
        <v>0</v>
      </c>
      <c r="AE21" s="360">
        <v>0</v>
      </c>
      <c r="AF21" s="360">
        <v>0</v>
      </c>
      <c r="AG21" s="360">
        <v>0</v>
      </c>
      <c r="AH21" s="360">
        <v>0</v>
      </c>
      <c r="AI21" s="360">
        <v>0</v>
      </c>
      <c r="AJ21" s="360">
        <v>0</v>
      </c>
    </row>
    <row r="22" spans="1:36" x14ac:dyDescent="0.2">
      <c r="A22" s="371" t="s">
        <v>302</v>
      </c>
      <c r="B22" s="382" t="b">
        <v>1</v>
      </c>
      <c r="C22" s="383">
        <v>0</v>
      </c>
      <c r="D22" s="371" t="s">
        <v>303</v>
      </c>
      <c r="E22" s="360">
        <v>0</v>
      </c>
      <c r="F22" s="360">
        <v>0</v>
      </c>
      <c r="G22" s="360">
        <v>0</v>
      </c>
      <c r="H22" s="360">
        <v>0</v>
      </c>
      <c r="I22" s="360">
        <v>0</v>
      </c>
      <c r="J22" s="360">
        <v>0</v>
      </c>
      <c r="K22" s="360">
        <v>0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  <c r="Q22" s="360">
        <v>0</v>
      </c>
      <c r="R22" s="360">
        <v>0</v>
      </c>
      <c r="S22" s="360">
        <v>0</v>
      </c>
      <c r="T22" s="360">
        <v>0</v>
      </c>
      <c r="U22" s="360">
        <v>0</v>
      </c>
      <c r="V22" s="360">
        <v>0</v>
      </c>
      <c r="W22" s="360">
        <v>0</v>
      </c>
      <c r="X22" s="360">
        <v>0</v>
      </c>
      <c r="Y22" s="360">
        <v>0</v>
      </c>
      <c r="Z22" s="360">
        <v>0</v>
      </c>
      <c r="AA22" s="360">
        <v>0</v>
      </c>
      <c r="AB22" s="360">
        <v>0</v>
      </c>
      <c r="AC22" s="360">
        <v>0</v>
      </c>
      <c r="AD22" s="360">
        <v>0</v>
      </c>
      <c r="AE22" s="360">
        <v>0</v>
      </c>
      <c r="AF22" s="360">
        <v>0</v>
      </c>
      <c r="AG22" s="360">
        <v>0</v>
      </c>
      <c r="AH22" s="360">
        <v>0</v>
      </c>
      <c r="AI22" s="360">
        <v>0</v>
      </c>
      <c r="AJ22" s="360">
        <v>0</v>
      </c>
    </row>
    <row r="23" spans="1:36" x14ac:dyDescent="0.2">
      <c r="A23" s="371" t="s">
        <v>304</v>
      </c>
      <c r="B23" s="384">
        <v>0</v>
      </c>
      <c r="C23" s="383">
        <v>0</v>
      </c>
      <c r="D23" s="371" t="s">
        <v>18</v>
      </c>
      <c r="E23" s="360">
        <v>30000</v>
      </c>
      <c r="F23" s="360">
        <v>30000</v>
      </c>
      <c r="G23" s="360">
        <v>30000</v>
      </c>
      <c r="H23" s="360">
        <v>30000</v>
      </c>
      <c r="I23" s="360">
        <v>30000</v>
      </c>
      <c r="J23" s="360">
        <v>30000</v>
      </c>
      <c r="K23" s="360">
        <v>30000</v>
      </c>
      <c r="L23" s="360">
        <v>30000</v>
      </c>
      <c r="M23" s="360">
        <v>30000</v>
      </c>
      <c r="N23" s="360">
        <v>30000</v>
      </c>
      <c r="O23" s="360">
        <v>30000</v>
      </c>
      <c r="P23" s="360">
        <v>30000</v>
      </c>
      <c r="Q23" s="360">
        <v>30000</v>
      </c>
      <c r="R23" s="360">
        <v>30000</v>
      </c>
      <c r="S23" s="360">
        <v>30000</v>
      </c>
      <c r="T23" s="360">
        <v>30000</v>
      </c>
      <c r="U23" s="360">
        <v>30000</v>
      </c>
      <c r="V23" s="360">
        <v>30000</v>
      </c>
      <c r="W23" s="360">
        <v>30000</v>
      </c>
      <c r="X23" s="360">
        <v>30000</v>
      </c>
      <c r="Y23" s="360">
        <v>30000</v>
      </c>
      <c r="Z23" s="360">
        <v>30000</v>
      </c>
      <c r="AA23" s="360">
        <v>30000</v>
      </c>
      <c r="AB23" s="360">
        <v>30000</v>
      </c>
      <c r="AC23" s="360">
        <v>30000</v>
      </c>
      <c r="AD23" s="360">
        <v>30000</v>
      </c>
      <c r="AE23" s="360">
        <v>30000</v>
      </c>
      <c r="AF23" s="360">
        <v>30000</v>
      </c>
      <c r="AG23" s="360">
        <v>30000</v>
      </c>
      <c r="AH23" s="360">
        <v>30000</v>
      </c>
      <c r="AI23" s="360">
        <v>30000</v>
      </c>
      <c r="AJ23" s="360">
        <v>30000</v>
      </c>
    </row>
    <row r="24" spans="1:36" x14ac:dyDescent="0.2">
      <c r="A24" s="385"/>
      <c r="B24" s="385"/>
      <c r="C24" s="383">
        <v>0</v>
      </c>
      <c r="D24" s="386" t="s">
        <v>305</v>
      </c>
      <c r="E24" s="387">
        <v>0</v>
      </c>
      <c r="F24" s="387">
        <v>0</v>
      </c>
      <c r="G24" s="387">
        <v>0</v>
      </c>
      <c r="H24" s="387">
        <v>0</v>
      </c>
      <c r="I24" s="387">
        <v>0</v>
      </c>
      <c r="J24" s="387">
        <v>0</v>
      </c>
      <c r="K24" s="387">
        <v>0</v>
      </c>
      <c r="L24" s="387">
        <v>0</v>
      </c>
      <c r="M24" s="387">
        <v>0</v>
      </c>
      <c r="N24" s="387">
        <v>0</v>
      </c>
      <c r="O24" s="387">
        <v>0</v>
      </c>
      <c r="P24" s="387">
        <v>0</v>
      </c>
      <c r="Q24" s="387">
        <v>0</v>
      </c>
      <c r="R24" s="387">
        <v>0</v>
      </c>
      <c r="S24" s="387">
        <v>0</v>
      </c>
      <c r="T24" s="387">
        <v>0</v>
      </c>
      <c r="U24" s="387">
        <v>0</v>
      </c>
      <c r="V24" s="387">
        <v>0</v>
      </c>
      <c r="W24" s="387">
        <v>0</v>
      </c>
      <c r="X24" s="387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0</v>
      </c>
      <c r="AE24" s="387">
        <v>0</v>
      </c>
      <c r="AF24" s="387">
        <v>0</v>
      </c>
      <c r="AG24" s="387">
        <v>0</v>
      </c>
      <c r="AH24" s="387">
        <v>0</v>
      </c>
      <c r="AI24" s="387">
        <v>0</v>
      </c>
      <c r="AJ24" s="387">
        <v>0</v>
      </c>
    </row>
    <row r="25" spans="1:36" x14ac:dyDescent="0.2">
      <c r="A25" s="388"/>
      <c r="B25" s="388"/>
      <c r="C25" s="388"/>
      <c r="D25" s="389" t="s">
        <v>306</v>
      </c>
      <c r="E25" s="390">
        <v>90161.05700340269</v>
      </c>
      <c r="F25" s="390">
        <v>101089.18299119594</v>
      </c>
      <c r="G25" s="390">
        <v>109194.09221571934</v>
      </c>
      <c r="H25" s="390">
        <v>110673.28880088999</v>
      </c>
      <c r="I25" s="390">
        <v>111144.58877676904</v>
      </c>
      <c r="J25" s="390">
        <v>111187.31309166572</v>
      </c>
      <c r="K25" s="390">
        <v>111306.39479445407</v>
      </c>
      <c r="L25" s="390">
        <v>111967.03586613195</v>
      </c>
      <c r="M25" s="390">
        <v>112958.60218724739</v>
      </c>
      <c r="N25" s="390">
        <v>112884.56539916052</v>
      </c>
      <c r="O25" s="390">
        <v>112884.56539916052</v>
      </c>
      <c r="P25" s="390">
        <v>112884.56539916052</v>
      </c>
      <c r="Q25" s="390">
        <v>112884.56539916052</v>
      </c>
      <c r="R25" s="390">
        <v>112884.56539916052</v>
      </c>
      <c r="S25" s="390">
        <v>112884.56539916052</v>
      </c>
      <c r="T25" s="390">
        <v>112884.56539916052</v>
      </c>
      <c r="U25" s="390">
        <v>112884.56539916052</v>
      </c>
      <c r="V25" s="390">
        <v>112884.56539916052</v>
      </c>
      <c r="W25" s="390">
        <v>112884.56539916052</v>
      </c>
      <c r="X25" s="390">
        <v>112884.56539916052</v>
      </c>
      <c r="Y25" s="390">
        <v>112884.56539916052</v>
      </c>
      <c r="Z25" s="390">
        <v>112884.56539916052</v>
      </c>
      <c r="AA25" s="390">
        <v>112884.56539916052</v>
      </c>
      <c r="AB25" s="390">
        <v>112884.56539916052</v>
      </c>
      <c r="AC25" s="390">
        <v>112884.56539916052</v>
      </c>
      <c r="AD25" s="390">
        <v>112884.56539916052</v>
      </c>
      <c r="AE25" s="390">
        <v>112884.56539916052</v>
      </c>
      <c r="AF25" s="390">
        <v>112884.56539916052</v>
      </c>
      <c r="AG25" s="390">
        <v>112884.56539916052</v>
      </c>
      <c r="AH25" s="390">
        <v>112884.56539916052</v>
      </c>
      <c r="AI25" s="390">
        <v>112884.56539916052</v>
      </c>
      <c r="AJ25" s="390">
        <v>112884.56539916052</v>
      </c>
    </row>
    <row r="26" spans="1:36" x14ac:dyDescent="0.2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</row>
    <row r="27" spans="1:36" x14ac:dyDescent="0.2">
      <c r="A27" s="366" t="s">
        <v>267</v>
      </c>
      <c r="B27" s="366"/>
      <c r="C27" s="367" t="s">
        <v>268</v>
      </c>
      <c r="D27" s="367"/>
      <c r="E27" s="363"/>
      <c r="F27" s="369" t="s">
        <v>269</v>
      </c>
      <c r="G27" s="370" t="s">
        <v>270</v>
      </c>
      <c r="H27" s="367" t="s">
        <v>271</v>
      </c>
      <c r="I27" s="367" t="s">
        <v>272</v>
      </c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</row>
    <row r="28" spans="1:36" x14ac:dyDescent="0.2">
      <c r="A28" s="371" t="s">
        <v>273</v>
      </c>
      <c r="B28" s="372" t="s">
        <v>314</v>
      </c>
      <c r="C28" s="373" t="s">
        <v>274</v>
      </c>
      <c r="D28" s="354"/>
      <c r="E28" s="363"/>
      <c r="F28" s="373" t="s">
        <v>275</v>
      </c>
      <c r="G28" s="374">
        <v>2.5000000000000001E-3</v>
      </c>
      <c r="H28" s="370">
        <v>1</v>
      </c>
      <c r="I28" s="375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</row>
    <row r="29" spans="1:36" x14ac:dyDescent="0.2">
      <c r="A29" s="371" t="s">
        <v>276</v>
      </c>
      <c r="B29" s="372" t="s">
        <v>277</v>
      </c>
      <c r="C29" s="373" t="s">
        <v>278</v>
      </c>
      <c r="D29" s="354"/>
      <c r="E29" s="363"/>
      <c r="F29" s="373" t="s">
        <v>279</v>
      </c>
      <c r="G29" s="374">
        <v>2.5000000000000001E-3</v>
      </c>
      <c r="H29" s="370">
        <v>1</v>
      </c>
      <c r="I29" s="375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</row>
    <row r="30" spans="1:36" x14ac:dyDescent="0.2">
      <c r="A30" s="376" t="s">
        <v>8</v>
      </c>
      <c r="B30" s="355">
        <v>50.104999999999997</v>
      </c>
      <c r="C30" s="376" t="s">
        <v>280</v>
      </c>
      <c r="D30" s="377">
        <v>1080000</v>
      </c>
      <c r="E30" s="363"/>
      <c r="F30" s="373" t="s">
        <v>281</v>
      </c>
      <c r="G30" s="374">
        <v>2.5000000000000001E-3</v>
      </c>
      <c r="H30" s="370">
        <v>1</v>
      </c>
      <c r="I30" s="375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</row>
    <row r="31" spans="1:36" x14ac:dyDescent="0.2">
      <c r="A31" s="376" t="s">
        <v>282</v>
      </c>
      <c r="B31" s="391">
        <v>0.5</v>
      </c>
      <c r="C31" s="376" t="s">
        <v>283</v>
      </c>
      <c r="D31" s="377">
        <v>101600</v>
      </c>
      <c r="E31" s="363"/>
      <c r="F31" s="373" t="s">
        <v>284</v>
      </c>
      <c r="G31" s="378">
        <v>0</v>
      </c>
      <c r="H31" s="370">
        <v>1</v>
      </c>
      <c r="I31" s="375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</row>
    <row r="32" spans="1:36" x14ac:dyDescent="0.2">
      <c r="A32" s="379" t="s">
        <v>317</v>
      </c>
      <c r="B32" s="380" t="s">
        <v>285</v>
      </c>
      <c r="C32" s="367" t="s">
        <v>286</v>
      </c>
      <c r="D32" s="366" t="s">
        <v>287</v>
      </c>
      <c r="E32" s="367">
        <v>2025</v>
      </c>
      <c r="F32" s="367">
        <v>2026</v>
      </c>
      <c r="G32" s="367">
        <v>2027</v>
      </c>
      <c r="H32" s="367">
        <v>2028</v>
      </c>
      <c r="I32" s="367">
        <v>2029</v>
      </c>
      <c r="J32" s="367">
        <v>2030</v>
      </c>
      <c r="K32" s="367">
        <v>2031</v>
      </c>
      <c r="L32" s="367">
        <v>2032</v>
      </c>
      <c r="M32" s="367">
        <v>2033</v>
      </c>
      <c r="N32" s="367">
        <v>2034</v>
      </c>
      <c r="O32" s="367">
        <v>2035</v>
      </c>
      <c r="P32" s="367">
        <v>2036</v>
      </c>
      <c r="Q32" s="367">
        <v>2037</v>
      </c>
      <c r="R32" s="367">
        <v>2038</v>
      </c>
      <c r="S32" s="367">
        <v>2039</v>
      </c>
      <c r="T32" s="367">
        <v>2040</v>
      </c>
      <c r="U32" s="367">
        <v>2041</v>
      </c>
      <c r="V32" s="367">
        <v>2042</v>
      </c>
      <c r="W32" s="367">
        <v>2043</v>
      </c>
      <c r="X32" s="367">
        <v>2044</v>
      </c>
      <c r="Y32" s="367">
        <v>2045</v>
      </c>
      <c r="Z32" s="367">
        <v>2046</v>
      </c>
      <c r="AA32" s="367">
        <v>2047</v>
      </c>
      <c r="AB32" s="381">
        <v>2048</v>
      </c>
      <c r="AC32" s="381">
        <v>2049</v>
      </c>
      <c r="AD32" s="381">
        <v>2050</v>
      </c>
      <c r="AE32" s="381">
        <v>2051</v>
      </c>
      <c r="AF32" s="381">
        <v>2052</v>
      </c>
      <c r="AG32" s="381">
        <v>2053</v>
      </c>
      <c r="AH32" s="381">
        <v>2054</v>
      </c>
      <c r="AI32" s="381">
        <v>2055</v>
      </c>
      <c r="AJ32" s="381">
        <v>2056</v>
      </c>
    </row>
    <row r="33" spans="1:36" x14ac:dyDescent="0.2">
      <c r="A33" s="371" t="s">
        <v>288</v>
      </c>
      <c r="B33" s="382" t="b">
        <v>0</v>
      </c>
      <c r="C33" s="383">
        <v>0</v>
      </c>
      <c r="D33" s="371" t="s">
        <v>23</v>
      </c>
      <c r="E33" s="356">
        <v>1002.7588824216011</v>
      </c>
      <c r="F33" s="356">
        <v>1215.4824992214631</v>
      </c>
      <c r="G33" s="356">
        <v>135.28334032404291</v>
      </c>
      <c r="H33" s="356">
        <v>137.85898117702877</v>
      </c>
      <c r="I33" s="356">
        <v>138.4620613516295</v>
      </c>
      <c r="J33" s="356">
        <v>138.38725126236767</v>
      </c>
      <c r="K33" s="356">
        <v>138.49769635488838</v>
      </c>
      <c r="L33" s="356">
        <v>139.66660697637724</v>
      </c>
      <c r="M33" s="356">
        <v>141.26717884350396</v>
      </c>
      <c r="N33" s="356">
        <v>140.9037473475002</v>
      </c>
      <c r="O33" s="356">
        <v>140.9037473475002</v>
      </c>
      <c r="P33" s="356">
        <v>140.9037473475002</v>
      </c>
      <c r="Q33" s="356">
        <v>140.9037473475002</v>
      </c>
      <c r="R33" s="356">
        <v>140.9037473475002</v>
      </c>
      <c r="S33" s="356">
        <v>140.9037473475002</v>
      </c>
      <c r="T33" s="356">
        <v>140.9037473475002</v>
      </c>
      <c r="U33" s="356">
        <v>140.9037473475002</v>
      </c>
      <c r="V33" s="356">
        <v>140.9037473475002</v>
      </c>
      <c r="W33" s="356">
        <v>140.9037473475002</v>
      </c>
      <c r="X33" s="356">
        <v>140.9037473475002</v>
      </c>
      <c r="Y33" s="356">
        <v>140.9037473475002</v>
      </c>
      <c r="Z33" s="356">
        <v>140.9037473475002</v>
      </c>
      <c r="AA33" s="356">
        <v>140.9037473475002</v>
      </c>
      <c r="AB33" s="356">
        <v>140.9037473475002</v>
      </c>
      <c r="AC33" s="356">
        <v>140.9037473475002</v>
      </c>
      <c r="AD33" s="356">
        <v>140.9037473475002</v>
      </c>
      <c r="AE33" s="356">
        <v>140.9037473475002</v>
      </c>
      <c r="AF33" s="356">
        <v>140.9037473475002</v>
      </c>
      <c r="AG33" s="356">
        <v>140.9037473475002</v>
      </c>
      <c r="AH33" s="356">
        <v>140.9037473475002</v>
      </c>
      <c r="AI33" s="356">
        <v>140.9037473475002</v>
      </c>
      <c r="AJ33" s="356">
        <v>140.9037473475002</v>
      </c>
    </row>
    <row r="34" spans="1:36" x14ac:dyDescent="0.2">
      <c r="A34" s="371" t="s">
        <v>289</v>
      </c>
      <c r="B34" s="382" t="b">
        <v>0</v>
      </c>
      <c r="C34" s="383">
        <v>50000</v>
      </c>
      <c r="D34" s="371" t="s">
        <v>23</v>
      </c>
      <c r="E34" s="357">
        <v>1037.5783307213967</v>
      </c>
      <c r="F34" s="357">
        <v>1268.2382258724654</v>
      </c>
      <c r="G34" s="357">
        <v>142.5669725480343</v>
      </c>
      <c r="H34" s="357">
        <v>146.19079331629786</v>
      </c>
      <c r="I34" s="357">
        <v>147.8525770720575</v>
      </c>
      <c r="J34" s="357">
        <v>148.30608080663686</v>
      </c>
      <c r="K34" s="357">
        <v>148.82359471580907</v>
      </c>
      <c r="L34" s="357">
        <v>150.39976195025179</v>
      </c>
      <c r="M34" s="357">
        <v>153.1244413492106</v>
      </c>
      <c r="N34" s="357">
        <v>153.49072768497302</v>
      </c>
      <c r="O34" s="357">
        <v>153.49072768497302</v>
      </c>
      <c r="P34" s="357">
        <v>153.49072768497302</v>
      </c>
      <c r="Q34" s="357">
        <v>153.49072768497302</v>
      </c>
      <c r="R34" s="357">
        <v>153.49072768497302</v>
      </c>
      <c r="S34" s="357">
        <v>153.49072768497302</v>
      </c>
      <c r="T34" s="357">
        <v>153.49072768497302</v>
      </c>
      <c r="U34" s="357">
        <v>153.49072768497302</v>
      </c>
      <c r="V34" s="357">
        <v>153.49072768497302</v>
      </c>
      <c r="W34" s="357">
        <v>153.49072768497302</v>
      </c>
      <c r="X34" s="357">
        <v>153.49072768497302</v>
      </c>
      <c r="Y34" s="357">
        <v>153.49072768497302</v>
      </c>
      <c r="Z34" s="357">
        <v>153.49072768497302</v>
      </c>
      <c r="AA34" s="357">
        <v>153.49072768497302</v>
      </c>
      <c r="AB34" s="357">
        <v>153.49072768497302</v>
      </c>
      <c r="AC34" s="357">
        <v>153.49072768497302</v>
      </c>
      <c r="AD34" s="357">
        <v>153.49072768497302</v>
      </c>
      <c r="AE34" s="357">
        <v>153.49072768497302</v>
      </c>
      <c r="AF34" s="357">
        <v>153.49072768497302</v>
      </c>
      <c r="AG34" s="357">
        <v>153.49072768497302</v>
      </c>
      <c r="AH34" s="357">
        <v>153.49072768497302</v>
      </c>
      <c r="AI34" s="357">
        <v>153.49072768497302</v>
      </c>
      <c r="AJ34" s="357">
        <v>153.49072768497302</v>
      </c>
    </row>
    <row r="35" spans="1:36" x14ac:dyDescent="0.2">
      <c r="A35" s="371" t="s">
        <v>290</v>
      </c>
      <c r="B35" s="382" t="b">
        <v>0</v>
      </c>
      <c r="C35" s="383">
        <v>300000</v>
      </c>
      <c r="D35" s="371" t="s">
        <v>23</v>
      </c>
      <c r="E35" s="357">
        <v>1002.7588824216011</v>
      </c>
      <c r="F35" s="357">
        <v>1215.4824992214631</v>
      </c>
      <c r="G35" s="357">
        <v>135.28334032404291</v>
      </c>
      <c r="H35" s="357">
        <v>137.85898117702877</v>
      </c>
      <c r="I35" s="357">
        <v>138.4620613516295</v>
      </c>
      <c r="J35" s="357">
        <v>138.38725126236767</v>
      </c>
      <c r="K35" s="357">
        <v>138.49769635488838</v>
      </c>
      <c r="L35" s="357">
        <v>139.66660697637724</v>
      </c>
      <c r="M35" s="357">
        <v>141.26717884350396</v>
      </c>
      <c r="N35" s="357">
        <v>140.9037473475002</v>
      </c>
      <c r="O35" s="357">
        <v>140.9037473475002</v>
      </c>
      <c r="P35" s="357">
        <v>140.9037473475002</v>
      </c>
      <c r="Q35" s="357">
        <v>140.9037473475002</v>
      </c>
      <c r="R35" s="357">
        <v>140.9037473475002</v>
      </c>
      <c r="S35" s="357">
        <v>140.9037473475002</v>
      </c>
      <c r="T35" s="357">
        <v>140.9037473475002</v>
      </c>
      <c r="U35" s="357">
        <v>140.9037473475002</v>
      </c>
      <c r="V35" s="357">
        <v>140.9037473475002</v>
      </c>
      <c r="W35" s="357">
        <v>140.9037473475002</v>
      </c>
      <c r="X35" s="357">
        <v>140.9037473475002</v>
      </c>
      <c r="Y35" s="357">
        <v>140.9037473475002</v>
      </c>
      <c r="Z35" s="357">
        <v>140.9037473475002</v>
      </c>
      <c r="AA35" s="357">
        <v>140.9037473475002</v>
      </c>
      <c r="AB35" s="357">
        <v>140.9037473475002</v>
      </c>
      <c r="AC35" s="357">
        <v>140.9037473475002</v>
      </c>
      <c r="AD35" s="357">
        <v>140.9037473475002</v>
      </c>
      <c r="AE35" s="357">
        <v>140.9037473475002</v>
      </c>
      <c r="AF35" s="357">
        <v>140.9037473475002</v>
      </c>
      <c r="AG35" s="357">
        <v>140.9037473475002</v>
      </c>
      <c r="AH35" s="357">
        <v>140.9037473475002</v>
      </c>
      <c r="AI35" s="357">
        <v>140.9037473475002</v>
      </c>
      <c r="AJ35" s="357">
        <v>140.9037473475002</v>
      </c>
    </row>
    <row r="36" spans="1:36" x14ac:dyDescent="0.2">
      <c r="A36" s="371" t="s">
        <v>291</v>
      </c>
      <c r="B36" s="382" t="b">
        <v>0</v>
      </c>
      <c r="C36" s="383">
        <v>4000</v>
      </c>
      <c r="D36" s="371" t="s">
        <v>292</v>
      </c>
      <c r="E36" s="358">
        <v>7.4999999999999997E-3</v>
      </c>
      <c r="F36" s="358">
        <v>7.4999999999999997E-3</v>
      </c>
      <c r="G36" s="358">
        <v>7.5000000000000002E-4</v>
      </c>
      <c r="H36" s="358">
        <v>7.499999999999998E-4</v>
      </c>
      <c r="I36" s="358">
        <v>7.499999999999998E-4</v>
      </c>
      <c r="J36" s="358">
        <v>7.499999999999998E-4</v>
      </c>
      <c r="K36" s="358">
        <v>7.499999999999998E-4</v>
      </c>
      <c r="L36" s="358">
        <v>7.499999999999998E-4</v>
      </c>
      <c r="M36" s="358">
        <v>7.499999999999998E-4</v>
      </c>
      <c r="N36" s="358">
        <v>7.499999999999998E-4</v>
      </c>
      <c r="O36" s="358">
        <v>7.499999999999998E-4</v>
      </c>
      <c r="P36" s="358">
        <v>7.499999999999998E-4</v>
      </c>
      <c r="Q36" s="358">
        <v>7.499999999999998E-4</v>
      </c>
      <c r="R36" s="358">
        <v>7.499999999999998E-4</v>
      </c>
      <c r="S36" s="358">
        <v>7.499999999999998E-4</v>
      </c>
      <c r="T36" s="358">
        <v>7.499999999999998E-4</v>
      </c>
      <c r="U36" s="358">
        <v>7.499999999999998E-4</v>
      </c>
      <c r="V36" s="358">
        <v>7.499999999999998E-4</v>
      </c>
      <c r="W36" s="358">
        <v>7.499999999999998E-4</v>
      </c>
      <c r="X36" s="358">
        <v>7.499999999999998E-4</v>
      </c>
      <c r="Y36" s="358">
        <v>7.499999999999998E-4</v>
      </c>
      <c r="Z36" s="358">
        <v>7.499999999999998E-4</v>
      </c>
      <c r="AA36" s="358">
        <v>7.499999999999998E-4</v>
      </c>
      <c r="AB36" s="358">
        <v>7.499999999999998E-4</v>
      </c>
      <c r="AC36" s="358">
        <v>7.499999999999998E-4</v>
      </c>
      <c r="AD36" s="358">
        <v>7.499999999999998E-4</v>
      </c>
      <c r="AE36" s="358">
        <v>7.499999999999998E-4</v>
      </c>
      <c r="AF36" s="358">
        <v>7.499999999999998E-4</v>
      </c>
      <c r="AG36" s="358">
        <v>7.499999999999998E-4</v>
      </c>
      <c r="AH36" s="358">
        <v>7.499999999999998E-4</v>
      </c>
      <c r="AI36" s="358">
        <v>7.499999999999998E-4</v>
      </c>
      <c r="AJ36" s="358">
        <v>7.499999999999998E-4</v>
      </c>
    </row>
    <row r="37" spans="1:36" x14ac:dyDescent="0.2">
      <c r="A37" s="371" t="s">
        <v>293</v>
      </c>
      <c r="B37" s="382" t="b">
        <v>0</v>
      </c>
      <c r="C37" s="383">
        <v>650</v>
      </c>
      <c r="D37" s="371" t="s">
        <v>294</v>
      </c>
      <c r="E37" s="358">
        <v>7.4999999999999997E-3</v>
      </c>
      <c r="F37" s="358">
        <v>7.4999999999999997E-3</v>
      </c>
      <c r="G37" s="358">
        <v>7.499999999999998E-4</v>
      </c>
      <c r="H37" s="358">
        <v>7.499999999999998E-4</v>
      </c>
      <c r="I37" s="358">
        <v>7.499999999999998E-4</v>
      </c>
      <c r="J37" s="358">
        <v>7.499999999999998E-4</v>
      </c>
      <c r="K37" s="358">
        <v>7.499999999999998E-4</v>
      </c>
      <c r="L37" s="358">
        <v>7.499999999999998E-4</v>
      </c>
      <c r="M37" s="358">
        <v>7.499999999999998E-4</v>
      </c>
      <c r="N37" s="358">
        <v>7.499999999999998E-4</v>
      </c>
      <c r="O37" s="358">
        <v>7.499999999999998E-4</v>
      </c>
      <c r="P37" s="358">
        <v>7.499999999999998E-4</v>
      </c>
      <c r="Q37" s="358">
        <v>7.499999999999998E-4</v>
      </c>
      <c r="R37" s="358">
        <v>7.499999999999998E-4</v>
      </c>
      <c r="S37" s="358">
        <v>7.499999999999998E-4</v>
      </c>
      <c r="T37" s="358">
        <v>7.499999999999998E-4</v>
      </c>
      <c r="U37" s="358">
        <v>7.499999999999998E-4</v>
      </c>
      <c r="V37" s="358">
        <v>7.499999999999998E-4</v>
      </c>
      <c r="W37" s="358">
        <v>7.499999999999998E-4</v>
      </c>
      <c r="X37" s="358">
        <v>7.499999999999998E-4</v>
      </c>
      <c r="Y37" s="358">
        <v>7.499999999999998E-4</v>
      </c>
      <c r="Z37" s="358">
        <v>7.499999999999998E-4</v>
      </c>
      <c r="AA37" s="358">
        <v>7.499999999999998E-4</v>
      </c>
      <c r="AB37" s="358">
        <v>7.499999999999998E-4</v>
      </c>
      <c r="AC37" s="358">
        <v>7.499999999999998E-4</v>
      </c>
      <c r="AD37" s="358">
        <v>7.499999999999998E-4</v>
      </c>
      <c r="AE37" s="358">
        <v>7.499999999999998E-4</v>
      </c>
      <c r="AF37" s="358">
        <v>7.499999999999998E-4</v>
      </c>
      <c r="AG37" s="358">
        <v>7.499999999999998E-4</v>
      </c>
      <c r="AH37" s="358">
        <v>7.499999999999998E-4</v>
      </c>
      <c r="AI37" s="358">
        <v>7.499999999999998E-4</v>
      </c>
      <c r="AJ37" s="358">
        <v>7.499999999999998E-4</v>
      </c>
    </row>
    <row r="38" spans="1:36" x14ac:dyDescent="0.2">
      <c r="A38" s="371" t="s">
        <v>295</v>
      </c>
      <c r="B38" s="384" t="b">
        <v>0</v>
      </c>
      <c r="C38" s="383">
        <v>300000</v>
      </c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</row>
    <row r="39" spans="1:36" x14ac:dyDescent="0.2">
      <c r="A39" s="371" t="s">
        <v>296</v>
      </c>
      <c r="B39" s="384" t="b">
        <v>0</v>
      </c>
      <c r="C39" s="383">
        <v>500000</v>
      </c>
      <c r="D39" s="371" t="s">
        <v>266</v>
      </c>
      <c r="E39" s="359">
        <v>50766.622340852693</v>
      </c>
      <c r="F39" s="359">
        <v>61694.748328645939</v>
      </c>
      <c r="G39" s="359">
        <v>6887.8556847110958</v>
      </c>
      <c r="H39" s="359">
        <v>7032.6638860464491</v>
      </c>
      <c r="I39" s="359">
        <v>7078.7951210750089</v>
      </c>
      <c r="J39" s="359">
        <v>7082.9881107956135</v>
      </c>
      <c r="K39" s="359">
        <v>7094.6408170738605</v>
      </c>
      <c r="L39" s="359">
        <v>7159.3307615411768</v>
      </c>
      <c r="M39" s="359">
        <v>7256.4244373082938</v>
      </c>
      <c r="N39" s="359">
        <v>7249.1834557892189</v>
      </c>
      <c r="O39" s="359">
        <v>7249.1834557892189</v>
      </c>
      <c r="P39" s="359">
        <v>7249.1834557892189</v>
      </c>
      <c r="Q39" s="359">
        <v>7249.1834557892189</v>
      </c>
      <c r="R39" s="359">
        <v>7249.1834557892189</v>
      </c>
      <c r="S39" s="359">
        <v>7249.1834557892189</v>
      </c>
      <c r="T39" s="359">
        <v>7249.1834557892189</v>
      </c>
      <c r="U39" s="359">
        <v>7249.1834557892189</v>
      </c>
      <c r="V39" s="359">
        <v>7249.1834557892189</v>
      </c>
      <c r="W39" s="359">
        <v>7249.1834557892189</v>
      </c>
      <c r="X39" s="359">
        <v>7249.1834557892189</v>
      </c>
      <c r="Y39" s="359">
        <v>7249.1834557892189</v>
      </c>
      <c r="Z39" s="359">
        <v>7249.1834557892189</v>
      </c>
      <c r="AA39" s="359">
        <v>7249.1834557892189</v>
      </c>
      <c r="AB39" s="359">
        <v>7249.1834557892189</v>
      </c>
      <c r="AC39" s="359">
        <v>7249.1834557892189</v>
      </c>
      <c r="AD39" s="359">
        <v>7249.1834557892189</v>
      </c>
      <c r="AE39" s="359">
        <v>7249.1834557892189</v>
      </c>
      <c r="AF39" s="359">
        <v>7249.1834557892189</v>
      </c>
      <c r="AG39" s="359">
        <v>7249.1834557892189</v>
      </c>
      <c r="AH39" s="359">
        <v>7249.1834557892189</v>
      </c>
      <c r="AI39" s="359">
        <v>7249.1834557892189</v>
      </c>
      <c r="AJ39" s="359">
        <v>7249.1834557892189</v>
      </c>
    </row>
    <row r="40" spans="1:36" x14ac:dyDescent="0.2">
      <c r="A40" s="371" t="s">
        <v>297</v>
      </c>
      <c r="B40" s="382" t="b">
        <v>0</v>
      </c>
      <c r="C40" s="383">
        <v>900000</v>
      </c>
      <c r="D40" s="371" t="s">
        <v>258</v>
      </c>
      <c r="E40" s="343">
        <v>532.4346625500001</v>
      </c>
      <c r="F40" s="343">
        <v>532.4346625500001</v>
      </c>
      <c r="G40" s="343">
        <v>53.243466255000001</v>
      </c>
      <c r="H40" s="343">
        <v>53.243466254999994</v>
      </c>
      <c r="I40" s="343">
        <v>53.243466254999994</v>
      </c>
      <c r="J40" s="343">
        <v>53.243466254999994</v>
      </c>
      <c r="K40" s="343">
        <v>53.243466254999994</v>
      </c>
      <c r="L40" s="343">
        <v>53.243466254999994</v>
      </c>
      <c r="M40" s="343">
        <v>53.243466254999994</v>
      </c>
      <c r="N40" s="343">
        <v>53.243466254999994</v>
      </c>
      <c r="O40" s="343">
        <v>53.243466254999994</v>
      </c>
      <c r="P40" s="343">
        <v>53.243466254999994</v>
      </c>
      <c r="Q40" s="343">
        <v>53.243466254999994</v>
      </c>
      <c r="R40" s="343">
        <v>53.243466254999994</v>
      </c>
      <c r="S40" s="343">
        <v>53.243466254999994</v>
      </c>
      <c r="T40" s="343">
        <v>53.243466254999994</v>
      </c>
      <c r="U40" s="343">
        <v>53.243466254999994</v>
      </c>
      <c r="V40" s="343">
        <v>53.243466254999994</v>
      </c>
      <c r="W40" s="343">
        <v>53.243466254999994</v>
      </c>
      <c r="X40" s="343">
        <v>53.243466254999994</v>
      </c>
      <c r="Y40" s="343">
        <v>53.243466254999994</v>
      </c>
      <c r="Z40" s="343">
        <v>53.243466254999994</v>
      </c>
      <c r="AA40" s="343">
        <v>53.243466254999994</v>
      </c>
      <c r="AB40" s="343">
        <v>53.243466254999994</v>
      </c>
      <c r="AC40" s="343">
        <v>53.243466254999994</v>
      </c>
      <c r="AD40" s="343">
        <v>53.243466254999994</v>
      </c>
      <c r="AE40" s="343">
        <v>53.243466254999994</v>
      </c>
      <c r="AF40" s="343">
        <v>53.243466254999994</v>
      </c>
      <c r="AG40" s="343">
        <v>53.243466254999994</v>
      </c>
      <c r="AH40" s="343">
        <v>53.243466254999994</v>
      </c>
      <c r="AI40" s="343">
        <v>53.243466254999994</v>
      </c>
      <c r="AJ40" s="343">
        <v>53.243466254999994</v>
      </c>
    </row>
    <row r="41" spans="1:36" x14ac:dyDescent="0.2">
      <c r="A41" s="371" t="s">
        <v>298</v>
      </c>
      <c r="B41" s="382" t="b">
        <v>0</v>
      </c>
      <c r="C41" s="383">
        <v>1800000</v>
      </c>
      <c r="D41" s="371" t="s">
        <v>259</v>
      </c>
      <c r="E41" s="343">
        <v>8100</v>
      </c>
      <c r="F41" s="343">
        <v>8100</v>
      </c>
      <c r="G41" s="343">
        <v>810</v>
      </c>
      <c r="H41" s="343">
        <v>809.99999999999977</v>
      </c>
      <c r="I41" s="343">
        <v>809.99999999999977</v>
      </c>
      <c r="J41" s="343">
        <v>809.99999999999977</v>
      </c>
      <c r="K41" s="343">
        <v>809.99999999999977</v>
      </c>
      <c r="L41" s="343">
        <v>809.99999999999977</v>
      </c>
      <c r="M41" s="343">
        <v>809.99999999999977</v>
      </c>
      <c r="N41" s="343">
        <v>809.99999999999977</v>
      </c>
      <c r="O41" s="343">
        <v>809.99999999999977</v>
      </c>
      <c r="P41" s="343">
        <v>809.99999999999977</v>
      </c>
      <c r="Q41" s="343">
        <v>809.99999999999977</v>
      </c>
      <c r="R41" s="343">
        <v>809.99999999999977</v>
      </c>
      <c r="S41" s="343">
        <v>809.99999999999977</v>
      </c>
      <c r="T41" s="343">
        <v>809.99999999999977</v>
      </c>
      <c r="U41" s="343">
        <v>809.99999999999977</v>
      </c>
      <c r="V41" s="343">
        <v>809.99999999999977</v>
      </c>
      <c r="W41" s="343">
        <v>809.99999999999977</v>
      </c>
      <c r="X41" s="343">
        <v>809.99999999999977</v>
      </c>
      <c r="Y41" s="343">
        <v>809.99999999999977</v>
      </c>
      <c r="Z41" s="343">
        <v>809.99999999999977</v>
      </c>
      <c r="AA41" s="343">
        <v>809.99999999999977</v>
      </c>
      <c r="AB41" s="343">
        <v>809.99999999999977</v>
      </c>
      <c r="AC41" s="343">
        <v>809.99999999999977</v>
      </c>
      <c r="AD41" s="343">
        <v>809.99999999999977</v>
      </c>
      <c r="AE41" s="343">
        <v>809.99999999999977</v>
      </c>
      <c r="AF41" s="343">
        <v>809.99999999999977</v>
      </c>
      <c r="AG41" s="343">
        <v>809.99999999999977</v>
      </c>
      <c r="AH41" s="343">
        <v>809.99999999999977</v>
      </c>
      <c r="AI41" s="343">
        <v>809.99999999999977</v>
      </c>
      <c r="AJ41" s="343">
        <v>809.99999999999977</v>
      </c>
    </row>
    <row r="42" spans="1:36" x14ac:dyDescent="0.2">
      <c r="A42" s="371" t="s">
        <v>299</v>
      </c>
      <c r="B42" s="382" t="b">
        <v>1</v>
      </c>
      <c r="C42" s="383">
        <v>2700000</v>
      </c>
      <c r="D42" s="371" t="s">
        <v>260</v>
      </c>
      <c r="E42" s="343">
        <v>762</v>
      </c>
      <c r="F42" s="343">
        <v>762</v>
      </c>
      <c r="G42" s="343">
        <v>76.199999999999974</v>
      </c>
      <c r="H42" s="343">
        <v>76.199999999999974</v>
      </c>
      <c r="I42" s="343">
        <v>76.199999999999974</v>
      </c>
      <c r="J42" s="343">
        <v>76.199999999999974</v>
      </c>
      <c r="K42" s="343">
        <v>76.199999999999974</v>
      </c>
      <c r="L42" s="343">
        <v>76.199999999999974</v>
      </c>
      <c r="M42" s="343">
        <v>76.199999999999974</v>
      </c>
      <c r="N42" s="343">
        <v>76.199999999999974</v>
      </c>
      <c r="O42" s="343">
        <v>76.199999999999974</v>
      </c>
      <c r="P42" s="343">
        <v>76.199999999999974</v>
      </c>
      <c r="Q42" s="343">
        <v>76.199999999999974</v>
      </c>
      <c r="R42" s="343">
        <v>76.199999999999974</v>
      </c>
      <c r="S42" s="343">
        <v>76.199999999999974</v>
      </c>
      <c r="T42" s="343">
        <v>76.199999999999974</v>
      </c>
      <c r="U42" s="343">
        <v>76.199999999999974</v>
      </c>
      <c r="V42" s="343">
        <v>76.199999999999974</v>
      </c>
      <c r="W42" s="343">
        <v>76.199999999999974</v>
      </c>
      <c r="X42" s="343">
        <v>76.199999999999974</v>
      </c>
      <c r="Y42" s="343">
        <v>76.199999999999974</v>
      </c>
      <c r="Z42" s="343">
        <v>76.199999999999974</v>
      </c>
      <c r="AA42" s="343">
        <v>76.199999999999974</v>
      </c>
      <c r="AB42" s="343">
        <v>76.199999999999974</v>
      </c>
      <c r="AC42" s="343">
        <v>76.199999999999974</v>
      </c>
      <c r="AD42" s="343">
        <v>76.199999999999974</v>
      </c>
      <c r="AE42" s="343">
        <v>76.199999999999974</v>
      </c>
      <c r="AF42" s="343">
        <v>76.199999999999974</v>
      </c>
      <c r="AG42" s="343">
        <v>76.199999999999974</v>
      </c>
      <c r="AH42" s="343">
        <v>76.199999999999974</v>
      </c>
      <c r="AI42" s="343">
        <v>76.199999999999974</v>
      </c>
      <c r="AJ42" s="343">
        <v>76.199999999999974</v>
      </c>
    </row>
    <row r="43" spans="1:36" x14ac:dyDescent="0.2">
      <c r="A43" s="371" t="s">
        <v>300</v>
      </c>
      <c r="B43" s="382" t="b">
        <v>0</v>
      </c>
      <c r="C43" s="383" t="s">
        <v>136</v>
      </c>
      <c r="D43" s="371" t="s">
        <v>301</v>
      </c>
      <c r="E43" s="360">
        <v>0</v>
      </c>
      <c r="F43" s="360">
        <v>0</v>
      </c>
      <c r="G43" s="360">
        <v>0</v>
      </c>
      <c r="H43" s="360">
        <v>0</v>
      </c>
      <c r="I43" s="360">
        <v>0</v>
      </c>
      <c r="J43" s="360">
        <v>0</v>
      </c>
      <c r="K43" s="360">
        <v>0</v>
      </c>
      <c r="L43" s="360">
        <v>0</v>
      </c>
      <c r="M43" s="360">
        <v>0</v>
      </c>
      <c r="N43" s="360">
        <v>0</v>
      </c>
      <c r="O43" s="360">
        <v>0</v>
      </c>
      <c r="P43" s="360">
        <v>0</v>
      </c>
      <c r="Q43" s="360">
        <v>0</v>
      </c>
      <c r="R43" s="360">
        <v>0</v>
      </c>
      <c r="S43" s="360">
        <v>0</v>
      </c>
      <c r="T43" s="360">
        <v>0</v>
      </c>
      <c r="U43" s="360">
        <v>0</v>
      </c>
      <c r="V43" s="360">
        <v>0</v>
      </c>
      <c r="W43" s="360">
        <v>0</v>
      </c>
      <c r="X43" s="360">
        <v>0</v>
      </c>
      <c r="Y43" s="360">
        <v>0</v>
      </c>
      <c r="Z43" s="360">
        <v>0</v>
      </c>
      <c r="AA43" s="360">
        <v>0</v>
      </c>
      <c r="AB43" s="360">
        <v>0</v>
      </c>
      <c r="AC43" s="360">
        <v>0</v>
      </c>
      <c r="AD43" s="360">
        <v>0</v>
      </c>
      <c r="AE43" s="360">
        <v>0</v>
      </c>
      <c r="AF43" s="360">
        <v>0</v>
      </c>
      <c r="AG43" s="360">
        <v>0</v>
      </c>
      <c r="AH43" s="360">
        <v>0</v>
      </c>
      <c r="AI43" s="360">
        <v>0</v>
      </c>
      <c r="AJ43" s="360">
        <v>0</v>
      </c>
    </row>
    <row r="44" spans="1:36" x14ac:dyDescent="0.2">
      <c r="A44" s="371" t="s">
        <v>302</v>
      </c>
      <c r="B44" s="382" t="b">
        <v>1</v>
      </c>
      <c r="C44" s="383">
        <v>0</v>
      </c>
      <c r="D44" s="371" t="s">
        <v>303</v>
      </c>
      <c r="E44" s="360">
        <v>0</v>
      </c>
      <c r="F44" s="360">
        <v>0</v>
      </c>
      <c r="G44" s="360">
        <v>0</v>
      </c>
      <c r="H44" s="360">
        <v>0</v>
      </c>
      <c r="I44" s="360">
        <v>0</v>
      </c>
      <c r="J44" s="360">
        <v>0</v>
      </c>
      <c r="K44" s="360">
        <v>0</v>
      </c>
      <c r="L44" s="360">
        <v>0</v>
      </c>
      <c r="M44" s="360">
        <v>0</v>
      </c>
      <c r="N44" s="360">
        <v>0</v>
      </c>
      <c r="O44" s="360">
        <v>0</v>
      </c>
      <c r="P44" s="360">
        <v>0</v>
      </c>
      <c r="Q44" s="360">
        <v>0</v>
      </c>
      <c r="R44" s="360">
        <v>0</v>
      </c>
      <c r="S44" s="360">
        <v>0</v>
      </c>
      <c r="T44" s="360">
        <v>0</v>
      </c>
      <c r="U44" s="360">
        <v>0</v>
      </c>
      <c r="V44" s="360">
        <v>0</v>
      </c>
      <c r="W44" s="360">
        <v>0</v>
      </c>
      <c r="X44" s="360">
        <v>0</v>
      </c>
      <c r="Y44" s="360">
        <v>0</v>
      </c>
      <c r="Z44" s="360">
        <v>0</v>
      </c>
      <c r="AA44" s="360">
        <v>0</v>
      </c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360">
        <v>0</v>
      </c>
      <c r="AI44" s="360">
        <v>0</v>
      </c>
      <c r="AJ44" s="360">
        <v>0</v>
      </c>
    </row>
    <row r="45" spans="1:36" x14ac:dyDescent="0.2">
      <c r="A45" s="371" t="s">
        <v>304</v>
      </c>
      <c r="B45" s="384">
        <v>0</v>
      </c>
      <c r="C45" s="383">
        <v>0</v>
      </c>
      <c r="D45" s="371" t="s">
        <v>18</v>
      </c>
      <c r="E45" s="360">
        <v>0</v>
      </c>
      <c r="F45" s="360">
        <v>0</v>
      </c>
      <c r="G45" s="360">
        <v>0</v>
      </c>
      <c r="H45" s="360">
        <v>0</v>
      </c>
      <c r="I45" s="360">
        <v>0</v>
      </c>
      <c r="J45" s="360">
        <v>0</v>
      </c>
      <c r="K45" s="360">
        <v>0</v>
      </c>
      <c r="L45" s="360">
        <v>0</v>
      </c>
      <c r="M45" s="360">
        <v>0</v>
      </c>
      <c r="N45" s="360">
        <v>0</v>
      </c>
      <c r="O45" s="360">
        <v>0</v>
      </c>
      <c r="P45" s="360">
        <v>0</v>
      </c>
      <c r="Q45" s="360">
        <v>0</v>
      </c>
      <c r="R45" s="360">
        <v>0</v>
      </c>
      <c r="S45" s="360">
        <v>0</v>
      </c>
      <c r="T45" s="360">
        <v>0</v>
      </c>
      <c r="U45" s="360">
        <v>0</v>
      </c>
      <c r="V45" s="360">
        <v>0</v>
      </c>
      <c r="W45" s="360">
        <v>0</v>
      </c>
      <c r="X45" s="360">
        <v>0</v>
      </c>
      <c r="Y45" s="360">
        <v>0</v>
      </c>
      <c r="Z45" s="360">
        <v>0</v>
      </c>
      <c r="AA45" s="360">
        <v>0</v>
      </c>
      <c r="AB45" s="360">
        <v>0</v>
      </c>
      <c r="AC45" s="360">
        <v>0</v>
      </c>
      <c r="AD45" s="360">
        <v>0</v>
      </c>
      <c r="AE45" s="360">
        <v>0</v>
      </c>
      <c r="AF45" s="360">
        <v>0</v>
      </c>
      <c r="AG45" s="360">
        <v>0</v>
      </c>
      <c r="AH45" s="360">
        <v>0</v>
      </c>
      <c r="AI45" s="360">
        <v>0</v>
      </c>
      <c r="AJ45" s="360">
        <v>0</v>
      </c>
    </row>
    <row r="46" spans="1:36" x14ac:dyDescent="0.2">
      <c r="A46" s="385"/>
      <c r="B46" s="385"/>
      <c r="C46" s="383">
        <v>0</v>
      </c>
      <c r="D46" s="386" t="s">
        <v>305</v>
      </c>
      <c r="E46" s="387">
        <v>0</v>
      </c>
      <c r="F46" s="387">
        <v>0</v>
      </c>
      <c r="G46" s="387">
        <v>115111.01582967954</v>
      </c>
      <c r="H46" s="387">
        <v>115111.01582967954</v>
      </c>
      <c r="I46" s="387">
        <v>115111.01582967954</v>
      </c>
      <c r="J46" s="387">
        <v>115111.01582967954</v>
      </c>
      <c r="K46" s="387">
        <v>115111.01582967954</v>
      </c>
      <c r="L46" s="387">
        <v>115111.01582967954</v>
      </c>
      <c r="M46" s="387">
        <v>115111.01582967954</v>
      </c>
      <c r="N46" s="387">
        <v>115111.01582967954</v>
      </c>
      <c r="O46" s="387">
        <v>115111.01582967954</v>
      </c>
      <c r="P46" s="387">
        <v>115111.01582967954</v>
      </c>
      <c r="Q46" s="387">
        <v>115111.01582967954</v>
      </c>
      <c r="R46" s="387">
        <v>115111.01582967954</v>
      </c>
      <c r="S46" s="387">
        <v>115111.01582967954</v>
      </c>
      <c r="T46" s="387">
        <v>115111.01582967954</v>
      </c>
      <c r="U46" s="387">
        <v>115111.01582967954</v>
      </c>
      <c r="V46" s="387">
        <v>115111.01582967954</v>
      </c>
      <c r="W46" s="387">
        <v>115111.01582967954</v>
      </c>
      <c r="X46" s="387">
        <v>115111.01582967954</v>
      </c>
      <c r="Y46" s="387">
        <v>115111.01582967954</v>
      </c>
      <c r="Z46" s="387">
        <v>115111.01582967954</v>
      </c>
      <c r="AA46" s="387">
        <v>115111.01582967954</v>
      </c>
      <c r="AB46" s="387">
        <v>115111.01582967954</v>
      </c>
      <c r="AC46" s="387">
        <v>115111.01582967954</v>
      </c>
      <c r="AD46" s="387">
        <v>115111.01582967954</v>
      </c>
      <c r="AE46" s="387">
        <v>115111.01582967954</v>
      </c>
      <c r="AF46" s="387">
        <v>115111.01582967954</v>
      </c>
      <c r="AG46" s="387">
        <v>115111.01582967954</v>
      </c>
      <c r="AH46" s="387">
        <v>115111.01582967954</v>
      </c>
      <c r="AI46" s="387">
        <v>115111.01582967954</v>
      </c>
      <c r="AJ46" s="387">
        <v>115111.01582967954</v>
      </c>
    </row>
    <row r="47" spans="1:36" x14ac:dyDescent="0.2">
      <c r="A47" s="388"/>
      <c r="B47" s="388"/>
      <c r="C47" s="388"/>
      <c r="D47" s="389" t="s">
        <v>306</v>
      </c>
      <c r="E47" s="390">
        <v>60161.05700340269</v>
      </c>
      <c r="F47" s="390">
        <v>71089.182991195936</v>
      </c>
      <c r="G47" s="390">
        <v>122938.31498064563</v>
      </c>
      <c r="H47" s="390">
        <v>123083.12318198099</v>
      </c>
      <c r="I47" s="390">
        <v>123129.25441700955</v>
      </c>
      <c r="J47" s="390">
        <v>123133.44740673015</v>
      </c>
      <c r="K47" s="390">
        <v>123145.1001130084</v>
      </c>
      <c r="L47" s="390">
        <v>123209.79005747572</v>
      </c>
      <c r="M47" s="390">
        <v>123306.88373324284</v>
      </c>
      <c r="N47" s="390">
        <v>123299.64275172376</v>
      </c>
      <c r="O47" s="390">
        <v>123299.64275172376</v>
      </c>
      <c r="P47" s="390">
        <v>123299.64275172376</v>
      </c>
      <c r="Q47" s="390">
        <v>123299.64275172376</v>
      </c>
      <c r="R47" s="390">
        <v>123299.64275172376</v>
      </c>
      <c r="S47" s="390">
        <v>123299.64275172376</v>
      </c>
      <c r="T47" s="390">
        <v>123299.64275172376</v>
      </c>
      <c r="U47" s="390">
        <v>123299.64275172376</v>
      </c>
      <c r="V47" s="390">
        <v>123299.64275172376</v>
      </c>
      <c r="W47" s="390">
        <v>123299.64275172376</v>
      </c>
      <c r="X47" s="390">
        <v>123299.64275172376</v>
      </c>
      <c r="Y47" s="390">
        <v>123299.64275172376</v>
      </c>
      <c r="Z47" s="390">
        <v>123299.64275172376</v>
      </c>
      <c r="AA47" s="390">
        <v>123299.64275172376</v>
      </c>
      <c r="AB47" s="390">
        <v>123299.64275172376</v>
      </c>
      <c r="AC47" s="390">
        <v>123299.64275172376</v>
      </c>
      <c r="AD47" s="390">
        <v>123299.64275172376</v>
      </c>
      <c r="AE47" s="390">
        <v>123299.64275172376</v>
      </c>
      <c r="AF47" s="390">
        <v>123299.64275172376</v>
      </c>
      <c r="AG47" s="390">
        <v>123299.64275172376</v>
      </c>
      <c r="AH47" s="390">
        <v>123299.64275172376</v>
      </c>
      <c r="AI47" s="390">
        <v>123299.64275172376</v>
      </c>
      <c r="AJ47" s="390">
        <v>123299.64275172376</v>
      </c>
    </row>
    <row r="48" spans="1:36" x14ac:dyDescent="0.2">
      <c r="A48" s="363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</row>
    <row r="49" spans="1:36" x14ac:dyDescent="0.2">
      <c r="A49" s="366" t="s">
        <v>267</v>
      </c>
      <c r="B49" s="366"/>
      <c r="C49" s="367" t="s">
        <v>268</v>
      </c>
      <c r="D49" s="367"/>
      <c r="E49" s="363"/>
      <c r="F49" s="369" t="s">
        <v>269</v>
      </c>
      <c r="G49" s="370" t="s">
        <v>270</v>
      </c>
      <c r="H49" s="367" t="s">
        <v>271</v>
      </c>
      <c r="I49" s="367" t="s">
        <v>272</v>
      </c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</row>
    <row r="50" spans="1:36" x14ac:dyDescent="0.2">
      <c r="A50" s="371" t="s">
        <v>273</v>
      </c>
      <c r="B50" s="372" t="s">
        <v>314</v>
      </c>
      <c r="C50" s="373" t="s">
        <v>274</v>
      </c>
      <c r="D50" s="354"/>
      <c r="E50" s="363"/>
      <c r="F50" s="373" t="s">
        <v>275</v>
      </c>
      <c r="G50" s="374">
        <v>1.5E-3</v>
      </c>
      <c r="H50" s="370">
        <v>0.6</v>
      </c>
      <c r="I50" s="375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</row>
    <row r="51" spans="1:36" x14ac:dyDescent="0.2">
      <c r="A51" s="371" t="s">
        <v>276</v>
      </c>
      <c r="B51" s="372" t="s">
        <v>277</v>
      </c>
      <c r="C51" s="373" t="s">
        <v>278</v>
      </c>
      <c r="D51" s="354"/>
      <c r="E51" s="363"/>
      <c r="F51" s="373" t="s">
        <v>279</v>
      </c>
      <c r="G51" s="374">
        <v>1.5E-3</v>
      </c>
      <c r="H51" s="370">
        <v>0.6</v>
      </c>
      <c r="I51" s="375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</row>
    <row r="52" spans="1:36" x14ac:dyDescent="0.2">
      <c r="A52" s="376" t="s">
        <v>8</v>
      </c>
      <c r="B52" s="355">
        <v>50.104999999999997</v>
      </c>
      <c r="C52" s="376" t="s">
        <v>280</v>
      </c>
      <c r="D52" s="377">
        <v>1080000</v>
      </c>
      <c r="E52" s="363"/>
      <c r="F52" s="373" t="s">
        <v>281</v>
      </c>
      <c r="G52" s="374">
        <v>1.5E-3</v>
      </c>
      <c r="H52" s="370">
        <v>0.6</v>
      </c>
      <c r="I52" s="375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</row>
    <row r="53" spans="1:36" x14ac:dyDescent="0.2">
      <c r="A53" s="376" t="s">
        <v>282</v>
      </c>
      <c r="B53" s="391">
        <v>0.5</v>
      </c>
      <c r="C53" s="376" t="s">
        <v>283</v>
      </c>
      <c r="D53" s="377">
        <v>101600</v>
      </c>
      <c r="E53" s="363"/>
      <c r="F53" s="373" t="s">
        <v>284</v>
      </c>
      <c r="G53" s="378">
        <v>0</v>
      </c>
      <c r="H53" s="370">
        <v>0.6</v>
      </c>
      <c r="I53" s="375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</row>
    <row r="54" spans="1:36" x14ac:dyDescent="0.2">
      <c r="A54" s="379" t="s">
        <v>318</v>
      </c>
      <c r="B54" s="380" t="s">
        <v>285</v>
      </c>
      <c r="C54" s="367" t="s">
        <v>286</v>
      </c>
      <c r="D54" s="366" t="s">
        <v>287</v>
      </c>
      <c r="E54" s="367">
        <v>2025</v>
      </c>
      <c r="F54" s="367">
        <v>2026</v>
      </c>
      <c r="G54" s="367">
        <v>2027</v>
      </c>
      <c r="H54" s="367">
        <v>2028</v>
      </c>
      <c r="I54" s="367">
        <v>2029</v>
      </c>
      <c r="J54" s="367">
        <v>2030</v>
      </c>
      <c r="K54" s="367">
        <v>2031</v>
      </c>
      <c r="L54" s="367">
        <v>2032</v>
      </c>
      <c r="M54" s="367">
        <v>2033</v>
      </c>
      <c r="N54" s="367">
        <v>2034</v>
      </c>
      <c r="O54" s="367">
        <v>2035</v>
      </c>
      <c r="P54" s="367">
        <v>2036</v>
      </c>
      <c r="Q54" s="367">
        <v>2037</v>
      </c>
      <c r="R54" s="367">
        <v>2038</v>
      </c>
      <c r="S54" s="367">
        <v>2039</v>
      </c>
      <c r="T54" s="367">
        <v>2040</v>
      </c>
      <c r="U54" s="367">
        <v>2041</v>
      </c>
      <c r="V54" s="367">
        <v>2042</v>
      </c>
      <c r="W54" s="367">
        <v>2043</v>
      </c>
      <c r="X54" s="367">
        <v>2044</v>
      </c>
      <c r="Y54" s="367">
        <v>2045</v>
      </c>
      <c r="Z54" s="367">
        <v>2046</v>
      </c>
      <c r="AA54" s="367">
        <v>2047</v>
      </c>
      <c r="AB54" s="381">
        <v>2048</v>
      </c>
      <c r="AC54" s="381">
        <v>2049</v>
      </c>
      <c r="AD54" s="381">
        <v>2050</v>
      </c>
      <c r="AE54" s="381">
        <v>2051</v>
      </c>
      <c r="AF54" s="381">
        <v>2052</v>
      </c>
      <c r="AG54" s="381">
        <v>2053</v>
      </c>
      <c r="AH54" s="381">
        <v>2054</v>
      </c>
      <c r="AI54" s="381">
        <v>2055</v>
      </c>
      <c r="AJ54" s="381">
        <v>2056</v>
      </c>
    </row>
    <row r="55" spans="1:36" x14ac:dyDescent="0.2">
      <c r="A55" s="371" t="s">
        <v>288</v>
      </c>
      <c r="B55" s="382" t="b">
        <v>0</v>
      </c>
      <c r="C55" s="383">
        <v>0</v>
      </c>
      <c r="D55" s="371" t="s">
        <v>23</v>
      </c>
      <c r="E55" s="356">
        <v>599.19940003180989</v>
      </c>
      <c r="F55" s="356">
        <v>725.63019439953769</v>
      </c>
      <c r="G55" s="356">
        <v>81.124921634962689</v>
      </c>
      <c r="H55" s="356">
        <v>82.668844995735355</v>
      </c>
      <c r="I55" s="356">
        <v>83.030348339585274</v>
      </c>
      <c r="J55" s="356">
        <v>82.9855127036585</v>
      </c>
      <c r="K55" s="356">
        <v>83.051709174488465</v>
      </c>
      <c r="L55" s="356">
        <v>83.752403022206479</v>
      </c>
      <c r="M55" s="356">
        <v>84.7118409777149</v>
      </c>
      <c r="N55" s="356">
        <v>84.493991253172879</v>
      </c>
      <c r="O55" s="356">
        <v>84.493991253172879</v>
      </c>
      <c r="P55" s="356">
        <v>84.493991253172879</v>
      </c>
      <c r="Q55" s="356">
        <v>84.493991253172879</v>
      </c>
      <c r="R55" s="356">
        <v>84.493991253172879</v>
      </c>
      <c r="S55" s="356">
        <v>84.493991253172879</v>
      </c>
      <c r="T55" s="356">
        <v>84.493991253172879</v>
      </c>
      <c r="U55" s="356">
        <v>84.493991253172879</v>
      </c>
      <c r="V55" s="356">
        <v>84.493991253172879</v>
      </c>
      <c r="W55" s="356">
        <v>84.493991253172879</v>
      </c>
      <c r="X55" s="356">
        <v>84.493991253172879</v>
      </c>
      <c r="Y55" s="356">
        <v>84.493991253172879</v>
      </c>
      <c r="Z55" s="356">
        <v>84.493991253172879</v>
      </c>
      <c r="AA55" s="356">
        <v>84.493991253172879</v>
      </c>
      <c r="AB55" s="356">
        <v>84.493991253172879</v>
      </c>
      <c r="AC55" s="356">
        <v>84.493991253172879</v>
      </c>
      <c r="AD55" s="356">
        <v>84.493991253172879</v>
      </c>
      <c r="AE55" s="356">
        <v>84.493991253172879</v>
      </c>
      <c r="AF55" s="356">
        <v>84.493991253172879</v>
      </c>
      <c r="AG55" s="356">
        <v>84.493991253172879</v>
      </c>
      <c r="AH55" s="356">
        <v>84.493991253172879</v>
      </c>
      <c r="AI55" s="356">
        <v>84.493991253172879</v>
      </c>
      <c r="AJ55" s="356">
        <v>84.493991253172879</v>
      </c>
    </row>
    <row r="56" spans="1:36" x14ac:dyDescent="0.2">
      <c r="A56" s="371" t="s">
        <v>289</v>
      </c>
      <c r="B56" s="382" t="b">
        <v>0</v>
      </c>
      <c r="C56" s="383">
        <v>50000</v>
      </c>
      <c r="D56" s="371" t="s">
        <v>23</v>
      </c>
      <c r="E56" s="357">
        <v>619.24676988568376</v>
      </c>
      <c r="F56" s="357">
        <v>756.2199227882337</v>
      </c>
      <c r="G56" s="357">
        <v>85.482792575637745</v>
      </c>
      <c r="H56" s="357">
        <v>87.654998355533607</v>
      </c>
      <c r="I56" s="357">
        <v>88.651108680136161</v>
      </c>
      <c r="J56" s="357">
        <v>88.922952697797143</v>
      </c>
      <c r="K56" s="357">
        <v>89.233174454670873</v>
      </c>
      <c r="L56" s="357">
        <v>90.177969784789525</v>
      </c>
      <c r="M56" s="357">
        <v>91.811244893148853</v>
      </c>
      <c r="N56" s="357">
        <v>92.030815743692642</v>
      </c>
      <c r="O56" s="357">
        <v>92.030815743692642</v>
      </c>
      <c r="P56" s="357">
        <v>92.030815743692642</v>
      </c>
      <c r="Q56" s="357">
        <v>92.030815743692642</v>
      </c>
      <c r="R56" s="357">
        <v>92.030815743692642</v>
      </c>
      <c r="S56" s="357">
        <v>92.030815743692642</v>
      </c>
      <c r="T56" s="357">
        <v>92.030815743692642</v>
      </c>
      <c r="U56" s="357">
        <v>92.030815743692642</v>
      </c>
      <c r="V56" s="357">
        <v>92.030815743692642</v>
      </c>
      <c r="W56" s="357">
        <v>92.030815743692642</v>
      </c>
      <c r="X56" s="357">
        <v>92.030815743692642</v>
      </c>
      <c r="Y56" s="357">
        <v>92.030815743692642</v>
      </c>
      <c r="Z56" s="357">
        <v>92.030815743692642</v>
      </c>
      <c r="AA56" s="357">
        <v>92.030815743692642</v>
      </c>
      <c r="AB56" s="357">
        <v>92.030815743692642</v>
      </c>
      <c r="AC56" s="357">
        <v>92.030815743692642</v>
      </c>
      <c r="AD56" s="357">
        <v>92.030815743692642</v>
      </c>
      <c r="AE56" s="357">
        <v>92.030815743692642</v>
      </c>
      <c r="AF56" s="357">
        <v>92.030815743692642</v>
      </c>
      <c r="AG56" s="357">
        <v>92.030815743692642</v>
      </c>
      <c r="AH56" s="357">
        <v>92.030815743692642</v>
      </c>
      <c r="AI56" s="357">
        <v>92.030815743692642</v>
      </c>
      <c r="AJ56" s="357">
        <v>92.030815743692642</v>
      </c>
    </row>
    <row r="57" spans="1:36" x14ac:dyDescent="0.2">
      <c r="A57" s="371" t="s">
        <v>290</v>
      </c>
      <c r="B57" s="382" t="b">
        <v>0</v>
      </c>
      <c r="C57" s="383">
        <v>300000</v>
      </c>
      <c r="D57" s="371" t="s">
        <v>23</v>
      </c>
      <c r="E57" s="357">
        <v>599.19940003180989</v>
      </c>
      <c r="F57" s="357">
        <v>725.63019439953769</v>
      </c>
      <c r="G57" s="357">
        <v>81.124921634962689</v>
      </c>
      <c r="H57" s="357">
        <v>82.668844995735355</v>
      </c>
      <c r="I57" s="357">
        <v>83.030348339585274</v>
      </c>
      <c r="J57" s="357">
        <v>82.9855127036585</v>
      </c>
      <c r="K57" s="357">
        <v>83.051709174488465</v>
      </c>
      <c r="L57" s="357">
        <v>83.752403022206479</v>
      </c>
      <c r="M57" s="357">
        <v>84.7118409777149</v>
      </c>
      <c r="N57" s="357">
        <v>84.493991253172879</v>
      </c>
      <c r="O57" s="357">
        <v>84.493991253172879</v>
      </c>
      <c r="P57" s="357">
        <v>84.493991253172879</v>
      </c>
      <c r="Q57" s="357">
        <v>84.493991253172879</v>
      </c>
      <c r="R57" s="357">
        <v>84.493991253172879</v>
      </c>
      <c r="S57" s="357">
        <v>84.493991253172879</v>
      </c>
      <c r="T57" s="357">
        <v>84.493991253172879</v>
      </c>
      <c r="U57" s="357">
        <v>84.493991253172879</v>
      </c>
      <c r="V57" s="357">
        <v>84.493991253172879</v>
      </c>
      <c r="W57" s="357">
        <v>84.493991253172879</v>
      </c>
      <c r="X57" s="357">
        <v>84.493991253172879</v>
      </c>
      <c r="Y57" s="357">
        <v>84.493991253172879</v>
      </c>
      <c r="Z57" s="357">
        <v>84.493991253172879</v>
      </c>
      <c r="AA57" s="357">
        <v>84.493991253172879</v>
      </c>
      <c r="AB57" s="357">
        <v>84.493991253172879</v>
      </c>
      <c r="AC57" s="357">
        <v>84.493991253172879</v>
      </c>
      <c r="AD57" s="357">
        <v>84.493991253172879</v>
      </c>
      <c r="AE57" s="357">
        <v>84.493991253172879</v>
      </c>
      <c r="AF57" s="357">
        <v>84.493991253172879</v>
      </c>
      <c r="AG57" s="357">
        <v>84.493991253172879</v>
      </c>
      <c r="AH57" s="357">
        <v>84.493991253172879</v>
      </c>
      <c r="AI57" s="357">
        <v>84.493991253172879</v>
      </c>
      <c r="AJ57" s="357">
        <v>84.493991253172879</v>
      </c>
    </row>
    <row r="58" spans="1:36" x14ac:dyDescent="0.2">
      <c r="A58" s="371" t="s">
        <v>291</v>
      </c>
      <c r="B58" s="382" t="b">
        <v>0</v>
      </c>
      <c r="C58" s="383">
        <v>4000</v>
      </c>
      <c r="D58" s="371" t="s">
        <v>292</v>
      </c>
      <c r="E58" s="358">
        <v>4.5000000000000005E-3</v>
      </c>
      <c r="F58" s="358">
        <v>4.5000000000000005E-3</v>
      </c>
      <c r="G58" s="358">
        <v>4.4999999999999999E-4</v>
      </c>
      <c r="H58" s="358">
        <v>4.4999999999999988E-4</v>
      </c>
      <c r="I58" s="358">
        <v>4.4999999999999988E-4</v>
      </c>
      <c r="J58" s="358">
        <v>4.4999999999999988E-4</v>
      </c>
      <c r="K58" s="358">
        <v>4.4999999999999988E-4</v>
      </c>
      <c r="L58" s="358">
        <v>4.4999999999999988E-4</v>
      </c>
      <c r="M58" s="358">
        <v>4.4999999999999988E-4</v>
      </c>
      <c r="N58" s="358">
        <v>4.4999999999999988E-4</v>
      </c>
      <c r="O58" s="358">
        <v>4.4999999999999988E-4</v>
      </c>
      <c r="P58" s="358">
        <v>4.4999999999999988E-4</v>
      </c>
      <c r="Q58" s="358">
        <v>4.4999999999999988E-4</v>
      </c>
      <c r="R58" s="358">
        <v>4.4999999999999988E-4</v>
      </c>
      <c r="S58" s="358">
        <v>4.4999999999999988E-4</v>
      </c>
      <c r="T58" s="358">
        <v>4.4999999999999988E-4</v>
      </c>
      <c r="U58" s="358">
        <v>4.4999999999999988E-4</v>
      </c>
      <c r="V58" s="358">
        <v>4.4999999999999988E-4</v>
      </c>
      <c r="W58" s="358">
        <v>4.4999999999999988E-4</v>
      </c>
      <c r="X58" s="358">
        <v>4.4999999999999988E-4</v>
      </c>
      <c r="Y58" s="358">
        <v>4.4999999999999988E-4</v>
      </c>
      <c r="Z58" s="358">
        <v>4.4999999999999988E-4</v>
      </c>
      <c r="AA58" s="358">
        <v>4.4999999999999988E-4</v>
      </c>
      <c r="AB58" s="358">
        <v>4.4999999999999988E-4</v>
      </c>
      <c r="AC58" s="358">
        <v>4.4999999999999988E-4</v>
      </c>
      <c r="AD58" s="358">
        <v>4.4999999999999988E-4</v>
      </c>
      <c r="AE58" s="358">
        <v>4.4999999999999988E-4</v>
      </c>
      <c r="AF58" s="358">
        <v>4.4999999999999988E-4</v>
      </c>
      <c r="AG58" s="358">
        <v>4.4999999999999988E-4</v>
      </c>
      <c r="AH58" s="358">
        <v>4.4999999999999988E-4</v>
      </c>
      <c r="AI58" s="358">
        <v>4.4999999999999988E-4</v>
      </c>
      <c r="AJ58" s="358">
        <v>4.4999999999999988E-4</v>
      </c>
    </row>
    <row r="59" spans="1:36" x14ac:dyDescent="0.2">
      <c r="A59" s="371" t="s">
        <v>293</v>
      </c>
      <c r="B59" s="382" t="b">
        <v>0</v>
      </c>
      <c r="C59" s="383">
        <v>650</v>
      </c>
      <c r="D59" s="371" t="s">
        <v>294</v>
      </c>
      <c r="E59" s="358">
        <v>7.4999999999999997E-3</v>
      </c>
      <c r="F59" s="358">
        <v>7.4999999999999997E-3</v>
      </c>
      <c r="G59" s="358">
        <v>7.499999999999998E-4</v>
      </c>
      <c r="H59" s="358">
        <v>7.499999999999998E-4</v>
      </c>
      <c r="I59" s="358">
        <v>7.499999999999998E-4</v>
      </c>
      <c r="J59" s="358">
        <v>7.499999999999998E-4</v>
      </c>
      <c r="K59" s="358">
        <v>7.499999999999998E-4</v>
      </c>
      <c r="L59" s="358">
        <v>7.499999999999998E-4</v>
      </c>
      <c r="M59" s="358">
        <v>7.499999999999998E-4</v>
      </c>
      <c r="N59" s="358">
        <v>7.499999999999998E-4</v>
      </c>
      <c r="O59" s="358">
        <v>7.499999999999998E-4</v>
      </c>
      <c r="P59" s="358">
        <v>7.499999999999998E-4</v>
      </c>
      <c r="Q59" s="358">
        <v>7.499999999999998E-4</v>
      </c>
      <c r="R59" s="358">
        <v>7.499999999999998E-4</v>
      </c>
      <c r="S59" s="358">
        <v>7.499999999999998E-4</v>
      </c>
      <c r="T59" s="358">
        <v>7.499999999999998E-4</v>
      </c>
      <c r="U59" s="358">
        <v>7.499999999999998E-4</v>
      </c>
      <c r="V59" s="358">
        <v>7.499999999999998E-4</v>
      </c>
      <c r="W59" s="358">
        <v>7.499999999999998E-4</v>
      </c>
      <c r="X59" s="358">
        <v>7.499999999999998E-4</v>
      </c>
      <c r="Y59" s="358">
        <v>7.499999999999998E-4</v>
      </c>
      <c r="Z59" s="358">
        <v>7.499999999999998E-4</v>
      </c>
      <c r="AA59" s="358">
        <v>7.499999999999998E-4</v>
      </c>
      <c r="AB59" s="358">
        <v>7.499999999999998E-4</v>
      </c>
      <c r="AC59" s="358">
        <v>7.499999999999998E-4</v>
      </c>
      <c r="AD59" s="358">
        <v>7.499999999999998E-4</v>
      </c>
      <c r="AE59" s="358">
        <v>7.499999999999998E-4</v>
      </c>
      <c r="AF59" s="358">
        <v>7.499999999999998E-4</v>
      </c>
      <c r="AG59" s="358">
        <v>7.499999999999998E-4</v>
      </c>
      <c r="AH59" s="358">
        <v>7.499999999999998E-4</v>
      </c>
      <c r="AI59" s="358">
        <v>7.499999999999998E-4</v>
      </c>
      <c r="AJ59" s="358">
        <v>7.499999999999998E-4</v>
      </c>
    </row>
    <row r="60" spans="1:36" x14ac:dyDescent="0.2">
      <c r="A60" s="371" t="s">
        <v>295</v>
      </c>
      <c r="B60" s="384" t="b">
        <v>0</v>
      </c>
      <c r="C60" s="383">
        <v>300000</v>
      </c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</row>
    <row r="61" spans="1:36" x14ac:dyDescent="0.2">
      <c r="A61" s="371" t="s">
        <v>296</v>
      </c>
      <c r="B61" s="384" t="b">
        <v>0</v>
      </c>
      <c r="C61" s="383">
        <v>500000</v>
      </c>
      <c r="D61" s="371" t="s">
        <v>266</v>
      </c>
      <c r="E61" s="359">
        <v>30324.227978552339</v>
      </c>
      <c r="F61" s="359">
        <v>36817.51039266352</v>
      </c>
      <c r="G61" s="359">
        <v>4130.2695355645619</v>
      </c>
      <c r="H61" s="359">
        <v>4217.0718427391266</v>
      </c>
      <c r="I61" s="359">
        <v>4244.7240626139101</v>
      </c>
      <c r="J61" s="359">
        <v>4247.2377432887042</v>
      </c>
      <c r="K61" s="359">
        <v>4254.2225835468062</v>
      </c>
      <c r="L61" s="359">
        <v>4293.0000602194223</v>
      </c>
      <c r="M61" s="359">
        <v>4351.2014821432504</v>
      </c>
      <c r="N61" s="359">
        <v>4346.8612090694742</v>
      </c>
      <c r="O61" s="359">
        <v>4346.8612090694742</v>
      </c>
      <c r="P61" s="359">
        <v>4346.8612090694742</v>
      </c>
      <c r="Q61" s="359">
        <v>4346.8612090694742</v>
      </c>
      <c r="R61" s="359">
        <v>4346.8612090694742</v>
      </c>
      <c r="S61" s="359">
        <v>4346.8612090694742</v>
      </c>
      <c r="T61" s="359">
        <v>4346.8612090694742</v>
      </c>
      <c r="U61" s="359">
        <v>4346.8612090694742</v>
      </c>
      <c r="V61" s="359">
        <v>4346.8612090694742</v>
      </c>
      <c r="W61" s="359">
        <v>4346.8612090694742</v>
      </c>
      <c r="X61" s="359">
        <v>4346.8612090694742</v>
      </c>
      <c r="Y61" s="359">
        <v>4346.8612090694742</v>
      </c>
      <c r="Z61" s="359">
        <v>4346.8612090694742</v>
      </c>
      <c r="AA61" s="359">
        <v>4346.8612090694742</v>
      </c>
      <c r="AB61" s="359">
        <v>4346.8612090694742</v>
      </c>
      <c r="AC61" s="359">
        <v>4346.8612090694742</v>
      </c>
      <c r="AD61" s="359">
        <v>4346.8612090694742</v>
      </c>
      <c r="AE61" s="359">
        <v>4346.8612090694742</v>
      </c>
      <c r="AF61" s="359">
        <v>4346.8612090694742</v>
      </c>
      <c r="AG61" s="359">
        <v>4346.8612090694742</v>
      </c>
      <c r="AH61" s="359">
        <v>4346.8612090694742</v>
      </c>
      <c r="AI61" s="359">
        <v>4346.8612090694742</v>
      </c>
      <c r="AJ61" s="359">
        <v>4346.8612090694742</v>
      </c>
    </row>
    <row r="62" spans="1:36" x14ac:dyDescent="0.2">
      <c r="A62" s="371" t="s">
        <v>297</v>
      </c>
      <c r="B62" s="382" t="b">
        <v>0</v>
      </c>
      <c r="C62" s="383">
        <v>900000</v>
      </c>
      <c r="D62" s="371" t="s">
        <v>258</v>
      </c>
      <c r="E62" s="343">
        <v>425.94773004000007</v>
      </c>
      <c r="F62" s="343">
        <v>425.94773004000007</v>
      </c>
      <c r="G62" s="343">
        <v>42.594773003999997</v>
      </c>
      <c r="H62" s="343">
        <v>42.594773003999997</v>
      </c>
      <c r="I62" s="343">
        <v>42.594773003999997</v>
      </c>
      <c r="J62" s="343">
        <v>42.594773003999997</v>
      </c>
      <c r="K62" s="343">
        <v>42.594773003999997</v>
      </c>
      <c r="L62" s="343">
        <v>42.594773003999997</v>
      </c>
      <c r="M62" s="343">
        <v>42.594773003999997</v>
      </c>
      <c r="N62" s="343">
        <v>42.594773003999997</v>
      </c>
      <c r="O62" s="343">
        <v>42.594773003999997</v>
      </c>
      <c r="P62" s="343">
        <v>42.594773003999997</v>
      </c>
      <c r="Q62" s="343">
        <v>42.594773003999997</v>
      </c>
      <c r="R62" s="343">
        <v>42.594773003999997</v>
      </c>
      <c r="S62" s="343">
        <v>42.594773003999997</v>
      </c>
      <c r="T62" s="343">
        <v>42.594773003999997</v>
      </c>
      <c r="U62" s="343">
        <v>42.594773003999997</v>
      </c>
      <c r="V62" s="343">
        <v>42.594773003999997</v>
      </c>
      <c r="W62" s="343">
        <v>42.594773003999997</v>
      </c>
      <c r="X62" s="343">
        <v>42.594773003999997</v>
      </c>
      <c r="Y62" s="343">
        <v>42.594773003999997</v>
      </c>
      <c r="Z62" s="343">
        <v>42.594773003999997</v>
      </c>
      <c r="AA62" s="343">
        <v>42.594773003999997</v>
      </c>
      <c r="AB62" s="343">
        <v>42.594773003999997</v>
      </c>
      <c r="AC62" s="343">
        <v>42.594773003999997</v>
      </c>
      <c r="AD62" s="343">
        <v>42.594773003999997</v>
      </c>
      <c r="AE62" s="343">
        <v>42.594773003999997</v>
      </c>
      <c r="AF62" s="343">
        <v>42.594773003999997</v>
      </c>
      <c r="AG62" s="343">
        <v>42.594773003999997</v>
      </c>
      <c r="AH62" s="343">
        <v>42.594773003999997</v>
      </c>
      <c r="AI62" s="343">
        <v>42.594773003999997</v>
      </c>
      <c r="AJ62" s="343">
        <v>42.594773003999997</v>
      </c>
    </row>
    <row r="63" spans="1:36" x14ac:dyDescent="0.2">
      <c r="A63" s="371" t="s">
        <v>298</v>
      </c>
      <c r="B63" s="382" t="b">
        <v>0</v>
      </c>
      <c r="C63" s="383">
        <v>1800000</v>
      </c>
      <c r="D63" s="371" t="s">
        <v>259</v>
      </c>
      <c r="E63" s="343">
        <v>4860.0000000000009</v>
      </c>
      <c r="F63" s="343">
        <v>4860.0000000000009</v>
      </c>
      <c r="G63" s="343">
        <v>486</v>
      </c>
      <c r="H63" s="343">
        <v>485.99999999999989</v>
      </c>
      <c r="I63" s="343">
        <v>485.99999999999989</v>
      </c>
      <c r="J63" s="343">
        <v>485.99999999999989</v>
      </c>
      <c r="K63" s="343">
        <v>485.99999999999989</v>
      </c>
      <c r="L63" s="343">
        <v>485.99999999999989</v>
      </c>
      <c r="M63" s="343">
        <v>485.99999999999989</v>
      </c>
      <c r="N63" s="343">
        <v>485.99999999999989</v>
      </c>
      <c r="O63" s="343">
        <v>485.99999999999989</v>
      </c>
      <c r="P63" s="343">
        <v>485.99999999999989</v>
      </c>
      <c r="Q63" s="343">
        <v>485.99999999999989</v>
      </c>
      <c r="R63" s="343">
        <v>485.99999999999989</v>
      </c>
      <c r="S63" s="343">
        <v>485.99999999999989</v>
      </c>
      <c r="T63" s="343">
        <v>485.99999999999989</v>
      </c>
      <c r="U63" s="343">
        <v>485.99999999999989</v>
      </c>
      <c r="V63" s="343">
        <v>485.99999999999989</v>
      </c>
      <c r="W63" s="343">
        <v>485.99999999999989</v>
      </c>
      <c r="X63" s="343">
        <v>485.99999999999989</v>
      </c>
      <c r="Y63" s="343">
        <v>485.99999999999989</v>
      </c>
      <c r="Z63" s="343">
        <v>485.99999999999989</v>
      </c>
      <c r="AA63" s="343">
        <v>485.99999999999989</v>
      </c>
      <c r="AB63" s="343">
        <v>485.99999999999989</v>
      </c>
      <c r="AC63" s="343">
        <v>485.99999999999989</v>
      </c>
      <c r="AD63" s="343">
        <v>485.99999999999989</v>
      </c>
      <c r="AE63" s="343">
        <v>485.99999999999989</v>
      </c>
      <c r="AF63" s="343">
        <v>485.99999999999989</v>
      </c>
      <c r="AG63" s="343">
        <v>485.99999999999989</v>
      </c>
      <c r="AH63" s="343">
        <v>485.99999999999989</v>
      </c>
      <c r="AI63" s="343">
        <v>485.99999999999989</v>
      </c>
      <c r="AJ63" s="343">
        <v>485.99999999999989</v>
      </c>
    </row>
    <row r="64" spans="1:36" x14ac:dyDescent="0.2">
      <c r="A64" s="371" t="s">
        <v>299</v>
      </c>
      <c r="B64" s="382" t="b">
        <v>1</v>
      </c>
      <c r="C64" s="383">
        <v>2700000</v>
      </c>
      <c r="D64" s="371" t="s">
        <v>260</v>
      </c>
      <c r="E64" s="343">
        <v>762</v>
      </c>
      <c r="F64" s="343">
        <v>762</v>
      </c>
      <c r="G64" s="343">
        <v>76.199999999999974</v>
      </c>
      <c r="H64" s="343">
        <v>76.199999999999974</v>
      </c>
      <c r="I64" s="343">
        <v>76.199999999999974</v>
      </c>
      <c r="J64" s="343">
        <v>76.199999999999974</v>
      </c>
      <c r="K64" s="343">
        <v>76.199999999999974</v>
      </c>
      <c r="L64" s="343">
        <v>76.199999999999974</v>
      </c>
      <c r="M64" s="343">
        <v>76.199999999999974</v>
      </c>
      <c r="N64" s="343">
        <v>76.199999999999974</v>
      </c>
      <c r="O64" s="343">
        <v>76.199999999999974</v>
      </c>
      <c r="P64" s="343">
        <v>76.199999999999974</v>
      </c>
      <c r="Q64" s="343">
        <v>76.199999999999974</v>
      </c>
      <c r="R64" s="343">
        <v>76.199999999999974</v>
      </c>
      <c r="S64" s="343">
        <v>76.199999999999974</v>
      </c>
      <c r="T64" s="343">
        <v>76.199999999999974</v>
      </c>
      <c r="U64" s="343">
        <v>76.199999999999974</v>
      </c>
      <c r="V64" s="343">
        <v>76.199999999999974</v>
      </c>
      <c r="W64" s="343">
        <v>76.199999999999974</v>
      </c>
      <c r="X64" s="343">
        <v>76.199999999999974</v>
      </c>
      <c r="Y64" s="343">
        <v>76.199999999999974</v>
      </c>
      <c r="Z64" s="343">
        <v>76.199999999999974</v>
      </c>
      <c r="AA64" s="343">
        <v>76.199999999999974</v>
      </c>
      <c r="AB64" s="343">
        <v>76.199999999999974</v>
      </c>
      <c r="AC64" s="343">
        <v>76.199999999999974</v>
      </c>
      <c r="AD64" s="343">
        <v>76.199999999999974</v>
      </c>
      <c r="AE64" s="343">
        <v>76.199999999999974</v>
      </c>
      <c r="AF64" s="343">
        <v>76.199999999999974</v>
      </c>
      <c r="AG64" s="343">
        <v>76.199999999999974</v>
      </c>
      <c r="AH64" s="343">
        <v>76.199999999999974</v>
      </c>
      <c r="AI64" s="343">
        <v>76.199999999999974</v>
      </c>
      <c r="AJ64" s="343">
        <v>76.199999999999974</v>
      </c>
    </row>
    <row r="65" spans="1:36" x14ac:dyDescent="0.2">
      <c r="A65" s="371" t="s">
        <v>300</v>
      </c>
      <c r="B65" s="382" t="b">
        <v>0</v>
      </c>
      <c r="C65" s="383" t="s">
        <v>136</v>
      </c>
      <c r="D65" s="371" t="s">
        <v>301</v>
      </c>
      <c r="E65" s="360">
        <v>0</v>
      </c>
      <c r="F65" s="360">
        <v>0</v>
      </c>
      <c r="G65" s="360">
        <v>0</v>
      </c>
      <c r="H65" s="360">
        <v>0</v>
      </c>
      <c r="I65" s="360">
        <v>0</v>
      </c>
      <c r="J65" s="360">
        <v>0</v>
      </c>
      <c r="K65" s="360">
        <v>0</v>
      </c>
      <c r="L65" s="360">
        <v>0</v>
      </c>
      <c r="M65" s="360">
        <v>0</v>
      </c>
      <c r="N65" s="360">
        <v>0</v>
      </c>
      <c r="O65" s="360">
        <v>0</v>
      </c>
      <c r="P65" s="360">
        <v>0</v>
      </c>
      <c r="Q65" s="360">
        <v>0</v>
      </c>
      <c r="R65" s="360">
        <v>0</v>
      </c>
      <c r="S65" s="360">
        <v>0</v>
      </c>
      <c r="T65" s="360">
        <v>0</v>
      </c>
      <c r="U65" s="360">
        <v>0</v>
      </c>
      <c r="V65" s="360">
        <v>0</v>
      </c>
      <c r="W65" s="360">
        <v>0</v>
      </c>
      <c r="X65" s="360">
        <v>0</v>
      </c>
      <c r="Y65" s="360">
        <v>0</v>
      </c>
      <c r="Z65" s="360">
        <v>0</v>
      </c>
      <c r="AA65" s="360">
        <v>0</v>
      </c>
      <c r="AB65" s="360">
        <v>0</v>
      </c>
      <c r="AC65" s="360">
        <v>0</v>
      </c>
      <c r="AD65" s="360">
        <v>0</v>
      </c>
      <c r="AE65" s="360">
        <v>0</v>
      </c>
      <c r="AF65" s="360">
        <v>0</v>
      </c>
      <c r="AG65" s="360">
        <v>0</v>
      </c>
      <c r="AH65" s="360">
        <v>0</v>
      </c>
      <c r="AI65" s="360">
        <v>0</v>
      </c>
      <c r="AJ65" s="360">
        <v>0</v>
      </c>
    </row>
    <row r="66" spans="1:36" x14ac:dyDescent="0.2">
      <c r="A66" s="371" t="s">
        <v>302</v>
      </c>
      <c r="B66" s="382" t="b">
        <v>1</v>
      </c>
      <c r="C66" s="383">
        <v>0</v>
      </c>
      <c r="D66" s="371" t="s">
        <v>303</v>
      </c>
      <c r="E66" s="360">
        <v>0</v>
      </c>
      <c r="F66" s="360">
        <v>0</v>
      </c>
      <c r="G66" s="360">
        <v>0</v>
      </c>
      <c r="H66" s="360">
        <v>0</v>
      </c>
      <c r="I66" s="360">
        <v>0</v>
      </c>
      <c r="J66" s="360">
        <v>0</v>
      </c>
      <c r="K66" s="360">
        <v>0</v>
      </c>
      <c r="L66" s="360">
        <v>0</v>
      </c>
      <c r="M66" s="360">
        <v>0</v>
      </c>
      <c r="N66" s="360">
        <v>0</v>
      </c>
      <c r="O66" s="360">
        <v>0</v>
      </c>
      <c r="P66" s="360">
        <v>0</v>
      </c>
      <c r="Q66" s="360">
        <v>0</v>
      </c>
      <c r="R66" s="360">
        <v>0</v>
      </c>
      <c r="S66" s="360">
        <v>0</v>
      </c>
      <c r="T66" s="360">
        <v>0</v>
      </c>
      <c r="U66" s="360">
        <v>0</v>
      </c>
      <c r="V66" s="360">
        <v>0</v>
      </c>
      <c r="W66" s="360">
        <v>0</v>
      </c>
      <c r="X66" s="360">
        <v>0</v>
      </c>
      <c r="Y66" s="360">
        <v>0</v>
      </c>
      <c r="Z66" s="360">
        <v>0</v>
      </c>
      <c r="AA66" s="360">
        <v>0</v>
      </c>
      <c r="AB66" s="360">
        <v>0</v>
      </c>
      <c r="AC66" s="360">
        <v>0</v>
      </c>
      <c r="AD66" s="360">
        <v>0</v>
      </c>
      <c r="AE66" s="360">
        <v>0</v>
      </c>
      <c r="AF66" s="360">
        <v>0</v>
      </c>
      <c r="AG66" s="360">
        <v>0</v>
      </c>
      <c r="AH66" s="360">
        <v>0</v>
      </c>
      <c r="AI66" s="360">
        <v>0</v>
      </c>
      <c r="AJ66" s="360">
        <v>0</v>
      </c>
    </row>
    <row r="67" spans="1:36" x14ac:dyDescent="0.2">
      <c r="A67" s="371" t="s">
        <v>304</v>
      </c>
      <c r="B67" s="384">
        <v>0</v>
      </c>
      <c r="C67" s="383">
        <v>0</v>
      </c>
      <c r="D67" s="371" t="s">
        <v>18</v>
      </c>
      <c r="E67" s="360">
        <v>0</v>
      </c>
      <c r="F67" s="360">
        <v>0</v>
      </c>
      <c r="G67" s="360">
        <v>0</v>
      </c>
      <c r="H67" s="360">
        <v>0</v>
      </c>
      <c r="I67" s="360">
        <v>0</v>
      </c>
      <c r="J67" s="360">
        <v>0</v>
      </c>
      <c r="K67" s="360">
        <v>0</v>
      </c>
      <c r="L67" s="360">
        <v>0</v>
      </c>
      <c r="M67" s="360">
        <v>0</v>
      </c>
      <c r="N67" s="360">
        <v>0</v>
      </c>
      <c r="O67" s="360">
        <v>0</v>
      </c>
      <c r="P67" s="360">
        <v>0</v>
      </c>
      <c r="Q67" s="360">
        <v>0</v>
      </c>
      <c r="R67" s="360">
        <v>0</v>
      </c>
      <c r="S67" s="360">
        <v>0</v>
      </c>
      <c r="T67" s="360">
        <v>0</v>
      </c>
      <c r="U67" s="360">
        <v>0</v>
      </c>
      <c r="V67" s="360">
        <v>0</v>
      </c>
      <c r="W67" s="360">
        <v>0</v>
      </c>
      <c r="X67" s="360">
        <v>0</v>
      </c>
      <c r="Y67" s="360">
        <v>0</v>
      </c>
      <c r="Z67" s="360">
        <v>0</v>
      </c>
      <c r="AA67" s="360">
        <v>0</v>
      </c>
      <c r="AB67" s="360">
        <v>0</v>
      </c>
      <c r="AC67" s="360">
        <v>0</v>
      </c>
      <c r="AD67" s="360">
        <v>0</v>
      </c>
      <c r="AE67" s="360">
        <v>0</v>
      </c>
      <c r="AF67" s="360">
        <v>0</v>
      </c>
      <c r="AG67" s="360">
        <v>0</v>
      </c>
      <c r="AH67" s="360">
        <v>0</v>
      </c>
      <c r="AI67" s="360">
        <v>0</v>
      </c>
      <c r="AJ67" s="360">
        <v>0</v>
      </c>
    </row>
    <row r="68" spans="1:36" x14ac:dyDescent="0.2">
      <c r="A68" s="385"/>
      <c r="B68" s="385"/>
      <c r="C68" s="383">
        <v>0</v>
      </c>
      <c r="D68" s="386" t="s">
        <v>305</v>
      </c>
      <c r="E68" s="387">
        <v>0</v>
      </c>
      <c r="F68" s="387">
        <v>0</v>
      </c>
      <c r="G68" s="387">
        <v>115111.01582967954</v>
      </c>
      <c r="H68" s="387">
        <v>115111.01582967954</v>
      </c>
      <c r="I68" s="387">
        <v>115111.01582967954</v>
      </c>
      <c r="J68" s="387">
        <v>115111.01582967954</v>
      </c>
      <c r="K68" s="387">
        <v>115111.01582967954</v>
      </c>
      <c r="L68" s="387">
        <v>115111.01582967954</v>
      </c>
      <c r="M68" s="387">
        <v>115111.01582967954</v>
      </c>
      <c r="N68" s="387">
        <v>115111.01582967954</v>
      </c>
      <c r="O68" s="387">
        <v>115111.01582967954</v>
      </c>
      <c r="P68" s="387">
        <v>115111.01582967954</v>
      </c>
      <c r="Q68" s="387">
        <v>115111.01582967954</v>
      </c>
      <c r="R68" s="387">
        <v>115111.01582967954</v>
      </c>
      <c r="S68" s="387">
        <v>115111.01582967954</v>
      </c>
      <c r="T68" s="387">
        <v>115111.01582967954</v>
      </c>
      <c r="U68" s="387">
        <v>115111.01582967954</v>
      </c>
      <c r="V68" s="387">
        <v>115111.01582967954</v>
      </c>
      <c r="W68" s="387">
        <v>115111.01582967954</v>
      </c>
      <c r="X68" s="387">
        <v>115111.01582967954</v>
      </c>
      <c r="Y68" s="387">
        <v>115111.01582967954</v>
      </c>
      <c r="Z68" s="387">
        <v>115111.01582967954</v>
      </c>
      <c r="AA68" s="387">
        <v>115111.01582967954</v>
      </c>
      <c r="AB68" s="387">
        <v>115111.01582967954</v>
      </c>
      <c r="AC68" s="387">
        <v>115111.01582967954</v>
      </c>
      <c r="AD68" s="387">
        <v>115111.01582967954</v>
      </c>
      <c r="AE68" s="387">
        <v>115111.01582967954</v>
      </c>
      <c r="AF68" s="387">
        <v>115111.01582967954</v>
      </c>
      <c r="AG68" s="387">
        <v>115111.01582967954</v>
      </c>
      <c r="AH68" s="387">
        <v>115111.01582967954</v>
      </c>
      <c r="AI68" s="387">
        <v>115111.01582967954</v>
      </c>
      <c r="AJ68" s="387">
        <v>115111.01582967954</v>
      </c>
    </row>
    <row r="69" spans="1:36" x14ac:dyDescent="0.2">
      <c r="A69" s="388"/>
      <c r="B69" s="388"/>
      <c r="C69" s="388"/>
      <c r="D69" s="389" t="s">
        <v>306</v>
      </c>
      <c r="E69" s="390">
        <v>36372.175708592338</v>
      </c>
      <c r="F69" s="390">
        <v>42865.458122703523</v>
      </c>
      <c r="G69" s="390">
        <v>119846.0801382481</v>
      </c>
      <c r="H69" s="390">
        <v>119932.88244542267</v>
      </c>
      <c r="I69" s="390">
        <v>119960.53466529745</v>
      </c>
      <c r="J69" s="390">
        <v>119963.04834597225</v>
      </c>
      <c r="K69" s="390">
        <v>119970.03318623034</v>
      </c>
      <c r="L69" s="390">
        <v>120008.81066290296</v>
      </c>
      <c r="M69" s="390">
        <v>120067.0120848268</v>
      </c>
      <c r="N69" s="390">
        <v>120062.67181175301</v>
      </c>
      <c r="O69" s="390">
        <v>120062.67181175301</v>
      </c>
      <c r="P69" s="390">
        <v>120062.67181175301</v>
      </c>
      <c r="Q69" s="390">
        <v>120062.67181175301</v>
      </c>
      <c r="R69" s="390">
        <v>120062.67181175301</v>
      </c>
      <c r="S69" s="390">
        <v>120062.67181175301</v>
      </c>
      <c r="T69" s="390">
        <v>120062.67181175301</v>
      </c>
      <c r="U69" s="390">
        <v>120062.67181175301</v>
      </c>
      <c r="V69" s="390">
        <v>120062.67181175301</v>
      </c>
      <c r="W69" s="390">
        <v>120062.67181175301</v>
      </c>
      <c r="X69" s="390">
        <v>120062.67181175301</v>
      </c>
      <c r="Y69" s="390">
        <v>120062.67181175301</v>
      </c>
      <c r="Z69" s="390">
        <v>120062.67181175301</v>
      </c>
      <c r="AA69" s="390">
        <v>120062.67181175301</v>
      </c>
      <c r="AB69" s="390">
        <v>120062.67181175301</v>
      </c>
      <c r="AC69" s="390">
        <v>120062.67181175301</v>
      </c>
      <c r="AD69" s="390">
        <v>120062.67181175301</v>
      </c>
      <c r="AE69" s="390">
        <v>120062.67181175301</v>
      </c>
      <c r="AF69" s="390">
        <v>120062.67181175301</v>
      </c>
      <c r="AG69" s="390">
        <v>120062.67181175301</v>
      </c>
      <c r="AH69" s="390">
        <v>120062.67181175301</v>
      </c>
      <c r="AI69" s="390">
        <v>120062.67181175301</v>
      </c>
      <c r="AJ69" s="390">
        <v>120062.67181175301</v>
      </c>
    </row>
    <row r="70" spans="1:36" x14ac:dyDescent="0.2">
      <c r="A70" s="368"/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</row>
    <row r="71" spans="1:36" x14ac:dyDescent="0.2">
      <c r="A71" s="368"/>
      <c r="B71" s="368"/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</row>
    <row r="72" spans="1:36" x14ac:dyDescent="0.2">
      <c r="A72" s="368"/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</row>
    <row r="73" spans="1:36" x14ac:dyDescent="0.2">
      <c r="A73" s="368"/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</row>
    <row r="74" spans="1:36" x14ac:dyDescent="0.2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</row>
    <row r="75" spans="1:36" x14ac:dyDescent="0.2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</row>
    <row r="76" spans="1:36" x14ac:dyDescent="0.2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</row>
    <row r="77" spans="1:36" x14ac:dyDescent="0.2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</row>
    <row r="78" spans="1:3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customFormat="1" x14ac:dyDescent="0.2"/>
    <row r="86" spans="1:32" customFormat="1" x14ac:dyDescent="0.2"/>
    <row r="87" spans="1:32" customFormat="1" x14ac:dyDescent="0.2"/>
    <row r="88" spans="1:32" customFormat="1" x14ac:dyDescent="0.2"/>
    <row r="89" spans="1:32" customFormat="1" x14ac:dyDescent="0.2"/>
    <row r="90" spans="1:32" customFormat="1" x14ac:dyDescent="0.2"/>
    <row r="91" spans="1:32" customForma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8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4" t="str">
        <f>bus</f>
        <v>CitiPower</v>
      </c>
      <c r="B1" s="14"/>
      <c r="C1" s="14"/>
      <c r="D1" s="47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3" ht="18.75" x14ac:dyDescent="0.3">
      <c r="A2" s="55" t="str">
        <f>proj</f>
        <v>R switchboard and relay retirement</v>
      </c>
      <c r="B2" s="14"/>
      <c r="C2" s="14"/>
      <c r="D2" s="47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3" ht="15.75" x14ac:dyDescent="0.25">
      <c r="A3" s="5"/>
    </row>
    <row r="4" spans="1:23" s="1" customFormat="1" ht="15" x14ac:dyDescent="0.2">
      <c r="A4" s="17" t="s">
        <v>201</v>
      </c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6"/>
      <c r="O4" s="16"/>
      <c r="P4" s="16"/>
      <c r="Q4" s="16"/>
      <c r="R4" s="16"/>
    </row>
    <row r="5" spans="1:23" s="1" customFormat="1" x14ac:dyDescent="0.2"/>
    <row r="6" spans="1:23" s="1" customFormat="1" x14ac:dyDescent="0.2">
      <c r="B6" s="76" t="s">
        <v>128</v>
      </c>
      <c r="C6" s="76"/>
      <c r="D6" s="49"/>
      <c r="E6" s="29"/>
      <c r="F6" s="45"/>
      <c r="G6" s="29"/>
      <c r="H6" s="46">
        <v>44377</v>
      </c>
      <c r="I6" s="44">
        <f>IF(EOMONTH(H6,12)&gt;output_dollars, output_dollars, EOMONTH(H6,12))</f>
        <v>44742</v>
      </c>
      <c r="J6" s="44">
        <f>IF(EOMONTH(I6,12)&gt;output_dollars, output_dollars, EOMONTH(I6,12))</f>
        <v>45107</v>
      </c>
      <c r="K6" s="44">
        <f>IF(EOMONTH(J6,12)&gt;output_dollars, output_dollars, EOMONTH(J6,12))</f>
        <v>45473</v>
      </c>
      <c r="L6" s="44">
        <f>IF(EOMONTH(K6,12)&gt;output_dollars, output_dollars, EOMONTH(K6,12))</f>
        <v>45838</v>
      </c>
      <c r="M6" s="44">
        <f>IF(EOMONTH(L6,12)&gt;output_dollars, output_dollars, EOMONTH(L6,12))</f>
        <v>46203</v>
      </c>
    </row>
    <row r="7" spans="1:23" s="21" customFormat="1" x14ac:dyDescent="0.2">
      <c r="D7" s="50"/>
      <c r="N7" s="1"/>
      <c r="O7"/>
      <c r="P7"/>
      <c r="Q7"/>
      <c r="R7"/>
      <c r="S7"/>
      <c r="T7"/>
      <c r="U7"/>
      <c r="V7"/>
      <c r="W7"/>
    </row>
    <row r="8" spans="1:23" s="21" customFormat="1" x14ac:dyDescent="0.2">
      <c r="B8" s="21" t="s">
        <v>35</v>
      </c>
      <c r="D8" s="50"/>
      <c r="H8" s="39">
        <v>0</v>
      </c>
      <c r="I8" s="39">
        <v>8.6058519793459354E-3</v>
      </c>
      <c r="J8" s="39">
        <v>3.4982935153583528E-2</v>
      </c>
      <c r="K8" s="39">
        <v>7.8318219291014124E-2</v>
      </c>
      <c r="L8" s="39">
        <v>4.0519877675840865E-2</v>
      </c>
      <c r="M8" s="39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1"/>
      <c r="O9"/>
      <c r="P9"/>
      <c r="Q9"/>
      <c r="R9"/>
      <c r="S9"/>
      <c r="T9"/>
      <c r="U9"/>
      <c r="V9"/>
      <c r="W9"/>
    </row>
    <row r="10" spans="1:23" s="1" customFormat="1" x14ac:dyDescent="0.2">
      <c r="D10" s="11"/>
      <c r="K10" s="63"/>
      <c r="L10" s="63"/>
      <c r="M10" s="63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1" t="s">
        <v>74</v>
      </c>
      <c r="C11"/>
      <c r="D11"/>
      <c r="E11"/>
      <c r="F11"/>
      <c r="G11"/>
      <c r="H11" s="77">
        <f>H6</f>
        <v>44377</v>
      </c>
      <c r="I11" s="77">
        <f>EOMONTH(H11,6)</f>
        <v>44561</v>
      </c>
      <c r="J11" s="77">
        <f>EOMONTH(I11,6)</f>
        <v>44742</v>
      </c>
      <c r="K11" s="77">
        <f t="shared" ref="K11:Q11" si="0">EOMONTH(J11,6)</f>
        <v>44926</v>
      </c>
      <c r="L11" s="77">
        <f t="shared" si="0"/>
        <v>45107</v>
      </c>
      <c r="M11" s="77">
        <f t="shared" si="0"/>
        <v>45291</v>
      </c>
      <c r="N11" s="77">
        <f t="shared" si="0"/>
        <v>45473</v>
      </c>
      <c r="O11" s="77">
        <f t="shared" si="0"/>
        <v>45657</v>
      </c>
      <c r="P11" s="77">
        <f t="shared" si="0"/>
        <v>45838</v>
      </c>
      <c r="Q11" s="77">
        <f t="shared" si="0"/>
        <v>46022</v>
      </c>
      <c r="R11" s="77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1" t="s">
        <v>75</v>
      </c>
      <c r="C12"/>
      <c r="D12"/>
      <c r="E12"/>
      <c r="F12"/>
      <c r="G12"/>
      <c r="H12" s="75">
        <f t="shared" ref="H12:R12" si="1">IF(MONTH(H11)=12, EOMONTH(H11,6), H11)</f>
        <v>44377</v>
      </c>
      <c r="I12" s="75">
        <f t="shared" si="1"/>
        <v>44742</v>
      </c>
      <c r="J12" s="75">
        <f t="shared" si="1"/>
        <v>44742</v>
      </c>
      <c r="K12" s="75">
        <f t="shared" si="1"/>
        <v>45107</v>
      </c>
      <c r="L12" s="75">
        <f t="shared" si="1"/>
        <v>45107</v>
      </c>
      <c r="M12" s="75">
        <f t="shared" si="1"/>
        <v>45473</v>
      </c>
      <c r="N12" s="75">
        <f t="shared" si="1"/>
        <v>45473</v>
      </c>
      <c r="O12" s="75">
        <f t="shared" si="1"/>
        <v>45838</v>
      </c>
      <c r="P12" s="75">
        <f t="shared" si="1"/>
        <v>45838</v>
      </c>
      <c r="Q12" s="75">
        <f t="shared" si="1"/>
        <v>46203</v>
      </c>
      <c r="R12" s="75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1" t="s">
        <v>35</v>
      </c>
      <c r="C13"/>
      <c r="D13"/>
      <c r="E13"/>
      <c r="F13"/>
      <c r="G13"/>
      <c r="H13" s="78">
        <f t="shared" ref="H13:R13" si="2">IF(output_dollars&lt;H12,0,INDEX($H$8:$M$8,MATCH(H12,CY_years,0)))</f>
        <v>0</v>
      </c>
      <c r="I13" s="78">
        <f t="shared" si="2"/>
        <v>8.6058519793459354E-3</v>
      </c>
      <c r="J13" s="78">
        <f t="shared" si="2"/>
        <v>8.6058519793459354E-3</v>
      </c>
      <c r="K13" s="78">
        <f t="shared" si="2"/>
        <v>3.4982935153583528E-2</v>
      </c>
      <c r="L13" s="78">
        <f t="shared" si="2"/>
        <v>3.4982935153583528E-2</v>
      </c>
      <c r="M13" s="78">
        <f t="shared" si="2"/>
        <v>7.8318219291014124E-2</v>
      </c>
      <c r="N13" s="78">
        <f t="shared" si="2"/>
        <v>7.8318219291014124E-2</v>
      </c>
      <c r="O13" s="78">
        <f t="shared" si="2"/>
        <v>4.0519877675840865E-2</v>
      </c>
      <c r="P13" s="78">
        <f t="shared" si="2"/>
        <v>4.0519877675840865E-2</v>
      </c>
      <c r="Q13" s="78">
        <f t="shared" si="2"/>
        <v>0.03</v>
      </c>
      <c r="R13" s="78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1" customFormat="1" x14ac:dyDescent="0.2">
      <c r="A15"/>
      <c r="B15" s="21" t="s">
        <v>76</v>
      </c>
      <c r="C15"/>
      <c r="D15"/>
      <c r="E15"/>
      <c r="F15"/>
      <c r="G15"/>
      <c r="H15" s="41">
        <v>1</v>
      </c>
      <c r="I15" s="40">
        <f t="shared" ref="I15:R15" si="3">H15*(1+I$13)^0.5</f>
        <v>1.0042937080253693</v>
      </c>
      <c r="J15" s="40">
        <f t="shared" si="3"/>
        <v>1.0086058519793457</v>
      </c>
      <c r="K15" s="40">
        <f t="shared" si="3"/>
        <v>1.0260961975293987</v>
      </c>
      <c r="L15" s="40">
        <f t="shared" si="3"/>
        <v>1.0438898450946641</v>
      </c>
      <c r="M15" s="40">
        <f t="shared" si="3"/>
        <v>1.0839971599793141</v>
      </c>
      <c r="N15" s="40">
        <f t="shared" si="3"/>
        <v>1.1256454388984505</v>
      </c>
      <c r="O15" s="40">
        <f t="shared" si="3"/>
        <v>1.1482244927118261</v>
      </c>
      <c r="P15" s="40">
        <f t="shared" si="3"/>
        <v>1.1712564543889838</v>
      </c>
      <c r="Q15" s="40">
        <f t="shared" si="3"/>
        <v>1.1886954750508179</v>
      </c>
      <c r="R15" s="40">
        <f t="shared" si="3"/>
        <v>1.2063941480206535</v>
      </c>
      <c r="S15"/>
      <c r="T15"/>
      <c r="U15"/>
      <c r="V15"/>
      <c r="W15"/>
    </row>
    <row r="16" spans="1:23" s="21" customFormat="1" x14ac:dyDescent="0.2">
      <c r="A16"/>
      <c r="B16" s="79" t="s">
        <v>186</v>
      </c>
      <c r="C16" s="66">
        <f>input_dollars</f>
        <v>45291</v>
      </c>
      <c r="D16" s="40">
        <f>INDEX(hy_escalation, MATCH(C16,hy_dates,0))</f>
        <v>1.0839971599793141</v>
      </c>
      <c r="E16"/>
      <c r="F16"/>
      <c r="G16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/>
      <c r="T16"/>
      <c r="U16"/>
      <c r="V16"/>
      <c r="W16"/>
    </row>
    <row r="17" spans="1:34" s="21" customFormat="1" x14ac:dyDescent="0.2">
      <c r="A17"/>
      <c r="B17" s="79" t="s">
        <v>187</v>
      </c>
      <c r="C17" s="66">
        <f>output_dollars</f>
        <v>46203</v>
      </c>
      <c r="D17" s="40">
        <f>INDEX(hy_escalation, MATCH(C17,hy_dates,0))</f>
        <v>1.2063941480206535</v>
      </c>
      <c r="E17"/>
      <c r="F17"/>
      <c r="G17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0" t="s">
        <v>77</v>
      </c>
      <c r="D19" s="40">
        <f>D17/D16</f>
        <v>1.1129126464165968</v>
      </c>
      <c r="L19" s="291"/>
    </row>
    <row r="20" spans="1:34" x14ac:dyDescent="0.2">
      <c r="B20" s="80"/>
      <c r="D20" s="40"/>
    </row>
    <row r="21" spans="1:34" x14ac:dyDescent="0.2">
      <c r="B21" s="79" t="s">
        <v>212</v>
      </c>
      <c r="C21" s="66">
        <f>vcr_date</f>
        <v>45291</v>
      </c>
      <c r="D21" s="40">
        <f>INDEX(hy_escalation, MATCH(C21,hy_dates,0))</f>
        <v>1.0839971599793141</v>
      </c>
    </row>
    <row r="22" spans="1:34" x14ac:dyDescent="0.2">
      <c r="B22" s="79" t="s">
        <v>213</v>
      </c>
      <c r="C22" s="66">
        <f>input_dollars</f>
        <v>45291</v>
      </c>
      <c r="D22" s="40">
        <f>INDEX(hy_escalation, MATCH(C22,hy_dates,0))</f>
        <v>1.0839971599793141</v>
      </c>
    </row>
    <row r="23" spans="1:34" x14ac:dyDescent="0.2">
      <c r="B23" s="80" t="s">
        <v>214</v>
      </c>
      <c r="D23" s="40">
        <f>D22/D21</f>
        <v>1</v>
      </c>
    </row>
    <row r="25" spans="1:34" x14ac:dyDescent="0.2">
      <c r="B25" s="80" t="s">
        <v>238</v>
      </c>
      <c r="C25" s="8" t="str">
        <f>start</f>
        <v>2026-27</v>
      </c>
    </row>
    <row r="28" spans="1:34" s="1" customFormat="1" ht="15" x14ac:dyDescent="0.2">
      <c r="A28" s="17" t="s">
        <v>210</v>
      </c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6"/>
      <c r="P28" s="16"/>
      <c r="Q28" s="16"/>
      <c r="R28" s="16"/>
    </row>
    <row r="31" spans="1:34" x14ac:dyDescent="0.2">
      <c r="B31" s="191" t="s">
        <v>1</v>
      </c>
      <c r="C31" s="192" t="s">
        <v>193</v>
      </c>
      <c r="D31" s="193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90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90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90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154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193</v>
      </c>
      <c r="C38" s="194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7" t="s">
        <v>244</v>
      </c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  <c r="O46" s="16"/>
      <c r="P46" s="16"/>
      <c r="Q46" s="16"/>
      <c r="R46" s="16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8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8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8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8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8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8" t="s">
        <v>211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4" t="str">
        <f>bus</f>
        <v>CitiPower</v>
      </c>
      <c r="B1" s="14"/>
      <c r="C1" s="14"/>
      <c r="D1" s="14"/>
      <c r="E1" s="14"/>
      <c r="F1" s="14"/>
      <c r="G1" s="14"/>
      <c r="H1" s="14"/>
      <c r="I1" s="14"/>
      <c r="J1" s="14"/>
      <c r="K1" s="47"/>
      <c r="L1" s="47"/>
      <c r="M1" s="47"/>
      <c r="N1" s="14"/>
      <c r="O1" s="14"/>
      <c r="P1" s="14"/>
      <c r="Q1" s="14"/>
      <c r="R1" s="14"/>
      <c r="S1" s="14"/>
      <c r="T1"/>
      <c r="U1" s="145"/>
      <c r="V1"/>
      <c r="W1"/>
    </row>
    <row r="2" spans="1:27" ht="18.75" x14ac:dyDescent="0.3">
      <c r="A2" s="55" t="str">
        <f>proj</f>
        <v>R switchboard and relay retirement</v>
      </c>
      <c r="B2" s="55"/>
      <c r="C2" s="55"/>
      <c r="D2" s="55"/>
      <c r="E2" s="55"/>
      <c r="F2" s="55"/>
      <c r="G2" s="14"/>
      <c r="H2" s="14"/>
      <c r="I2" s="14"/>
      <c r="J2" s="14"/>
      <c r="K2" s="47"/>
      <c r="L2" s="47"/>
      <c r="M2" s="47"/>
      <c r="N2" s="14"/>
      <c r="O2" s="14"/>
      <c r="P2" s="14"/>
      <c r="Q2" s="14"/>
      <c r="R2" s="14"/>
      <c r="S2" s="14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8" t="s">
        <v>51</v>
      </c>
      <c r="B5" s="18"/>
      <c r="C5" s="18"/>
      <c r="D5" s="18"/>
      <c r="E5" s="18"/>
      <c r="F5" s="19"/>
      <c r="G5" s="18"/>
      <c r="H5" s="18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/>
      <c r="U5"/>
      <c r="V5"/>
    </row>
    <row r="6" spans="1:27" x14ac:dyDescent="0.2">
      <c r="T6"/>
      <c r="U6"/>
      <c r="V6"/>
    </row>
    <row r="7" spans="1:27" x14ac:dyDescent="0.2">
      <c r="A7" s="13" t="s">
        <v>80</v>
      </c>
      <c r="T7"/>
      <c r="U7"/>
      <c r="V7"/>
    </row>
    <row r="8" spans="1:27" x14ac:dyDescent="0.2">
      <c r="A8" s="58"/>
      <c r="B8" s="58"/>
      <c r="C8" s="52" t="s">
        <v>83</v>
      </c>
      <c r="D8" s="52" t="s">
        <v>199</v>
      </c>
      <c r="F8" s="8" t="s">
        <v>227</v>
      </c>
      <c r="T8"/>
      <c r="U8"/>
      <c r="V8"/>
    </row>
    <row r="9" spans="1:27" x14ac:dyDescent="0.2">
      <c r="A9" s="26" t="s">
        <v>144</v>
      </c>
      <c r="B9" s="85" t="s">
        <v>143</v>
      </c>
      <c r="C9" s="86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6" t="s">
        <v>145</v>
      </c>
      <c r="B10" s="85" t="s">
        <v>131</v>
      </c>
      <c r="C10" s="86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6" t="s">
        <v>146</v>
      </c>
      <c r="B11" s="85" t="s">
        <v>132</v>
      </c>
      <c r="C11" s="86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6" t="s">
        <v>147</v>
      </c>
      <c r="B12" s="85" t="s">
        <v>133</v>
      </c>
      <c r="C12" s="86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6" t="s">
        <v>155</v>
      </c>
      <c r="B13" s="85" t="s">
        <v>154</v>
      </c>
      <c r="C13" s="86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2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5" t="s">
        <v>58</v>
      </c>
      <c r="C19" s="86"/>
      <c r="T19"/>
      <c r="U19"/>
      <c r="V19"/>
      <c r="W19"/>
      <c r="Z19"/>
      <c r="AA19"/>
    </row>
    <row r="20" spans="1:27" x14ac:dyDescent="0.2">
      <c r="B20" s="85" t="s">
        <v>95</v>
      </c>
      <c r="C20" s="86"/>
      <c r="T20"/>
      <c r="U20"/>
      <c r="V20"/>
      <c r="W20"/>
      <c r="Z20"/>
      <c r="AA20"/>
    </row>
    <row r="21" spans="1:27" x14ac:dyDescent="0.2">
      <c r="B21" s="85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1"/>
      <c r="T24"/>
      <c r="U24"/>
      <c r="V24"/>
      <c r="W24"/>
    </row>
    <row r="25" spans="1:27" x14ac:dyDescent="0.2">
      <c r="B25" s="22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3" t="s">
        <v>85</v>
      </c>
      <c r="T28"/>
      <c r="U28"/>
      <c r="V28"/>
      <c r="W28"/>
    </row>
    <row r="29" spans="1:27" x14ac:dyDescent="0.2">
      <c r="A29" s="13"/>
      <c r="B29" s="52"/>
      <c r="C29" s="52" t="s">
        <v>87</v>
      </c>
      <c r="T29"/>
      <c r="U29"/>
      <c r="V29"/>
      <c r="W29"/>
    </row>
    <row r="30" spans="1:27" x14ac:dyDescent="0.2">
      <c r="B30" s="22" t="s">
        <v>30</v>
      </c>
      <c r="C30" s="22">
        <v>-1</v>
      </c>
      <c r="T30"/>
      <c r="U30"/>
      <c r="V30"/>
      <c r="W30"/>
    </row>
    <row r="31" spans="1:27" x14ac:dyDescent="0.2">
      <c r="B31" s="22" t="s">
        <v>91</v>
      </c>
      <c r="C31" s="22">
        <v>-1</v>
      </c>
      <c r="T31"/>
      <c r="U31"/>
      <c r="V31"/>
      <c r="W31"/>
      <c r="AA31" s="65"/>
    </row>
    <row r="32" spans="1:27" x14ac:dyDescent="0.2">
      <c r="B32" s="22" t="s">
        <v>31</v>
      </c>
      <c r="C32" s="22">
        <v>-1</v>
      </c>
      <c r="T32"/>
      <c r="U32"/>
      <c r="V32"/>
      <c r="W32"/>
      <c r="AA32" s="65"/>
    </row>
    <row r="33" spans="1:23" x14ac:dyDescent="0.2">
      <c r="B33" s="22" t="s">
        <v>140</v>
      </c>
      <c r="C33" s="22">
        <v>1</v>
      </c>
      <c r="T33"/>
      <c r="U33"/>
      <c r="V33"/>
      <c r="W33"/>
    </row>
    <row r="34" spans="1:23" x14ac:dyDescent="0.2">
      <c r="B34" s="22" t="s">
        <v>122</v>
      </c>
      <c r="C34" s="22">
        <v>1</v>
      </c>
      <c r="T34"/>
      <c r="U34"/>
      <c r="V34"/>
      <c r="W34"/>
    </row>
    <row r="35" spans="1:23" x14ac:dyDescent="0.2">
      <c r="B35" s="22" t="s">
        <v>188</v>
      </c>
      <c r="C35" s="22">
        <v>1</v>
      </c>
      <c r="T35"/>
      <c r="U35"/>
      <c r="V35"/>
      <c r="W35"/>
    </row>
    <row r="36" spans="1:23" x14ac:dyDescent="0.2">
      <c r="B36" s="22" t="s">
        <v>172</v>
      </c>
      <c r="C36" s="22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3" t="s">
        <v>54</v>
      </c>
      <c r="T41"/>
      <c r="U41"/>
      <c r="V41"/>
      <c r="W41"/>
    </row>
    <row r="42" spans="1:23" x14ac:dyDescent="0.2">
      <c r="A42" s="58"/>
      <c r="B42" s="58"/>
      <c r="C42" s="52" t="s">
        <v>87</v>
      </c>
      <c r="D42" s="52" t="s">
        <v>81</v>
      </c>
      <c r="E42" s="52" t="s">
        <v>25</v>
      </c>
      <c r="F42" s="8" t="s">
        <v>110</v>
      </c>
      <c r="T42"/>
      <c r="U42"/>
      <c r="V42"/>
      <c r="W42"/>
    </row>
    <row r="43" spans="1:23" x14ac:dyDescent="0.2">
      <c r="A43" s="26">
        <v>1</v>
      </c>
      <c r="B43" s="26" t="s">
        <v>106</v>
      </c>
      <c r="C43" s="26" t="s">
        <v>23</v>
      </c>
      <c r="D43" s="26" t="b">
        <v>0</v>
      </c>
      <c r="E43" s="22" t="s">
        <v>40</v>
      </c>
      <c r="F43" s="26" t="b">
        <v>0</v>
      </c>
      <c r="T43"/>
      <c r="U43"/>
      <c r="V43"/>
      <c r="W43"/>
    </row>
    <row r="44" spans="1:23" x14ac:dyDescent="0.2">
      <c r="A44" s="26">
        <f>A43+1</f>
        <v>2</v>
      </c>
      <c r="B44" s="26" t="s">
        <v>97</v>
      </c>
      <c r="C44" s="26" t="s">
        <v>97</v>
      </c>
      <c r="D44" s="26" t="b">
        <v>0</v>
      </c>
      <c r="E44" s="22" t="s">
        <v>104</v>
      </c>
      <c r="F44" s="26" t="b">
        <v>1</v>
      </c>
      <c r="T44"/>
      <c r="U44"/>
      <c r="V44"/>
      <c r="W44"/>
    </row>
    <row r="45" spans="1:23" x14ac:dyDescent="0.2">
      <c r="A45" s="26">
        <f t="shared" ref="A45:A55" si="0">A44+1</f>
        <v>3</v>
      </c>
      <c r="B45" s="26" t="s">
        <v>108</v>
      </c>
      <c r="C45" s="26" t="s">
        <v>107</v>
      </c>
      <c r="D45" s="26" t="b">
        <v>0</v>
      </c>
      <c r="E45" s="22" t="s">
        <v>104</v>
      </c>
      <c r="F45" s="26" t="b">
        <v>1</v>
      </c>
      <c r="T45"/>
      <c r="U45"/>
      <c r="V45"/>
      <c r="W45"/>
    </row>
    <row r="46" spans="1:23" x14ac:dyDescent="0.2">
      <c r="A46" s="26">
        <f t="shared" si="0"/>
        <v>4</v>
      </c>
      <c r="B46" s="26" t="s">
        <v>105</v>
      </c>
      <c r="C46" s="26" t="s">
        <v>109</v>
      </c>
      <c r="D46" s="26" t="b">
        <v>0</v>
      </c>
      <c r="E46" s="22" t="s">
        <v>104</v>
      </c>
      <c r="F46" s="26" t="b">
        <v>1</v>
      </c>
      <c r="T46"/>
      <c r="U46"/>
      <c r="V46"/>
      <c r="W46"/>
    </row>
    <row r="47" spans="1:23" ht="13.5" x14ac:dyDescent="0.25">
      <c r="A47" s="26">
        <f t="shared" si="0"/>
        <v>5</v>
      </c>
      <c r="B47" s="26" t="s">
        <v>59</v>
      </c>
      <c r="C47" s="26" t="s">
        <v>60</v>
      </c>
      <c r="D47" s="26" t="b">
        <v>1</v>
      </c>
      <c r="E47" s="22" t="s">
        <v>40</v>
      </c>
      <c r="F47" s="26" t="b">
        <v>0</v>
      </c>
      <c r="T47"/>
      <c r="U47"/>
      <c r="V47"/>
      <c r="W47"/>
    </row>
    <row r="48" spans="1:23" x14ac:dyDescent="0.2">
      <c r="A48" s="26">
        <f t="shared" si="0"/>
        <v>6</v>
      </c>
      <c r="B48" s="26" t="s">
        <v>14</v>
      </c>
      <c r="C48" s="26" t="s">
        <v>18</v>
      </c>
      <c r="D48" s="26" t="b">
        <v>1</v>
      </c>
      <c r="E48" s="22" t="s">
        <v>40</v>
      </c>
      <c r="F48" s="26" t="b">
        <v>0</v>
      </c>
      <c r="I48"/>
      <c r="T48"/>
      <c r="U48"/>
      <c r="V48"/>
      <c r="W48"/>
    </row>
    <row r="49" spans="1:23" x14ac:dyDescent="0.2">
      <c r="A49" s="26">
        <f t="shared" si="0"/>
        <v>7</v>
      </c>
      <c r="B49" s="26" t="s">
        <v>4</v>
      </c>
      <c r="C49" s="26" t="s">
        <v>18</v>
      </c>
      <c r="D49" s="26" t="b">
        <v>1</v>
      </c>
      <c r="E49" s="22" t="s">
        <v>40</v>
      </c>
      <c r="F49" s="26" t="b">
        <v>0</v>
      </c>
      <c r="T49"/>
      <c r="U49"/>
      <c r="V49"/>
      <c r="W49"/>
    </row>
    <row r="50" spans="1:23" x14ac:dyDescent="0.2">
      <c r="A50" s="26">
        <f t="shared" si="0"/>
        <v>8</v>
      </c>
      <c r="B50" s="26" t="s">
        <v>5</v>
      </c>
      <c r="C50" s="26" t="s">
        <v>18</v>
      </c>
      <c r="D50" s="26" t="b">
        <v>1</v>
      </c>
      <c r="E50" s="22" t="s">
        <v>40</v>
      </c>
      <c r="F50" s="26" t="b">
        <v>0</v>
      </c>
      <c r="T50"/>
      <c r="U50"/>
      <c r="V50"/>
      <c r="W50"/>
    </row>
    <row r="51" spans="1:23" x14ac:dyDescent="0.2">
      <c r="A51" s="26">
        <f t="shared" si="0"/>
        <v>9</v>
      </c>
      <c r="B51" s="26" t="s">
        <v>15</v>
      </c>
      <c r="C51" s="26" t="s">
        <v>18</v>
      </c>
      <c r="D51" s="26" t="b">
        <v>1</v>
      </c>
      <c r="E51" s="22" t="s">
        <v>48</v>
      </c>
      <c r="F51" s="26" t="b">
        <v>0</v>
      </c>
      <c r="T51"/>
      <c r="U51"/>
      <c r="V51"/>
      <c r="W51"/>
    </row>
    <row r="52" spans="1:23" x14ac:dyDescent="0.2">
      <c r="A52" s="26">
        <f t="shared" si="0"/>
        <v>10</v>
      </c>
      <c r="B52" s="26" t="s">
        <v>9</v>
      </c>
      <c r="C52" s="26" t="s">
        <v>18</v>
      </c>
      <c r="D52" s="26" t="b">
        <v>1</v>
      </c>
      <c r="E52" s="22" t="s">
        <v>82</v>
      </c>
      <c r="F52" s="26" t="b">
        <v>0</v>
      </c>
      <c r="T52"/>
      <c r="U52"/>
      <c r="V52"/>
      <c r="W52"/>
    </row>
    <row r="53" spans="1:23" x14ac:dyDescent="0.2">
      <c r="A53" s="26">
        <f t="shared" si="0"/>
        <v>11</v>
      </c>
      <c r="B53" s="26" t="s">
        <v>10</v>
      </c>
      <c r="C53" s="26" t="s">
        <v>18</v>
      </c>
      <c r="D53" s="26" t="b">
        <v>1</v>
      </c>
      <c r="E53" s="22" t="s">
        <v>82</v>
      </c>
      <c r="F53" s="26" t="b">
        <v>0</v>
      </c>
      <c r="T53"/>
      <c r="U53"/>
      <c r="V53"/>
      <c r="W53"/>
    </row>
    <row r="54" spans="1:23" x14ac:dyDescent="0.2">
      <c r="A54" s="26">
        <f t="shared" si="0"/>
        <v>12</v>
      </c>
      <c r="B54" s="26" t="s">
        <v>6</v>
      </c>
      <c r="C54" s="26" t="s">
        <v>18</v>
      </c>
      <c r="D54" s="26" t="b">
        <v>1</v>
      </c>
      <c r="E54" s="22" t="s">
        <v>48</v>
      </c>
      <c r="F54" s="26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6">
        <f t="shared" si="0"/>
        <v>13</v>
      </c>
      <c r="B55" s="26" t="s">
        <v>7</v>
      </c>
      <c r="C55" s="26" t="s">
        <v>18</v>
      </c>
      <c r="D55" s="26" t="b">
        <v>1</v>
      </c>
      <c r="E55" s="22" t="s">
        <v>48</v>
      </c>
      <c r="F55" s="26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3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2"/>
      <c r="B59" s="52"/>
      <c r="C59" s="87"/>
      <c r="D59" s="52" t="s">
        <v>42</v>
      </c>
      <c r="E59" s="52" t="s">
        <v>3</v>
      </c>
      <c r="F59" s="52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6" t="s">
        <v>14</v>
      </c>
      <c r="C60" s="26" t="s">
        <v>53</v>
      </c>
      <c r="D60" s="95">
        <v>0</v>
      </c>
      <c r="E60" s="95">
        <v>151432.81740793545</v>
      </c>
      <c r="F60" s="95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6" t="s">
        <v>4</v>
      </c>
      <c r="C61" s="26" t="s">
        <v>53</v>
      </c>
      <c r="D61" s="95">
        <v>0</v>
      </c>
      <c r="E61" s="95">
        <v>24590</v>
      </c>
      <c r="F61" s="95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6" t="s">
        <v>5</v>
      </c>
      <c r="C62" s="26" t="s">
        <v>53</v>
      </c>
      <c r="D62" s="95">
        <v>4220.9953699573898</v>
      </c>
      <c r="E62" s="95">
        <v>88.357719508603083</v>
      </c>
      <c r="F62" s="95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6" t="s">
        <v>15</v>
      </c>
      <c r="C63" s="26" t="s">
        <v>34</v>
      </c>
      <c r="D63" s="95">
        <v>0</v>
      </c>
      <c r="E63" s="95">
        <v>0</v>
      </c>
      <c r="F63" s="95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6" t="s">
        <v>9</v>
      </c>
      <c r="C64" s="26" t="s">
        <v>33</v>
      </c>
      <c r="D64" s="95">
        <v>0.54769380678923496</v>
      </c>
      <c r="E64" s="95">
        <v>0.35181336539087127</v>
      </c>
      <c r="F64" s="95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6" t="s">
        <v>10</v>
      </c>
      <c r="C65" s="26" t="s">
        <v>33</v>
      </c>
      <c r="D65" s="95">
        <v>0.54769380678923496</v>
      </c>
      <c r="E65" s="95">
        <v>0.35181336539087127</v>
      </c>
      <c r="F65" s="95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6" t="s">
        <v>6</v>
      </c>
      <c r="C66" s="26" t="s">
        <v>34</v>
      </c>
      <c r="D66" s="95">
        <v>0</v>
      </c>
      <c r="E66" s="95">
        <v>0</v>
      </c>
      <c r="F66" s="95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6" t="s">
        <v>7</v>
      </c>
      <c r="C67" s="26" t="s">
        <v>34</v>
      </c>
      <c r="D67" s="95">
        <v>0</v>
      </c>
      <c r="E67" s="95">
        <v>0</v>
      </c>
      <c r="F67" s="95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4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4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3" t="s">
        <v>98</v>
      </c>
      <c r="B83" s="13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3"/>
      <c r="B84" s="62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8" t="s">
        <v>86</v>
      </c>
      <c r="B104" s="18"/>
      <c r="C104" s="18"/>
      <c r="D104" s="18"/>
      <c r="E104" s="18"/>
      <c r="F104" s="19"/>
      <c r="G104" s="18"/>
      <c r="H104" s="18"/>
      <c r="I104" s="18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4" t="s">
        <v>42</v>
      </c>
      <c r="C107" s="129" t="s">
        <v>137</v>
      </c>
      <c r="D107" s="129" t="s">
        <v>230</v>
      </c>
      <c r="F107" s="62" t="s">
        <v>50</v>
      </c>
      <c r="H107" s="24" t="b">
        <v>0</v>
      </c>
      <c r="J107" s="24" t="s">
        <v>45</v>
      </c>
      <c r="K107" s="43">
        <v>6</v>
      </c>
      <c r="L107" s="43" t="s">
        <v>37</v>
      </c>
      <c r="N107" s="43" t="s">
        <v>83</v>
      </c>
      <c r="Q107" s="23"/>
      <c r="R107" s="22">
        <v>2026</v>
      </c>
      <c r="T107" s="22" t="s">
        <v>226</v>
      </c>
      <c r="U107"/>
      <c r="V107" s="22" t="s">
        <v>19</v>
      </c>
      <c r="W107"/>
    </row>
    <row r="108" spans="1:25" x14ac:dyDescent="0.2">
      <c r="B108" s="24" t="s">
        <v>3</v>
      </c>
      <c r="C108" s="129" t="s">
        <v>138</v>
      </c>
      <c r="D108" s="129" t="s">
        <v>231</v>
      </c>
      <c r="F108" s="24" t="s">
        <v>17</v>
      </c>
      <c r="H108" s="24" t="b">
        <v>1</v>
      </c>
      <c r="J108" s="24" t="s">
        <v>36</v>
      </c>
      <c r="K108" s="43">
        <v>12</v>
      </c>
      <c r="L108" s="43" t="s">
        <v>38</v>
      </c>
      <c r="Q108" s="23"/>
      <c r="R108" s="22">
        <f>R107-1</f>
        <v>2025</v>
      </c>
      <c r="T108" s="22" t="s">
        <v>225</v>
      </c>
      <c r="U108"/>
      <c r="V108" s="22" t="s">
        <v>47</v>
      </c>
      <c r="W108"/>
    </row>
    <row r="109" spans="1:25" x14ac:dyDescent="0.2">
      <c r="B109" s="24" t="s">
        <v>43</v>
      </c>
      <c r="C109" s="129" t="s">
        <v>139</v>
      </c>
      <c r="D109" s="129" t="s">
        <v>232</v>
      </c>
      <c r="F109" s="24" t="s">
        <v>2</v>
      </c>
      <c r="J109" s="20"/>
      <c r="K109" s="20"/>
      <c r="L109" s="23"/>
      <c r="Q109" s="23"/>
      <c r="R109" s="22">
        <f t="shared" ref="R109:R113" si="1">R108-1</f>
        <v>2024</v>
      </c>
      <c r="T109" s="22" t="s">
        <v>96</v>
      </c>
      <c r="U109"/>
      <c r="V109" s="22" t="s">
        <v>236</v>
      </c>
      <c r="W109"/>
      <c r="X109"/>
      <c r="Y109"/>
    </row>
    <row r="110" spans="1:25" x14ac:dyDescent="0.2">
      <c r="C110" s="126"/>
      <c r="D110" s="126"/>
      <c r="F110" s="24"/>
      <c r="J110" s="20"/>
      <c r="K110" s="20"/>
      <c r="Q110" s="23"/>
      <c r="R110" s="22">
        <f t="shared" si="1"/>
        <v>2023</v>
      </c>
      <c r="U110"/>
      <c r="V110" s="22"/>
      <c r="W110"/>
      <c r="X110"/>
      <c r="Y110"/>
    </row>
    <row r="111" spans="1:25" x14ac:dyDescent="0.2">
      <c r="C111" s="126"/>
      <c r="D111" s="126"/>
      <c r="J111" s="20"/>
      <c r="K111" s="20"/>
      <c r="R111" s="22">
        <f t="shared" si="1"/>
        <v>2022</v>
      </c>
      <c r="U111"/>
      <c r="W111"/>
      <c r="X111"/>
      <c r="Y111"/>
    </row>
    <row r="112" spans="1:25" x14ac:dyDescent="0.2">
      <c r="J112" s="20"/>
      <c r="K112" s="20"/>
      <c r="R112" s="22">
        <f t="shared" si="1"/>
        <v>2021</v>
      </c>
      <c r="U112"/>
      <c r="W112"/>
      <c r="X112"/>
      <c r="Y112"/>
    </row>
    <row r="113" spans="18:25" x14ac:dyDescent="0.2">
      <c r="R113" s="22">
        <f t="shared" si="1"/>
        <v>2020</v>
      </c>
      <c r="U113"/>
      <c r="V113" s="249"/>
      <c r="W113"/>
      <c r="X113"/>
      <c r="Y113"/>
    </row>
    <row r="114" spans="18:25" x14ac:dyDescent="0.2">
      <c r="R114" s="22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SWBD 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2025-01-29T23:51:01Z</dcterms:modified>
</cp:coreProperties>
</file>