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DF7F793-49EF-4620-B8A6-8D6390FC45BA}" xr6:coauthVersionLast="47" xr6:coauthVersionMax="47" xr10:uidLastSave="{00000000-0000-0000-0000-000000000000}"/>
  <bookViews>
    <workbookView xWindow="2895" yWindow="765" windowWidth="17250" windowHeight="145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H92" i="75"/>
  <c r="A92" i="75"/>
  <c r="J34" i="87"/>
  <c r="K34" i="87" s="1"/>
  <c r="J33" i="87"/>
  <c r="K33" i="87" s="1"/>
  <c r="J32" i="87"/>
  <c r="K32" i="87" s="1"/>
  <c r="J31" i="87"/>
  <c r="K31" i="87" s="1"/>
  <c r="J23" i="87"/>
  <c r="K23" i="87" s="1"/>
  <c r="J22" i="87"/>
  <c r="K22" i="87" s="1"/>
  <c r="J21" i="87"/>
  <c r="K21" i="87" s="1"/>
  <c r="J20" i="87"/>
  <c r="K20" i="87" s="1"/>
  <c r="J12" i="87"/>
  <c r="K12" i="87" s="1"/>
  <c r="J11" i="87"/>
  <c r="K11" i="87" s="1"/>
  <c r="J10" i="87"/>
  <c r="K10" i="87" s="1"/>
  <c r="J9" i="87"/>
  <c r="K9" i="87" s="1"/>
  <c r="H5" i="75"/>
  <c r="I5" i="75"/>
  <c r="J5" i="75" s="1"/>
  <c r="K5" i="75" s="1"/>
  <c r="L5" i="75" s="1"/>
  <c r="M5" i="75" s="1"/>
  <c r="N5" i="75" s="1"/>
  <c r="O5" i="75" s="1"/>
  <c r="P5" i="75" s="1"/>
  <c r="Q5" i="75" s="1"/>
  <c r="R5" i="75" s="1"/>
  <c r="S5" i="75" s="1"/>
  <c r="T5" i="75" s="1"/>
  <c r="U5" i="75" s="1"/>
  <c r="V5" i="75" s="1"/>
  <c r="W5" i="75" s="1"/>
  <c r="X5" i="75" s="1"/>
  <c r="Y5" i="75" s="1"/>
  <c r="Z5" i="75" s="1"/>
  <c r="AA5" i="75" s="1"/>
  <c r="AB5" i="75" s="1"/>
  <c r="AC5" i="75" s="1"/>
  <c r="AD5" i="75" s="1"/>
  <c r="AE5" i="75" s="1"/>
  <c r="AF5" i="75" s="1"/>
  <c r="AG5" i="75" s="1"/>
  <c r="H9" i="85"/>
  <c r="H9" i="75"/>
  <c r="H9" i="68"/>
  <c r="C115" i="43" l="1"/>
  <c r="C196" i="88"/>
  <c r="M16" i="82" l="1"/>
  <c r="L16" i="82"/>
  <c r="K16" i="82"/>
  <c r="J16" i="82"/>
  <c r="I16" i="82"/>
  <c r="M15" i="82"/>
  <c r="L15" i="82"/>
  <c r="K15" i="82"/>
  <c r="J15" i="82"/>
  <c r="I15" i="82"/>
  <c r="I15" i="73"/>
  <c r="J14" i="73"/>
  <c r="K14" i="73"/>
  <c r="L14" i="73"/>
  <c r="M14" i="73"/>
  <c r="I14" i="73"/>
  <c r="K36" i="87"/>
  <c r="H36" i="87"/>
  <c r="G36" i="87"/>
  <c r="K25" i="87"/>
  <c r="H25" i="87"/>
  <c r="G25" i="87"/>
  <c r="K14" i="87"/>
  <c r="F43" i="87" s="1"/>
  <c r="F54" i="87" s="1"/>
  <c r="J14" i="82" s="1"/>
  <c r="G14" i="87"/>
  <c r="H14" i="87"/>
  <c r="J14" i="81" l="1"/>
  <c r="E45" i="87"/>
  <c r="I14" i="72" s="1"/>
  <c r="I45" i="87"/>
  <c r="M14" i="72" s="1"/>
  <c r="H45" i="87"/>
  <c r="L14" i="72" s="1"/>
  <c r="G45" i="87"/>
  <c r="K14" i="72" s="1"/>
  <c r="F45" i="87"/>
  <c r="J14" i="72" s="1"/>
  <c r="F51" i="87"/>
  <c r="J15" i="73" s="1"/>
  <c r="G51" i="87"/>
  <c r="K15" i="73" s="1"/>
  <c r="H51" i="87"/>
  <c r="L15" i="73" s="1"/>
  <c r="I51" i="87"/>
  <c r="M15" i="73" s="1"/>
  <c r="E43" i="87"/>
  <c r="I43" i="87"/>
  <c r="H43" i="87"/>
  <c r="G43" i="87"/>
  <c r="G54" i="87" l="1"/>
  <c r="K14" i="82" s="1"/>
  <c r="K14" i="81"/>
  <c r="H54" i="87"/>
  <c r="L14" i="82" s="1"/>
  <c r="L14" i="81"/>
  <c r="I54" i="87"/>
  <c r="M14" i="82" s="1"/>
  <c r="M14" i="81"/>
  <c r="E54" i="87"/>
  <c r="I14" i="82" s="1"/>
  <c r="I14" i="81"/>
  <c r="C190" i="88" l="1"/>
  <c r="C171" i="88"/>
  <c r="D212" i="88"/>
  <c r="D211" i="88"/>
  <c r="D210" i="88"/>
  <c r="D209" i="88"/>
  <c r="D206" i="88"/>
  <c r="D205" i="88"/>
  <c r="D204" i="88"/>
  <c r="D203" i="88"/>
  <c r="F171" i="88" a="1"/>
  <c r="A163" i="88"/>
  <c r="F180" i="88" l="1"/>
  <c r="F179" i="88"/>
  <c r="F178" i="88"/>
  <c r="C209" i="88"/>
  <c r="C172" i="88"/>
  <c r="C191" i="88"/>
  <c r="C197" i="88" s="1"/>
  <c r="H172" i="88"/>
  <c r="F171" i="88"/>
  <c r="R178" i="88" l="1"/>
  <c r="S178" i="88"/>
  <c r="I178" i="88"/>
  <c r="T178" i="88"/>
  <c r="U178" i="88"/>
  <c r="V178" i="88"/>
  <c r="W178" i="88"/>
  <c r="H178" i="88"/>
  <c r="X178" i="88"/>
  <c r="Y178" i="88"/>
  <c r="Z178" i="88"/>
  <c r="AA178" i="88"/>
  <c r="AB178" i="88"/>
  <c r="AD178" i="88"/>
  <c r="K178" i="88"/>
  <c r="M178" i="88"/>
  <c r="P178" i="88"/>
  <c r="Q178" i="88"/>
  <c r="N178" i="88"/>
  <c r="AC178" i="88"/>
  <c r="J178" i="88"/>
  <c r="AE178" i="88"/>
  <c r="L178" i="88"/>
  <c r="AF178" i="88"/>
  <c r="O178" i="88"/>
  <c r="O179" i="88"/>
  <c r="P179" i="88"/>
  <c r="Q179" i="88"/>
  <c r="I179" i="88"/>
  <c r="S179" i="88"/>
  <c r="T179" i="88"/>
  <c r="U179" i="88"/>
  <c r="H179" i="88"/>
  <c r="V179" i="88"/>
  <c r="X179" i="88"/>
  <c r="Z179" i="88"/>
  <c r="AB179" i="88"/>
  <c r="AC179" i="88"/>
  <c r="AD179" i="88"/>
  <c r="AE179" i="88"/>
  <c r="L179" i="88"/>
  <c r="M179" i="88"/>
  <c r="N179" i="88"/>
  <c r="R179" i="88"/>
  <c r="W179" i="88"/>
  <c r="Y179" i="88"/>
  <c r="AA179" i="88"/>
  <c r="J179" i="88"/>
  <c r="K179" i="88"/>
  <c r="AF179" i="88"/>
  <c r="L180" i="88"/>
  <c r="AF180" i="88"/>
  <c r="M180" i="88"/>
  <c r="N180" i="88"/>
  <c r="O180" i="88"/>
  <c r="I180" i="88"/>
  <c r="P180" i="88"/>
  <c r="Q180" i="88"/>
  <c r="R180" i="88"/>
  <c r="S180" i="88"/>
  <c r="H180" i="88"/>
  <c r="T180" i="88"/>
  <c r="V180" i="88"/>
  <c r="X180" i="88"/>
  <c r="AC180" i="88"/>
  <c r="AD180" i="88"/>
  <c r="AE180" i="88"/>
  <c r="Z180" i="88"/>
  <c r="U180" i="88"/>
  <c r="W180" i="88"/>
  <c r="Y180" i="88"/>
  <c r="AA180" i="88"/>
  <c r="AB180" i="88"/>
  <c r="J180" i="88"/>
  <c r="K180" i="88"/>
  <c r="S171" i="88"/>
  <c r="F177" i="88"/>
  <c r="AF171" i="88"/>
  <c r="I172" i="88"/>
  <c r="C210" i="88"/>
  <c r="AF172" i="88"/>
  <c r="I171" i="88"/>
  <c r="AB171" i="88"/>
  <c r="AA171" i="88"/>
  <c r="Z171" i="88"/>
  <c r="X171" i="88"/>
  <c r="W171" i="88"/>
  <c r="R171" i="88"/>
  <c r="Y171" i="88"/>
  <c r="V171" i="88"/>
  <c r="Q171" i="88"/>
  <c r="F191" i="88"/>
  <c r="F192" i="88"/>
  <c r="AC171" i="88"/>
  <c r="P171" i="88"/>
  <c r="O171" i="88"/>
  <c r="F193" i="88"/>
  <c r="N171" i="88"/>
  <c r="M171" i="88"/>
  <c r="L171" i="88"/>
  <c r="AE171" i="88"/>
  <c r="K171" i="88"/>
  <c r="AD171" i="88"/>
  <c r="U171" i="88"/>
  <c r="J171" i="88"/>
  <c r="T171" i="88"/>
  <c r="C173" i="88"/>
  <c r="AA172" i="88"/>
  <c r="AB172" i="88"/>
  <c r="AC172" i="88"/>
  <c r="J172" i="88"/>
  <c r="AD172" i="88"/>
  <c r="K172" i="88"/>
  <c r="AE172" i="88"/>
  <c r="L172" i="88"/>
  <c r="M172" i="88"/>
  <c r="N172" i="88"/>
  <c r="O172" i="88"/>
  <c r="P172" i="88"/>
  <c r="Q172" i="88"/>
  <c r="R172" i="88"/>
  <c r="S172" i="88"/>
  <c r="T172" i="88"/>
  <c r="U172" i="88"/>
  <c r="V172" i="88"/>
  <c r="W172" i="88"/>
  <c r="X172" i="88"/>
  <c r="Y172" i="88"/>
  <c r="Z172" i="88"/>
  <c r="C192" i="88"/>
  <c r="C198" i="88" s="1"/>
  <c r="H171" i="88"/>
  <c r="I177" i="88" l="1"/>
  <c r="U177" i="88"/>
  <c r="V177" i="88"/>
  <c r="W177" i="88"/>
  <c r="X177" i="88"/>
  <c r="Y177" i="88"/>
  <c r="H177" i="88"/>
  <c r="Z177" i="88"/>
  <c r="AB177" i="88"/>
  <c r="AC177" i="88"/>
  <c r="J177" i="88"/>
  <c r="K177" i="88"/>
  <c r="AF177" i="88"/>
  <c r="M177" i="88"/>
  <c r="O177" i="88"/>
  <c r="Q177" i="88"/>
  <c r="R177" i="88"/>
  <c r="AA177" i="88"/>
  <c r="AD177" i="88"/>
  <c r="AE177" i="88"/>
  <c r="L177" i="88"/>
  <c r="N177" i="88"/>
  <c r="P177" i="88"/>
  <c r="S177" i="88"/>
  <c r="T177" i="88"/>
  <c r="I173" i="88"/>
  <c r="C211" i="88"/>
  <c r="AF173" i="88"/>
  <c r="F199" i="88"/>
  <c r="F197" i="88"/>
  <c r="F198" i="88"/>
  <c r="F190" i="88"/>
  <c r="Y173" i="88"/>
  <c r="Z173" i="88"/>
  <c r="AA173" i="88"/>
  <c r="AB173" i="88"/>
  <c r="AC173" i="88"/>
  <c r="J173" i="88"/>
  <c r="AD173" i="88"/>
  <c r="K173" i="88"/>
  <c r="AE173" i="88"/>
  <c r="L173" i="88"/>
  <c r="N173" i="88"/>
  <c r="O173" i="88"/>
  <c r="P173" i="88"/>
  <c r="Q173" i="88"/>
  <c r="R173" i="88"/>
  <c r="S173" i="88"/>
  <c r="T173" i="88"/>
  <c r="U173" i="88"/>
  <c r="V173" i="88"/>
  <c r="W173" i="88"/>
  <c r="X173" i="88"/>
  <c r="M173" i="88"/>
  <c r="C174" i="88"/>
  <c r="H173" i="88"/>
  <c r="C193" i="88"/>
  <c r="C199" i="88" s="1"/>
  <c r="I174" i="88" l="1"/>
  <c r="AF174" i="88"/>
  <c r="C212" i="88"/>
  <c r="F196" i="88"/>
  <c r="W174" i="88"/>
  <c r="X174" i="88"/>
  <c r="Y174" i="88"/>
  <c r="Z174" i="88"/>
  <c r="AA174" i="88"/>
  <c r="AB174" i="88"/>
  <c r="AC174" i="88"/>
  <c r="J174" i="88"/>
  <c r="AD174" i="88"/>
  <c r="T174" i="88"/>
  <c r="U174" i="88"/>
  <c r="V174" i="88"/>
  <c r="AE174" i="88"/>
  <c r="K174" i="88"/>
  <c r="L174" i="88"/>
  <c r="M174" i="88"/>
  <c r="N174" i="88"/>
  <c r="O174" i="88"/>
  <c r="P174" i="88"/>
  <c r="Q174" i="88"/>
  <c r="R174" i="88"/>
  <c r="S174" i="88"/>
  <c r="H174" i="88"/>
  <c r="E209" i="88" l="1"/>
  <c r="E210" i="88" l="1"/>
  <c r="E212" i="88" l="1"/>
  <c r="E211" i="88"/>
  <c r="D21" i="88" l="1"/>
  <c r="D22" i="88"/>
  <c r="D23" i="88"/>
  <c r="D24" i="88"/>
  <c r="D20" i="88"/>
  <c r="J27" i="82" l="1"/>
  <c r="K27" i="82"/>
  <c r="L27" i="82"/>
  <c r="M27" i="82"/>
  <c r="N27" i="82"/>
  <c r="O27" i="82"/>
  <c r="P27" i="82"/>
  <c r="Q27" i="82"/>
  <c r="R27" i="82"/>
  <c r="S27" i="82"/>
  <c r="T27" i="82"/>
  <c r="U27" i="82"/>
  <c r="V27" i="82"/>
  <c r="W27" i="82"/>
  <c r="X27" i="82"/>
  <c r="Y27" i="82"/>
  <c r="Z27" i="82"/>
  <c r="AA27" i="82"/>
  <c r="AB27" i="82"/>
  <c r="AC27" i="82"/>
  <c r="AD27" i="82"/>
  <c r="AE27" i="82"/>
  <c r="AF27" i="82"/>
  <c r="AG27" i="82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J27" i="81"/>
  <c r="K27" i="81"/>
  <c r="L27" i="81"/>
  <c r="M27" i="81"/>
  <c r="N27" i="81"/>
  <c r="O27" i="81"/>
  <c r="P27" i="81"/>
  <c r="Q27" i="81"/>
  <c r="R27" i="81"/>
  <c r="S27" i="81"/>
  <c r="T27" i="81"/>
  <c r="U27" i="81"/>
  <c r="V27" i="81"/>
  <c r="W27" i="81"/>
  <c r="X27" i="81"/>
  <c r="Y27" i="81"/>
  <c r="Z27" i="81"/>
  <c r="AA27" i="81"/>
  <c r="AB27" i="81"/>
  <c r="AC27" i="81"/>
  <c r="AD27" i="81"/>
  <c r="AE27" i="81"/>
  <c r="AF27" i="81"/>
  <c r="AG27" i="81"/>
  <c r="J27" i="72"/>
  <c r="K27" i="72"/>
  <c r="L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A27" i="72"/>
  <c r="AB27" i="72"/>
  <c r="AC27" i="72"/>
  <c r="AD27" i="72"/>
  <c r="AE27" i="72"/>
  <c r="AF27" i="72"/>
  <c r="AG27" i="72"/>
  <c r="J27" i="73"/>
  <c r="K27" i="73"/>
  <c r="L27" i="73"/>
  <c r="M27" i="73"/>
  <c r="N27" i="73"/>
  <c r="O27" i="73"/>
  <c r="P27" i="73"/>
  <c r="Q27" i="73"/>
  <c r="R27" i="73"/>
  <c r="S27" i="73"/>
  <c r="T27" i="73"/>
  <c r="U27" i="73"/>
  <c r="V27" i="73"/>
  <c r="W27" i="73"/>
  <c r="X27" i="73"/>
  <c r="Y27" i="73"/>
  <c r="Z27" i="73"/>
  <c r="AA27" i="73"/>
  <c r="AB27" i="73"/>
  <c r="AC27" i="73"/>
  <c r="AD27" i="73"/>
  <c r="AE27" i="73"/>
  <c r="AF27" i="73"/>
  <c r="AG27" i="73"/>
  <c r="C33" i="82"/>
  <c r="C32" i="82"/>
  <c r="C31" i="82"/>
  <c r="C30" i="82"/>
  <c r="C33" i="73"/>
  <c r="C32" i="73"/>
  <c r="C31" i="73"/>
  <c r="C30" i="73"/>
  <c r="C33" i="72"/>
  <c r="C32" i="72"/>
  <c r="C31" i="72"/>
  <c r="C30" i="72"/>
  <c r="C31" i="81"/>
  <c r="C32" i="81"/>
  <c r="C33" i="81"/>
  <c r="C30" i="81"/>
  <c r="I27" i="82"/>
  <c r="I27" i="73"/>
  <c r="I27" i="72"/>
  <c r="I27" i="81"/>
  <c r="I27" i="68"/>
  <c r="C137" i="88"/>
  <c r="C105" i="88"/>
  <c r="C75" i="88"/>
  <c r="C63" i="88"/>
  <c r="A58" i="88"/>
  <c r="C64" i="88" l="1"/>
  <c r="D158" i="88"/>
  <c r="D157" i="88"/>
  <c r="D156" i="88"/>
  <c r="D155" i="88"/>
  <c r="D152" i="88"/>
  <c r="D151" i="88"/>
  <c r="D150" i="88"/>
  <c r="D149" i="88"/>
  <c r="D146" i="88"/>
  <c r="D145" i="88"/>
  <c r="D144" i="88"/>
  <c r="D143" i="88"/>
  <c r="F137" i="88" a="1"/>
  <c r="F144" i="88" s="1"/>
  <c r="A129" i="88"/>
  <c r="A100" i="88"/>
  <c r="A70" i="88"/>
  <c r="D126" i="88"/>
  <c r="D125" i="88"/>
  <c r="D124" i="88"/>
  <c r="D123" i="88"/>
  <c r="D120" i="88"/>
  <c r="D119" i="88"/>
  <c r="D118" i="88"/>
  <c r="D117" i="88"/>
  <c r="D114" i="88"/>
  <c r="D113" i="88"/>
  <c r="D112" i="88"/>
  <c r="D111" i="88"/>
  <c r="F105" i="88" a="1"/>
  <c r="D94" i="88"/>
  <c r="D95" i="88"/>
  <c r="D96" i="88"/>
  <c r="D93" i="88"/>
  <c r="D87" i="88"/>
  <c r="D81" i="88"/>
  <c r="F63" i="88" a="1"/>
  <c r="F63" i="88" s="1"/>
  <c r="AF63" i="88" s="1"/>
  <c r="D82" i="88"/>
  <c r="D83" i="88"/>
  <c r="D84" i="88"/>
  <c r="F75" i="88" a="1"/>
  <c r="D88" i="88"/>
  <c r="D89" i="88"/>
  <c r="D90" i="88"/>
  <c r="D64" i="88"/>
  <c r="D65" i="88"/>
  <c r="D66" i="88"/>
  <c r="D63" i="88"/>
  <c r="E63" i="88" s="1"/>
  <c r="AG33" i="68" l="1"/>
  <c r="C65" i="88"/>
  <c r="E64" i="88"/>
  <c r="F145" i="88"/>
  <c r="F146" i="88"/>
  <c r="F137" i="88"/>
  <c r="F105" i="88"/>
  <c r="AF105" i="88" s="1"/>
  <c r="F113" i="88"/>
  <c r="F114" i="88"/>
  <c r="F112" i="88"/>
  <c r="Q66" i="88"/>
  <c r="P65" i="88"/>
  <c r="O65" i="88"/>
  <c r="AE64" i="88"/>
  <c r="AD64" i="88"/>
  <c r="N65" i="88"/>
  <c r="AA64" i="88"/>
  <c r="Z64" i="88"/>
  <c r="V64" i="88"/>
  <c r="T63" i="88"/>
  <c r="S63" i="88"/>
  <c r="S66" i="88"/>
  <c r="AC64" i="88"/>
  <c r="AB64" i="88"/>
  <c r="Y63" i="88"/>
  <c r="X63" i="88"/>
  <c r="AE66" i="88"/>
  <c r="AD66" i="88"/>
  <c r="Z66" i="88"/>
  <c r="Y66" i="88"/>
  <c r="X66" i="88"/>
  <c r="R66" i="88"/>
  <c r="P66" i="88"/>
  <c r="AE65" i="88"/>
  <c r="AD65" i="88"/>
  <c r="AC65" i="88"/>
  <c r="AB65" i="88"/>
  <c r="AD63" i="88"/>
  <c r="AC63" i="88"/>
  <c r="W65" i="88"/>
  <c r="AB63" i="88"/>
  <c r="V65" i="88"/>
  <c r="AA63" i="88"/>
  <c r="O66" i="88"/>
  <c r="U64" i="88"/>
  <c r="N66" i="88"/>
  <c r="T64" i="88"/>
  <c r="O64" i="88"/>
  <c r="N64" i="88"/>
  <c r="AE63" i="88"/>
  <c r="X65" i="88"/>
  <c r="Q65" i="88"/>
  <c r="Z63" i="88"/>
  <c r="F75" i="88"/>
  <c r="AC66" i="88"/>
  <c r="AA65" i="88"/>
  <c r="Y64" i="88"/>
  <c r="W63" i="88"/>
  <c r="AB66" i="88"/>
  <c r="Z65" i="88"/>
  <c r="X64" i="88"/>
  <c r="V63" i="88"/>
  <c r="AA66" i="88"/>
  <c r="Y65" i="88"/>
  <c r="W64" i="88"/>
  <c r="U63" i="88"/>
  <c r="W66" i="88"/>
  <c r="U65" i="88"/>
  <c r="S64" i="88"/>
  <c r="Q63" i="88"/>
  <c r="AF66" i="88"/>
  <c r="V66" i="88"/>
  <c r="T65" i="88"/>
  <c r="R64" i="88"/>
  <c r="P63" i="88"/>
  <c r="AF65" i="88"/>
  <c r="U66" i="88"/>
  <c r="S65" i="88"/>
  <c r="Q64" i="88"/>
  <c r="O63" i="88"/>
  <c r="AF64" i="88"/>
  <c r="R63" i="88"/>
  <c r="T66" i="88"/>
  <c r="R65" i="88"/>
  <c r="P64" i="88"/>
  <c r="N63" i="88"/>
  <c r="H63" i="88"/>
  <c r="J63" i="88"/>
  <c r="F84" i="88"/>
  <c r="E193" i="88" s="1"/>
  <c r="F83" i="88"/>
  <c r="E192" i="88" s="1"/>
  <c r="F82" i="88"/>
  <c r="E191" i="88" s="1"/>
  <c r="I63" i="88"/>
  <c r="H65" i="88"/>
  <c r="L64" i="88"/>
  <c r="J64" i="88"/>
  <c r="L65" i="88"/>
  <c r="M66" i="88"/>
  <c r="H66" i="88"/>
  <c r="M64" i="88"/>
  <c r="H64" i="88"/>
  <c r="K64" i="88"/>
  <c r="I64" i="88"/>
  <c r="M65" i="88"/>
  <c r="K65" i="88"/>
  <c r="J65" i="88"/>
  <c r="I65" i="88"/>
  <c r="L66" i="88"/>
  <c r="L63" i="88"/>
  <c r="I66" i="88"/>
  <c r="K63" i="88"/>
  <c r="K66" i="88"/>
  <c r="M63" i="88"/>
  <c r="J66" i="88"/>
  <c r="H191" i="88" l="1"/>
  <c r="AF191" i="88"/>
  <c r="Z191" i="88"/>
  <c r="O191" i="88"/>
  <c r="AA191" i="88"/>
  <c r="Q191" i="88"/>
  <c r="AB191" i="88"/>
  <c r="S191" i="88"/>
  <c r="AC191" i="88"/>
  <c r="W191" i="88"/>
  <c r="I191" i="88"/>
  <c r="AD191" i="88"/>
  <c r="X191" i="88"/>
  <c r="AE191" i="88"/>
  <c r="J191" i="88"/>
  <c r="R191" i="88"/>
  <c r="T191" i="88"/>
  <c r="U191" i="88"/>
  <c r="P191" i="88"/>
  <c r="K191" i="88"/>
  <c r="L191" i="88"/>
  <c r="M191" i="88"/>
  <c r="V191" i="88"/>
  <c r="Y191" i="88"/>
  <c r="N191" i="88"/>
  <c r="J192" i="88"/>
  <c r="Y192" i="88"/>
  <c r="Z192" i="88"/>
  <c r="L192" i="88"/>
  <c r="AA192" i="88"/>
  <c r="AD192" i="88"/>
  <c r="M192" i="88"/>
  <c r="H192" i="88"/>
  <c r="AC192" i="88"/>
  <c r="V192" i="88"/>
  <c r="X192" i="88"/>
  <c r="AE192" i="88"/>
  <c r="Q192" i="88"/>
  <c r="AF192" i="88"/>
  <c r="K192" i="88"/>
  <c r="I192" i="88"/>
  <c r="AB192" i="88"/>
  <c r="R192" i="88"/>
  <c r="N192" i="88"/>
  <c r="S192" i="88"/>
  <c r="O192" i="88"/>
  <c r="U192" i="88"/>
  <c r="W192" i="88"/>
  <c r="T192" i="88"/>
  <c r="P192" i="88"/>
  <c r="Y193" i="88"/>
  <c r="N193" i="88"/>
  <c r="O193" i="88"/>
  <c r="AA193" i="88"/>
  <c r="P193" i="88"/>
  <c r="AB193" i="88"/>
  <c r="AC193" i="88"/>
  <c r="S193" i="88"/>
  <c r="W193" i="88"/>
  <c r="X193" i="88"/>
  <c r="AD193" i="88"/>
  <c r="AF193" i="88"/>
  <c r="J193" i="88"/>
  <c r="K193" i="88"/>
  <c r="I193" i="88"/>
  <c r="T193" i="88"/>
  <c r="U193" i="88"/>
  <c r="Z193" i="88"/>
  <c r="Q193" i="88"/>
  <c r="AE193" i="88"/>
  <c r="R193" i="88"/>
  <c r="L193" i="88"/>
  <c r="H193" i="88"/>
  <c r="M193" i="88"/>
  <c r="V193" i="88"/>
  <c r="AF75" i="88"/>
  <c r="I75" i="88"/>
  <c r="F143" i="88"/>
  <c r="AF137" i="88"/>
  <c r="E197" i="88"/>
  <c r="E198" i="88"/>
  <c r="E199" i="88"/>
  <c r="O33" i="68"/>
  <c r="V33" i="68"/>
  <c r="Z33" i="68"/>
  <c r="Y33" i="68"/>
  <c r="AA33" i="68"/>
  <c r="N33" i="68"/>
  <c r="L33" i="68"/>
  <c r="AB33" i="68"/>
  <c r="J33" i="68"/>
  <c r="R33" i="68"/>
  <c r="W33" i="68"/>
  <c r="AC33" i="68"/>
  <c r="P33" i="68"/>
  <c r="U33" i="68"/>
  <c r="AF33" i="68"/>
  <c r="M33" i="68"/>
  <c r="S33" i="68"/>
  <c r="T33" i="68"/>
  <c r="AD33" i="68"/>
  <c r="X33" i="68"/>
  <c r="AE33" i="68"/>
  <c r="Q33" i="68"/>
  <c r="K33" i="68"/>
  <c r="I33" i="68"/>
  <c r="AE31" i="68"/>
  <c r="Y31" i="68"/>
  <c r="J31" i="68"/>
  <c r="I31" i="68"/>
  <c r="W31" i="68"/>
  <c r="AB31" i="68"/>
  <c r="S31" i="68"/>
  <c r="M31" i="68"/>
  <c r="AF31" i="68"/>
  <c r="N31" i="68"/>
  <c r="Q31" i="68"/>
  <c r="T31" i="68"/>
  <c r="V31" i="68"/>
  <c r="AA31" i="68"/>
  <c r="K31" i="68"/>
  <c r="C66" i="88"/>
  <c r="E66" i="88" s="1"/>
  <c r="E65" i="88"/>
  <c r="AC31" i="68"/>
  <c r="R31" i="68"/>
  <c r="L31" i="68"/>
  <c r="P31" i="68"/>
  <c r="AD31" i="68"/>
  <c r="X31" i="68"/>
  <c r="Z31" i="68"/>
  <c r="O31" i="68"/>
  <c r="AG31" i="68"/>
  <c r="U31" i="68"/>
  <c r="F111" i="88"/>
  <c r="F81" i="88"/>
  <c r="E190" i="88" s="1"/>
  <c r="V190" i="88" l="1"/>
  <c r="K190" i="88"/>
  <c r="W190" i="88"/>
  <c r="AE190" i="88"/>
  <c r="X190" i="88"/>
  <c r="S190" i="88"/>
  <c r="I190" i="88"/>
  <c r="T190" i="88"/>
  <c r="N190" i="88"/>
  <c r="H190" i="88"/>
  <c r="Y190" i="88"/>
  <c r="O190" i="88"/>
  <c r="R190" i="88"/>
  <c r="J190" i="88"/>
  <c r="AC190" i="88"/>
  <c r="Z190" i="88"/>
  <c r="P190" i="88"/>
  <c r="AA190" i="88"/>
  <c r="AD190" i="88"/>
  <c r="L190" i="88"/>
  <c r="M190" i="88"/>
  <c r="AF190" i="88"/>
  <c r="Q190" i="88"/>
  <c r="U190" i="88"/>
  <c r="AB190" i="88"/>
  <c r="W199" i="88"/>
  <c r="X199" i="88"/>
  <c r="Y199" i="88"/>
  <c r="Z199" i="88"/>
  <c r="M199" i="88"/>
  <c r="AB199" i="88"/>
  <c r="AC199" i="88"/>
  <c r="R199" i="88"/>
  <c r="S199" i="88"/>
  <c r="T199" i="88"/>
  <c r="J199" i="88"/>
  <c r="U199" i="88"/>
  <c r="AA199" i="88"/>
  <c r="N199" i="88"/>
  <c r="K199" i="88"/>
  <c r="O199" i="88"/>
  <c r="AD199" i="88"/>
  <c r="H199" i="88"/>
  <c r="AE199" i="88"/>
  <c r="P199" i="88"/>
  <c r="AF199" i="88"/>
  <c r="I199" i="88"/>
  <c r="Q199" i="88"/>
  <c r="V199" i="88"/>
  <c r="L199" i="88"/>
  <c r="U198" i="88"/>
  <c r="J198" i="88"/>
  <c r="V198" i="88"/>
  <c r="W198" i="88"/>
  <c r="Y198" i="88"/>
  <c r="K198" i="88"/>
  <c r="L198" i="88"/>
  <c r="AD198" i="88"/>
  <c r="AE198" i="88"/>
  <c r="AF198" i="88"/>
  <c r="R198" i="88"/>
  <c r="T198" i="88"/>
  <c r="X198" i="88"/>
  <c r="N198" i="88"/>
  <c r="Q198" i="88"/>
  <c r="I198" i="88"/>
  <c r="Z198" i="88"/>
  <c r="AA198" i="88"/>
  <c r="AB198" i="88"/>
  <c r="M198" i="88"/>
  <c r="AC198" i="88"/>
  <c r="H198" i="88"/>
  <c r="O198" i="88"/>
  <c r="P198" i="88"/>
  <c r="S198" i="88"/>
  <c r="Q197" i="88"/>
  <c r="R197" i="88"/>
  <c r="I197" i="88"/>
  <c r="T197" i="88"/>
  <c r="U197" i="88"/>
  <c r="M197" i="88"/>
  <c r="H197" i="88"/>
  <c r="O197" i="88"/>
  <c r="P197" i="88"/>
  <c r="S197" i="88"/>
  <c r="V197" i="88"/>
  <c r="AA197" i="88"/>
  <c r="AB197" i="88"/>
  <c r="N197" i="88"/>
  <c r="J197" i="88"/>
  <c r="K197" i="88"/>
  <c r="L197" i="88"/>
  <c r="W197" i="88"/>
  <c r="X197" i="88"/>
  <c r="Y197" i="88"/>
  <c r="Z197" i="88"/>
  <c r="AC197" i="88"/>
  <c r="AD197" i="88"/>
  <c r="AE197" i="88"/>
  <c r="AF197" i="88"/>
  <c r="E196" i="88"/>
  <c r="S32" i="68"/>
  <c r="M30" i="68"/>
  <c r="U32" i="68"/>
  <c r="L32" i="68"/>
  <c r="AC32" i="68"/>
  <c r="AG32" i="68"/>
  <c r="Y30" i="68"/>
  <c r="I32" i="68"/>
  <c r="Z32" i="68"/>
  <c r="W30" i="68"/>
  <c r="T30" i="68"/>
  <c r="X32" i="68"/>
  <c r="AB32" i="68"/>
  <c r="O30" i="68"/>
  <c r="N30" i="68"/>
  <c r="V30" i="68"/>
  <c r="Q32" i="68"/>
  <c r="V32" i="68"/>
  <c r="M32" i="68"/>
  <c r="X30" i="68"/>
  <c r="AE32" i="68"/>
  <c r="P32" i="68"/>
  <c r="AD32" i="68"/>
  <c r="P30" i="68"/>
  <c r="AA32" i="68"/>
  <c r="Q30" i="68"/>
  <c r="R30" i="68"/>
  <c r="U30" i="68"/>
  <c r="K30" i="68"/>
  <c r="K32" i="68"/>
  <c r="N32" i="68"/>
  <c r="J30" i="68"/>
  <c r="AG30" i="68"/>
  <c r="Y32" i="68"/>
  <c r="L30" i="68"/>
  <c r="J32" i="68"/>
  <c r="I30" i="68"/>
  <c r="O32" i="68"/>
  <c r="AE30" i="68"/>
  <c r="AF30" i="68"/>
  <c r="Z30" i="68"/>
  <c r="AA30" i="68"/>
  <c r="AF32" i="68"/>
  <c r="S30" i="68"/>
  <c r="T32" i="68"/>
  <c r="AC30" i="68"/>
  <c r="R32" i="68"/>
  <c r="AD30" i="68"/>
  <c r="AB30" i="68"/>
  <c r="W32" i="68"/>
  <c r="C76" i="88"/>
  <c r="H75" i="88"/>
  <c r="P75" i="88"/>
  <c r="AB75" i="88"/>
  <c r="T75" i="88"/>
  <c r="M75" i="88"/>
  <c r="L75" i="88"/>
  <c r="K75" i="88"/>
  <c r="AD75" i="88"/>
  <c r="J75" i="88"/>
  <c r="AC75" i="88"/>
  <c r="U75" i="88"/>
  <c r="AA75" i="88"/>
  <c r="S75" i="88"/>
  <c r="V75" i="88"/>
  <c r="AE75" i="88"/>
  <c r="Q75" i="88"/>
  <c r="O75" i="88"/>
  <c r="N75" i="88"/>
  <c r="Z75" i="88"/>
  <c r="Y75" i="88"/>
  <c r="X75" i="88"/>
  <c r="W75" i="88"/>
  <c r="R75" i="88"/>
  <c r="H196" i="88" l="1"/>
  <c r="AC196" i="88"/>
  <c r="N196" i="88"/>
  <c r="AD196" i="88"/>
  <c r="O196" i="88"/>
  <c r="AE196" i="88"/>
  <c r="P196" i="88"/>
  <c r="L196" i="88"/>
  <c r="Q196" i="88"/>
  <c r="AF196" i="88"/>
  <c r="R196" i="88"/>
  <c r="S196" i="88"/>
  <c r="U196" i="88"/>
  <c r="V196" i="88"/>
  <c r="W196" i="88"/>
  <c r="J196" i="88"/>
  <c r="Y196" i="88"/>
  <c r="AA196" i="88"/>
  <c r="K196" i="88"/>
  <c r="M196" i="88"/>
  <c r="T196" i="88"/>
  <c r="I196" i="88"/>
  <c r="X196" i="88"/>
  <c r="Z196" i="88"/>
  <c r="AB196" i="88"/>
  <c r="Q76" i="88"/>
  <c r="AF76" i="88"/>
  <c r="U76" i="88"/>
  <c r="L76" i="88"/>
  <c r="Z76" i="88"/>
  <c r="AE76" i="88"/>
  <c r="R76" i="88"/>
  <c r="Y76" i="88"/>
  <c r="H76" i="88"/>
  <c r="C77" i="88"/>
  <c r="X76" i="88"/>
  <c r="AB76" i="88"/>
  <c r="AD76" i="88"/>
  <c r="V76" i="88"/>
  <c r="P76" i="88"/>
  <c r="O76" i="88"/>
  <c r="J76" i="88"/>
  <c r="N76" i="88"/>
  <c r="AC76" i="88"/>
  <c r="W76" i="88"/>
  <c r="T76" i="88"/>
  <c r="K76" i="88"/>
  <c r="S76" i="88"/>
  <c r="M76" i="88"/>
  <c r="AA76" i="88"/>
  <c r="I76" i="88"/>
  <c r="Q137" i="88"/>
  <c r="P137" i="88"/>
  <c r="O137" i="88"/>
  <c r="N137" i="88"/>
  <c r="AE137" i="88"/>
  <c r="AD137" i="88"/>
  <c r="AA137" i="88"/>
  <c r="Y137" i="88"/>
  <c r="X137" i="88"/>
  <c r="W137" i="88"/>
  <c r="AC137" i="88"/>
  <c r="AB137" i="88"/>
  <c r="Z137" i="88"/>
  <c r="R137" i="88"/>
  <c r="M137" i="88"/>
  <c r="L137" i="88"/>
  <c r="K137" i="88"/>
  <c r="J137" i="88"/>
  <c r="I137" i="88"/>
  <c r="H137" i="88"/>
  <c r="C138" i="88"/>
  <c r="AF138" i="88" s="1"/>
  <c r="U137" i="88"/>
  <c r="S137" i="88"/>
  <c r="V137" i="88"/>
  <c r="T137" i="88"/>
  <c r="C106" i="88"/>
  <c r="AF106" i="88" s="1"/>
  <c r="H105" i="88"/>
  <c r="V105" i="88"/>
  <c r="W105" i="88"/>
  <c r="AC105" i="88"/>
  <c r="N105" i="88"/>
  <c r="P105" i="88"/>
  <c r="Y105" i="88"/>
  <c r="X105" i="88"/>
  <c r="AE105" i="88"/>
  <c r="I105" i="88"/>
  <c r="R105" i="88"/>
  <c r="AA105" i="88"/>
  <c r="T105" i="88"/>
  <c r="L105" i="88"/>
  <c r="U105" i="88"/>
  <c r="J105" i="88"/>
  <c r="Z105" i="88"/>
  <c r="Q105" i="88"/>
  <c r="AB105" i="88"/>
  <c r="S105" i="88"/>
  <c r="O105" i="88"/>
  <c r="AD105" i="88"/>
  <c r="M105" i="88"/>
  <c r="K105" i="88"/>
  <c r="Q77" i="88" l="1"/>
  <c r="AF77" i="88"/>
  <c r="K77" i="88"/>
  <c r="AB77" i="88"/>
  <c r="J77" i="88"/>
  <c r="P77" i="88"/>
  <c r="AE77" i="88"/>
  <c r="AD77" i="88"/>
  <c r="H77" i="88"/>
  <c r="O77" i="88"/>
  <c r="X77" i="88"/>
  <c r="AC77" i="88"/>
  <c r="W77" i="88"/>
  <c r="C78" i="88"/>
  <c r="AA77" i="88"/>
  <c r="V77" i="88"/>
  <c r="N77" i="88"/>
  <c r="U77" i="88"/>
  <c r="Z77" i="88"/>
  <c r="R77" i="88"/>
  <c r="M77" i="88"/>
  <c r="L77" i="88"/>
  <c r="T77" i="88"/>
  <c r="Y77" i="88"/>
  <c r="S77" i="88"/>
  <c r="I77" i="88"/>
  <c r="C139" i="88"/>
  <c r="AF139" i="88" s="1"/>
  <c r="L138" i="88"/>
  <c r="AE138" i="88"/>
  <c r="K138" i="88"/>
  <c r="AD138" i="88"/>
  <c r="J138" i="88"/>
  <c r="AC138" i="88"/>
  <c r="I138" i="88"/>
  <c r="AB138" i="88"/>
  <c r="W138" i="88"/>
  <c r="AA138" i="88"/>
  <c r="Z138" i="88"/>
  <c r="Y138" i="88"/>
  <c r="X138" i="88"/>
  <c r="V138" i="88"/>
  <c r="U138" i="88"/>
  <c r="T138" i="88"/>
  <c r="S138" i="88"/>
  <c r="R138" i="88"/>
  <c r="Q138" i="88"/>
  <c r="P138" i="88"/>
  <c r="O138" i="88"/>
  <c r="H138" i="88"/>
  <c r="N138" i="88"/>
  <c r="M138" i="88"/>
  <c r="C107" i="88"/>
  <c r="AF107" i="88" s="1"/>
  <c r="N106" i="88"/>
  <c r="Z106" i="88"/>
  <c r="AD106" i="88"/>
  <c r="R106" i="88"/>
  <c r="P106" i="88"/>
  <c r="O106" i="88"/>
  <c r="M106" i="88"/>
  <c r="AB106" i="88"/>
  <c r="AA106" i="88"/>
  <c r="Y106" i="88"/>
  <c r="T106" i="88"/>
  <c r="S106" i="88"/>
  <c r="W106" i="88"/>
  <c r="L106" i="88"/>
  <c r="V106" i="88"/>
  <c r="K106" i="88"/>
  <c r="J106" i="88"/>
  <c r="I106" i="88"/>
  <c r="H106" i="88"/>
  <c r="U106" i="88"/>
  <c r="X106" i="88"/>
  <c r="AE106" i="88"/>
  <c r="AC106" i="88"/>
  <c r="Q106" i="88"/>
  <c r="H78" i="88" l="1"/>
  <c r="AF78" i="88"/>
  <c r="Y78" i="88"/>
  <c r="T78" i="88"/>
  <c r="S78" i="88"/>
  <c r="X78" i="88"/>
  <c r="J78" i="88"/>
  <c r="C81" i="88"/>
  <c r="AF81" i="88" s="1"/>
  <c r="P78" i="88"/>
  <c r="AE78" i="88"/>
  <c r="R78" i="88"/>
  <c r="W78" i="88"/>
  <c r="AD78" i="88"/>
  <c r="Z78" i="88"/>
  <c r="AB78" i="88"/>
  <c r="M78" i="88"/>
  <c r="N78" i="88"/>
  <c r="O78" i="88"/>
  <c r="I78" i="88"/>
  <c r="AA78" i="88"/>
  <c r="V78" i="88"/>
  <c r="K78" i="88"/>
  <c r="U78" i="88"/>
  <c r="L78" i="88"/>
  <c r="AC78" i="88"/>
  <c r="Q78" i="88"/>
  <c r="AA139" i="88"/>
  <c r="Z139" i="88"/>
  <c r="Y139" i="88"/>
  <c r="X139" i="88"/>
  <c r="I139" i="88"/>
  <c r="C140" i="88"/>
  <c r="AF140" i="88" s="1"/>
  <c r="H139" i="88"/>
  <c r="AC139" i="88"/>
  <c r="AB139" i="88"/>
  <c r="V139" i="88"/>
  <c r="AE139" i="88"/>
  <c r="AD139" i="88"/>
  <c r="W139" i="88"/>
  <c r="U139" i="88"/>
  <c r="N139" i="88"/>
  <c r="M139" i="88"/>
  <c r="L139" i="88"/>
  <c r="K139" i="88"/>
  <c r="J139" i="88"/>
  <c r="T139" i="88"/>
  <c r="S139" i="88"/>
  <c r="Q139" i="88"/>
  <c r="O139" i="88"/>
  <c r="R139" i="88"/>
  <c r="P139" i="88"/>
  <c r="C108" i="88"/>
  <c r="AF108" i="88" s="1"/>
  <c r="AE107" i="88"/>
  <c r="J107" i="88"/>
  <c r="K107" i="88"/>
  <c r="L107" i="88"/>
  <c r="V107" i="88"/>
  <c r="N107" i="88"/>
  <c r="Y107" i="88"/>
  <c r="Q107" i="88"/>
  <c r="AC107" i="88"/>
  <c r="I107" i="88"/>
  <c r="AB107" i="88"/>
  <c r="R107" i="88"/>
  <c r="AD107" i="88"/>
  <c r="H107" i="88"/>
  <c r="P107" i="88"/>
  <c r="T107" i="88"/>
  <c r="U107" i="88"/>
  <c r="Z107" i="88"/>
  <c r="M107" i="88"/>
  <c r="W107" i="88"/>
  <c r="O107" i="88"/>
  <c r="AA107" i="88"/>
  <c r="X107" i="88"/>
  <c r="S107" i="88"/>
  <c r="K81" i="88" l="1"/>
  <c r="H81" i="88"/>
  <c r="O81" i="88"/>
  <c r="AB81" i="88"/>
  <c r="AC81" i="88"/>
  <c r="Q81" i="88"/>
  <c r="P81" i="88"/>
  <c r="I81" i="88"/>
  <c r="T81" i="88"/>
  <c r="L81" i="88"/>
  <c r="AD81" i="88"/>
  <c r="Z81" i="88"/>
  <c r="J81" i="88"/>
  <c r="S81" i="88"/>
  <c r="M81" i="88"/>
  <c r="R81" i="88"/>
  <c r="N81" i="88"/>
  <c r="AA81" i="88"/>
  <c r="Y81" i="88"/>
  <c r="W81" i="88"/>
  <c r="X81" i="88"/>
  <c r="V81" i="88"/>
  <c r="C82" i="88"/>
  <c r="AF82" i="88" s="1"/>
  <c r="U81" i="88"/>
  <c r="AE81" i="88"/>
  <c r="V140" i="88"/>
  <c r="U140" i="88"/>
  <c r="T140" i="88"/>
  <c r="S140" i="88"/>
  <c r="C143" i="88"/>
  <c r="H140" i="88"/>
  <c r="AE140" i="88"/>
  <c r="Z140" i="88"/>
  <c r="Y140" i="88"/>
  <c r="AD140" i="88"/>
  <c r="AC140" i="88"/>
  <c r="AB140" i="88"/>
  <c r="AA140" i="88"/>
  <c r="X140" i="88"/>
  <c r="W140" i="88"/>
  <c r="R140" i="88"/>
  <c r="Q140" i="88"/>
  <c r="P140" i="88"/>
  <c r="O140" i="88"/>
  <c r="J140" i="88"/>
  <c r="I140" i="88"/>
  <c r="N140" i="88"/>
  <c r="M140" i="88"/>
  <c r="L140" i="88"/>
  <c r="K140" i="88"/>
  <c r="C111" i="88"/>
  <c r="AF111" i="88" s="1"/>
  <c r="X108" i="88"/>
  <c r="L108" i="88"/>
  <c r="AE108" i="88"/>
  <c r="J108" i="88"/>
  <c r="AA108" i="88"/>
  <c r="AC108" i="88"/>
  <c r="O108" i="88"/>
  <c r="I108" i="88"/>
  <c r="V108" i="88"/>
  <c r="T108" i="88"/>
  <c r="Q108" i="88"/>
  <c r="R108" i="88"/>
  <c r="Z108" i="88"/>
  <c r="K108" i="88"/>
  <c r="AD108" i="88"/>
  <c r="AB108" i="88"/>
  <c r="M108" i="88"/>
  <c r="H108" i="88"/>
  <c r="Y108" i="88"/>
  <c r="N108" i="88"/>
  <c r="P108" i="88"/>
  <c r="U108" i="88"/>
  <c r="S108" i="88"/>
  <c r="W108" i="88"/>
  <c r="U143" i="88" l="1"/>
  <c r="V143" i="88"/>
  <c r="W143" i="88"/>
  <c r="X143" i="88"/>
  <c r="Y143" i="88"/>
  <c r="Z143" i="88"/>
  <c r="AA143" i="88"/>
  <c r="AB143" i="88"/>
  <c r="H143" i="88"/>
  <c r="L143" i="88"/>
  <c r="M143" i="88"/>
  <c r="M136" i="88" s="1"/>
  <c r="O143" i="88"/>
  <c r="Q143" i="88"/>
  <c r="S143" i="88"/>
  <c r="AC143" i="88"/>
  <c r="AD143" i="88"/>
  <c r="AF143" i="88"/>
  <c r="I143" i="88"/>
  <c r="J143" i="88"/>
  <c r="K143" i="88"/>
  <c r="N143" i="88"/>
  <c r="P143" i="88"/>
  <c r="R143" i="88"/>
  <c r="T143" i="88"/>
  <c r="AE143" i="88"/>
  <c r="Z82" i="88"/>
  <c r="H82" i="88"/>
  <c r="M82" i="88"/>
  <c r="AD82" i="88"/>
  <c r="N82" i="88"/>
  <c r="U82" i="88"/>
  <c r="W82" i="88"/>
  <c r="K82" i="88"/>
  <c r="X82" i="88"/>
  <c r="V82" i="88"/>
  <c r="AC82" i="88"/>
  <c r="Y82" i="88"/>
  <c r="R82" i="88"/>
  <c r="Q82" i="88"/>
  <c r="T82" i="88"/>
  <c r="S82" i="88"/>
  <c r="I82" i="88"/>
  <c r="O82" i="88"/>
  <c r="P82" i="88"/>
  <c r="AA82" i="88"/>
  <c r="J82" i="88"/>
  <c r="C83" i="88"/>
  <c r="L82" i="88"/>
  <c r="AE82" i="88"/>
  <c r="AB82" i="88"/>
  <c r="C144" i="88"/>
  <c r="C112" i="88"/>
  <c r="AF112" i="88" s="1"/>
  <c r="I111" i="88"/>
  <c r="J111" i="88"/>
  <c r="M111" i="88"/>
  <c r="T111" i="88"/>
  <c r="AE111" i="88"/>
  <c r="L111" i="88"/>
  <c r="U111" i="88"/>
  <c r="S111" i="88"/>
  <c r="Z111" i="88"/>
  <c r="X111" i="88"/>
  <c r="H111" i="88"/>
  <c r="AB111" i="88"/>
  <c r="AA111" i="88"/>
  <c r="V111" i="88"/>
  <c r="O111" i="88"/>
  <c r="N111" i="88"/>
  <c r="AC111" i="88"/>
  <c r="AD111" i="88"/>
  <c r="W111" i="88"/>
  <c r="K111" i="88"/>
  <c r="P111" i="88"/>
  <c r="Q111" i="88"/>
  <c r="R111" i="88"/>
  <c r="Y111" i="88"/>
  <c r="Q144" i="88" l="1"/>
  <c r="R144" i="88"/>
  <c r="S144" i="88"/>
  <c r="T144" i="88"/>
  <c r="U144" i="88"/>
  <c r="H144" i="88"/>
  <c r="V144" i="88"/>
  <c r="W144" i="88"/>
  <c r="X144" i="88"/>
  <c r="J144" i="88"/>
  <c r="K144" i="88"/>
  <c r="L144" i="88"/>
  <c r="P144" i="88"/>
  <c r="Y144" i="88"/>
  <c r="AA144" i="88"/>
  <c r="AC144" i="88"/>
  <c r="AE144" i="88"/>
  <c r="I144" i="88"/>
  <c r="M144" i="88"/>
  <c r="N144" i="88"/>
  <c r="O144" i="88"/>
  <c r="Z144" i="88"/>
  <c r="AB144" i="88"/>
  <c r="AD144" i="88"/>
  <c r="AF144" i="88"/>
  <c r="AD83" i="88"/>
  <c r="AF83" i="88"/>
  <c r="N83" i="88"/>
  <c r="L83" i="88"/>
  <c r="T83" i="88"/>
  <c r="S83" i="88"/>
  <c r="R83" i="88"/>
  <c r="Q83" i="88"/>
  <c r="O83" i="88"/>
  <c r="AB83" i="88"/>
  <c r="AC83" i="88"/>
  <c r="X83" i="88"/>
  <c r="H83" i="88"/>
  <c r="M83" i="88"/>
  <c r="AA83" i="88"/>
  <c r="W83" i="88"/>
  <c r="V83" i="88"/>
  <c r="P83" i="88"/>
  <c r="J83" i="88"/>
  <c r="Y83" i="88"/>
  <c r="U83" i="88"/>
  <c r="I83" i="88"/>
  <c r="AE83" i="88"/>
  <c r="C84" i="88"/>
  <c r="AF84" i="88" s="1"/>
  <c r="K83" i="88"/>
  <c r="Z83" i="88"/>
  <c r="C145" i="88"/>
  <c r="C113" i="88"/>
  <c r="AF113" i="88" s="1"/>
  <c r="AA112" i="88"/>
  <c r="Y112" i="88"/>
  <c r="P112" i="88"/>
  <c r="AC112" i="88"/>
  <c r="W112" i="88"/>
  <c r="V112" i="88"/>
  <c r="M112" i="88"/>
  <c r="I112" i="88"/>
  <c r="AE112" i="88"/>
  <c r="T112" i="88"/>
  <c r="S112" i="88"/>
  <c r="N112" i="88"/>
  <c r="O112" i="88"/>
  <c r="X112" i="88"/>
  <c r="Q112" i="88"/>
  <c r="AB112" i="88"/>
  <c r="U112" i="88"/>
  <c r="H112" i="88"/>
  <c r="K112" i="88"/>
  <c r="J112" i="88"/>
  <c r="Z112" i="88"/>
  <c r="L112" i="88"/>
  <c r="AD112" i="88"/>
  <c r="R112" i="88"/>
  <c r="M145" i="88" l="1"/>
  <c r="N145" i="88"/>
  <c r="O145" i="88"/>
  <c r="P145" i="88"/>
  <c r="Q145" i="88"/>
  <c r="R145" i="88"/>
  <c r="H145" i="88"/>
  <c r="S145" i="88"/>
  <c r="T145" i="88"/>
  <c r="V145" i="88"/>
  <c r="W145" i="88"/>
  <c r="X145" i="88"/>
  <c r="Y145" i="88"/>
  <c r="AA145" i="88"/>
  <c r="AB145" i="88"/>
  <c r="AC145" i="88"/>
  <c r="AE145" i="88"/>
  <c r="I145" i="88"/>
  <c r="J145" i="88"/>
  <c r="K145" i="88"/>
  <c r="Z145" i="88"/>
  <c r="AD145" i="88"/>
  <c r="AF145" i="88"/>
  <c r="L145" i="88"/>
  <c r="U145" i="88"/>
  <c r="Q84" i="88"/>
  <c r="H84" i="88"/>
  <c r="W84" i="88"/>
  <c r="AD84" i="88"/>
  <c r="C87" i="88"/>
  <c r="Y84" i="88"/>
  <c r="V84" i="88"/>
  <c r="M84" i="88"/>
  <c r="AC84" i="88"/>
  <c r="U84" i="88"/>
  <c r="AA84" i="88"/>
  <c r="L84" i="88"/>
  <c r="X84" i="88"/>
  <c r="N84" i="88"/>
  <c r="K84" i="88"/>
  <c r="AE84" i="88"/>
  <c r="J84" i="88"/>
  <c r="T84" i="88"/>
  <c r="P84" i="88"/>
  <c r="Z84" i="88"/>
  <c r="AB84" i="88"/>
  <c r="S84" i="88"/>
  <c r="O84" i="88"/>
  <c r="R84" i="88"/>
  <c r="I84" i="88"/>
  <c r="C146" i="88"/>
  <c r="C114" i="88"/>
  <c r="AF114" i="88" s="1"/>
  <c r="H113" i="88"/>
  <c r="N113" i="88"/>
  <c r="P113" i="88"/>
  <c r="U113" i="88"/>
  <c r="L113" i="88"/>
  <c r="AA113" i="88"/>
  <c r="AB113" i="88"/>
  <c r="T113" i="88"/>
  <c r="S113" i="88"/>
  <c r="AE113" i="88"/>
  <c r="K113" i="88"/>
  <c r="Z113" i="88"/>
  <c r="W113" i="88"/>
  <c r="R113" i="88"/>
  <c r="Q113" i="88"/>
  <c r="I113" i="88"/>
  <c r="O113" i="88"/>
  <c r="M113" i="88"/>
  <c r="J113" i="88"/>
  <c r="AD113" i="88"/>
  <c r="Y113" i="88"/>
  <c r="X113" i="88"/>
  <c r="V113" i="88"/>
  <c r="AC113" i="88"/>
  <c r="I146" i="88" l="1"/>
  <c r="AC146" i="88"/>
  <c r="J146" i="88"/>
  <c r="AD146" i="88"/>
  <c r="K146" i="88"/>
  <c r="AE146" i="88"/>
  <c r="L146" i="88"/>
  <c r="AF146" i="88"/>
  <c r="M146" i="88"/>
  <c r="N146" i="88"/>
  <c r="O146" i="88"/>
  <c r="H146" i="88"/>
  <c r="P146" i="88"/>
  <c r="Z146" i="88"/>
  <c r="AA146" i="88"/>
  <c r="Q146" i="88"/>
  <c r="S146" i="88"/>
  <c r="U146" i="88"/>
  <c r="V146" i="88"/>
  <c r="X146" i="88"/>
  <c r="Y146" i="88"/>
  <c r="AB146" i="88"/>
  <c r="R146" i="88"/>
  <c r="T146" i="88"/>
  <c r="W146" i="88"/>
  <c r="C88" i="88"/>
  <c r="AF88" i="88" s="1"/>
  <c r="AF184" i="88" s="1"/>
  <c r="AF87" i="88"/>
  <c r="N88" i="88"/>
  <c r="N184" i="88" s="1"/>
  <c r="Q88" i="88"/>
  <c r="Q184" i="88" s="1"/>
  <c r="Z88" i="88"/>
  <c r="Z184" i="88" s="1"/>
  <c r="AA88" i="88"/>
  <c r="AA184" i="88" s="1"/>
  <c r="H88" i="88"/>
  <c r="H184" i="88" s="1"/>
  <c r="L87" i="88"/>
  <c r="L183" i="88" s="1"/>
  <c r="M87" i="88"/>
  <c r="M183" i="88" s="1"/>
  <c r="N87" i="88"/>
  <c r="N183" i="88" s="1"/>
  <c r="O87" i="88"/>
  <c r="O183" i="88" s="1"/>
  <c r="P87" i="88"/>
  <c r="P183" i="88" s="1"/>
  <c r="Q87" i="88"/>
  <c r="Q183" i="88" s="1"/>
  <c r="R87" i="88"/>
  <c r="R183" i="88" s="1"/>
  <c r="S87" i="88"/>
  <c r="S183" i="88" s="1"/>
  <c r="T87" i="88"/>
  <c r="T183" i="88" s="1"/>
  <c r="U87" i="88"/>
  <c r="U183" i="88" s="1"/>
  <c r="V87" i="88"/>
  <c r="V183" i="88" s="1"/>
  <c r="W87" i="88"/>
  <c r="W183" i="88" s="1"/>
  <c r="X87" i="88"/>
  <c r="X183" i="88" s="1"/>
  <c r="Y87" i="88"/>
  <c r="Y183" i="88" s="1"/>
  <c r="Z87" i="88"/>
  <c r="Z183" i="88" s="1"/>
  <c r="AA87" i="88"/>
  <c r="AA183" i="88" s="1"/>
  <c r="AB87" i="88"/>
  <c r="AB183" i="88" s="1"/>
  <c r="AC87" i="88"/>
  <c r="AC183" i="88" s="1"/>
  <c r="H87" i="88"/>
  <c r="H183" i="88" s="1"/>
  <c r="AD87" i="88"/>
  <c r="AD183" i="88" s="1"/>
  <c r="AE87" i="88"/>
  <c r="AE183" i="88" s="1"/>
  <c r="J87" i="88"/>
  <c r="J183" i="88" s="1"/>
  <c r="K87" i="88"/>
  <c r="K183" i="88" s="1"/>
  <c r="I87" i="88"/>
  <c r="I183" i="88" s="1"/>
  <c r="C149" i="88"/>
  <c r="AF149" i="88" s="1"/>
  <c r="C117" i="88"/>
  <c r="AF117" i="88" s="1"/>
  <c r="N114" i="88"/>
  <c r="I114" i="88"/>
  <c r="R114" i="88"/>
  <c r="V114" i="88"/>
  <c r="J114" i="88"/>
  <c r="S114" i="88"/>
  <c r="T114" i="88"/>
  <c r="Q114" i="88"/>
  <c r="W114" i="88"/>
  <c r="U114" i="88"/>
  <c r="M114" i="88"/>
  <c r="O114" i="88"/>
  <c r="H114" i="88"/>
  <c r="L114" i="88"/>
  <c r="AB114" i="88"/>
  <c r="Z114" i="88"/>
  <c r="AE114" i="88"/>
  <c r="Y114" i="88"/>
  <c r="K114" i="88"/>
  <c r="AC114" i="88"/>
  <c r="AD114" i="88"/>
  <c r="P114" i="88"/>
  <c r="X114" i="88"/>
  <c r="AA114" i="88"/>
  <c r="Z204" i="88" l="1"/>
  <c r="Q204" i="88"/>
  <c r="P88" i="88"/>
  <c r="P184" i="88" s="1"/>
  <c r="O88" i="88"/>
  <c r="O184" i="88" s="1"/>
  <c r="K203" i="88"/>
  <c r="AA204" i="88"/>
  <c r="AF204" i="88"/>
  <c r="H204" i="88"/>
  <c r="N204" i="88"/>
  <c r="X203" i="88"/>
  <c r="V203" i="88"/>
  <c r="AC203" i="88"/>
  <c r="AF183" i="88"/>
  <c r="AF203" i="88" s="1"/>
  <c r="S203" i="88"/>
  <c r="R203" i="88"/>
  <c r="M88" i="88"/>
  <c r="M184" i="88" s="1"/>
  <c r="AD88" i="88"/>
  <c r="AD184" i="88" s="1"/>
  <c r="L88" i="88"/>
  <c r="L184" i="88" s="1"/>
  <c r="AE88" i="88"/>
  <c r="AE184" i="88" s="1"/>
  <c r="K88" i="88"/>
  <c r="K184" i="88" s="1"/>
  <c r="J88" i="88"/>
  <c r="J184" i="88" s="1"/>
  <c r="C89" i="88"/>
  <c r="AF89" i="88" s="1"/>
  <c r="AF185" i="88" s="1"/>
  <c r="W203" i="88"/>
  <c r="U203" i="88"/>
  <c r="Q203" i="88"/>
  <c r="P203" i="88"/>
  <c r="I203" i="88"/>
  <c r="O203" i="88"/>
  <c r="N203" i="88"/>
  <c r="AB203" i="88"/>
  <c r="AA203" i="88"/>
  <c r="Z203" i="88"/>
  <c r="Y203" i="88"/>
  <c r="T203" i="88"/>
  <c r="J203" i="88"/>
  <c r="M203" i="88"/>
  <c r="AE203" i="88"/>
  <c r="L203" i="88"/>
  <c r="AD203" i="88"/>
  <c r="Y88" i="88"/>
  <c r="Y184" i="88" s="1"/>
  <c r="H203" i="88"/>
  <c r="X88" i="88"/>
  <c r="X184" i="88" s="1"/>
  <c r="W88" i="88"/>
  <c r="W184" i="88" s="1"/>
  <c r="V88" i="88"/>
  <c r="V184" i="88" s="1"/>
  <c r="U88" i="88"/>
  <c r="U184" i="88" s="1"/>
  <c r="S88" i="88"/>
  <c r="S184" i="88" s="1"/>
  <c r="I88" i="88"/>
  <c r="I184" i="88" s="1"/>
  <c r="T88" i="88"/>
  <c r="T184" i="88" s="1"/>
  <c r="R88" i="88"/>
  <c r="R184" i="88" s="1"/>
  <c r="AC88" i="88"/>
  <c r="AC184" i="88" s="1"/>
  <c r="AB88" i="88"/>
  <c r="AB184" i="88" s="1"/>
  <c r="M149" i="88"/>
  <c r="P149" i="88"/>
  <c r="R149" i="88"/>
  <c r="S149" i="88"/>
  <c r="K149" i="88"/>
  <c r="I149" i="88"/>
  <c r="U149" i="88"/>
  <c r="H149" i="88"/>
  <c r="X149" i="88"/>
  <c r="L149" i="88"/>
  <c r="N149" i="88"/>
  <c r="O149" i="88"/>
  <c r="Q149" i="88"/>
  <c r="T149" i="88"/>
  <c r="V149" i="88"/>
  <c r="W149" i="88"/>
  <c r="Y149" i="88"/>
  <c r="Z149" i="88"/>
  <c r="AA149" i="88"/>
  <c r="AB149" i="88"/>
  <c r="AC149" i="88"/>
  <c r="AD149" i="88"/>
  <c r="AE149" i="88"/>
  <c r="J149" i="88"/>
  <c r="Y117" i="88"/>
  <c r="X117" i="88"/>
  <c r="W117" i="88"/>
  <c r="V117" i="88"/>
  <c r="U117" i="88"/>
  <c r="T117" i="88"/>
  <c r="S117" i="88"/>
  <c r="R117" i="88"/>
  <c r="AE117" i="88"/>
  <c r="AD117" i="88"/>
  <c r="AC117" i="88"/>
  <c r="AB117" i="88"/>
  <c r="AA117" i="88"/>
  <c r="Z117" i="88"/>
  <c r="Q117" i="88"/>
  <c r="P117" i="88"/>
  <c r="O117" i="88"/>
  <c r="N117" i="88"/>
  <c r="M117" i="88"/>
  <c r="L117" i="88"/>
  <c r="K117" i="88"/>
  <c r="J117" i="88"/>
  <c r="I117" i="88"/>
  <c r="H117" i="88"/>
  <c r="AE89" i="88"/>
  <c r="AE185" i="88" s="1"/>
  <c r="C118" i="88"/>
  <c r="AF118" i="88" s="1"/>
  <c r="C150" i="88"/>
  <c r="AF150" i="88" s="1"/>
  <c r="S89" i="88" l="1"/>
  <c r="S185" i="88" s="1"/>
  <c r="R89" i="88"/>
  <c r="R185" i="88" s="1"/>
  <c r="AE204" i="88"/>
  <c r="AF205" i="88"/>
  <c r="H89" i="88"/>
  <c r="H185" i="88" s="1"/>
  <c r="O89" i="88"/>
  <c r="O185" i="88" s="1"/>
  <c r="AC89" i="88"/>
  <c r="AC185" i="88" s="1"/>
  <c r="K204" i="88"/>
  <c r="L204" i="88"/>
  <c r="I89" i="88"/>
  <c r="I185" i="88" s="1"/>
  <c r="AB204" i="88"/>
  <c r="P89" i="88"/>
  <c r="P185" i="88" s="1"/>
  <c r="AE205" i="88"/>
  <c r="AD204" i="88"/>
  <c r="O204" i="88"/>
  <c r="Q89" i="88"/>
  <c r="Q185" i="88" s="1"/>
  <c r="U204" i="88"/>
  <c r="W204" i="88"/>
  <c r="P204" i="88"/>
  <c r="J204" i="88"/>
  <c r="C90" i="88"/>
  <c r="AF90" i="88" s="1"/>
  <c r="AF186" i="88" s="1"/>
  <c r="M204" i="88"/>
  <c r="N89" i="88"/>
  <c r="N185" i="88" s="1"/>
  <c r="M89" i="88"/>
  <c r="M185" i="88" s="1"/>
  <c r="L89" i="88"/>
  <c r="L185" i="88" s="1"/>
  <c r="K89" i="88"/>
  <c r="K185" i="88" s="1"/>
  <c r="AA89" i="88"/>
  <c r="AA185" i="88" s="1"/>
  <c r="AD89" i="88"/>
  <c r="AD185" i="88" s="1"/>
  <c r="Z89" i="88"/>
  <c r="Z185" i="88" s="1"/>
  <c r="J89" i="88"/>
  <c r="Y89" i="88"/>
  <c r="Y185" i="88" s="1"/>
  <c r="AB89" i="88"/>
  <c r="X89" i="88"/>
  <c r="X185" i="88" s="1"/>
  <c r="W89" i="88"/>
  <c r="W185" i="88" s="1"/>
  <c r="V89" i="88"/>
  <c r="V185" i="88" s="1"/>
  <c r="U89" i="88"/>
  <c r="U185" i="88" s="1"/>
  <c r="T89" i="88"/>
  <c r="T185" i="88" s="1"/>
  <c r="X204" i="88"/>
  <c r="Y204" i="88"/>
  <c r="AC204" i="88"/>
  <c r="R204" i="88"/>
  <c r="S204" i="88"/>
  <c r="T204" i="88"/>
  <c r="I204" i="88"/>
  <c r="V204" i="88"/>
  <c r="N150" i="88"/>
  <c r="R150" i="88"/>
  <c r="S150" i="88"/>
  <c r="I150" i="88"/>
  <c r="T150" i="88"/>
  <c r="V150" i="88"/>
  <c r="X150" i="88"/>
  <c r="Z150" i="88"/>
  <c r="AA150" i="88"/>
  <c r="O150" i="88"/>
  <c r="P150" i="88"/>
  <c r="Q150" i="88"/>
  <c r="K150" i="88"/>
  <c r="J150" i="88"/>
  <c r="U150" i="88"/>
  <c r="W150" i="88"/>
  <c r="L150" i="88"/>
  <c r="Y150" i="88"/>
  <c r="M150" i="88"/>
  <c r="AB150" i="88"/>
  <c r="AC150" i="88"/>
  <c r="AD150" i="88"/>
  <c r="AE150" i="88"/>
  <c r="H150" i="88"/>
  <c r="AC90" i="88"/>
  <c r="J90" i="88"/>
  <c r="AD90" i="88"/>
  <c r="K90" i="88"/>
  <c r="Q90" i="88"/>
  <c r="I90" i="88"/>
  <c r="U118" i="88"/>
  <c r="T118" i="88"/>
  <c r="S118" i="88"/>
  <c r="R118" i="88"/>
  <c r="Q118" i="88"/>
  <c r="P118" i="88"/>
  <c r="O118" i="88"/>
  <c r="N118" i="88"/>
  <c r="M118" i="88"/>
  <c r="I118" i="88"/>
  <c r="H118" i="88"/>
  <c r="AE118" i="88"/>
  <c r="AD118" i="88"/>
  <c r="AC118" i="88"/>
  <c r="AB118" i="88"/>
  <c r="AA118" i="88"/>
  <c r="Z118" i="88"/>
  <c r="Y118" i="88"/>
  <c r="X118" i="88"/>
  <c r="W118" i="88"/>
  <c r="V118" i="88"/>
  <c r="L118" i="88"/>
  <c r="K118" i="88"/>
  <c r="J118" i="88"/>
  <c r="C119" i="88"/>
  <c r="AF119" i="88" s="1"/>
  <c r="C151" i="88"/>
  <c r="AF151" i="88" s="1"/>
  <c r="AC186" i="88" l="1"/>
  <c r="AC206" i="88" s="1"/>
  <c r="H205" i="88"/>
  <c r="W90" i="88"/>
  <c r="X205" i="88"/>
  <c r="V90" i="88"/>
  <c r="AF93" i="88" a="1"/>
  <c r="AF93" i="88" s="1"/>
  <c r="AB185" i="88"/>
  <c r="AB205" i="88" s="1"/>
  <c r="Q205" i="88"/>
  <c r="J186" i="88"/>
  <c r="J206" i="88" s="1"/>
  <c r="AB90" i="88"/>
  <c r="I205" i="88"/>
  <c r="P90" i="88"/>
  <c r="O90" i="88"/>
  <c r="Y90" i="88"/>
  <c r="Y93" i="88" s="1" a="1"/>
  <c r="Y93" i="88" s="1"/>
  <c r="Y205" i="88"/>
  <c r="S90" i="88"/>
  <c r="S93" i="88" s="1" a="1"/>
  <c r="K186" i="88"/>
  <c r="K206" i="88" s="1"/>
  <c r="AF206" i="88"/>
  <c r="AF209" i="88" s="1" a="1"/>
  <c r="AF209" i="88" s="1"/>
  <c r="AA90" i="88"/>
  <c r="AA93" i="88" s="1" a="1"/>
  <c r="AA93" i="88" s="1"/>
  <c r="AB33" i="81" s="1"/>
  <c r="T205" i="88"/>
  <c r="N90" i="88"/>
  <c r="N93" i="88" s="1" a="1"/>
  <c r="N93" i="88" s="1"/>
  <c r="AC205" i="88"/>
  <c r="AC209" i="88" s="1" a="1"/>
  <c r="AC209" i="88" s="1"/>
  <c r="Z205" i="88"/>
  <c r="AD205" i="88"/>
  <c r="H90" i="88"/>
  <c r="K205" i="88"/>
  <c r="N205" i="88"/>
  <c r="AD186" i="88"/>
  <c r="AD206" i="88" s="1"/>
  <c r="I186" i="88"/>
  <c r="I206" i="88" s="1"/>
  <c r="O205" i="88"/>
  <c r="Z90" i="88"/>
  <c r="Z93" i="88" s="1" a="1"/>
  <c r="Z93" i="88" s="1"/>
  <c r="U205" i="88"/>
  <c r="W205" i="88"/>
  <c r="U90" i="88"/>
  <c r="R90" i="88"/>
  <c r="R93" i="88" s="1" a="1"/>
  <c r="R93" i="88" s="1"/>
  <c r="C93" i="88"/>
  <c r="E93" i="88" s="1"/>
  <c r="AG33" i="81" s="1"/>
  <c r="L205" i="88"/>
  <c r="S205" i="88"/>
  <c r="Q186" i="88"/>
  <c r="Q206" i="88" s="1"/>
  <c r="Q209" i="88" s="1" a="1"/>
  <c r="Q209" i="88" s="1"/>
  <c r="V205" i="88"/>
  <c r="X90" i="88"/>
  <c r="X93" i="88" s="1" a="1"/>
  <c r="X93" i="88" s="1"/>
  <c r="T90" i="88"/>
  <c r="J185" i="88"/>
  <c r="J205" i="88" s="1"/>
  <c r="R205" i="88"/>
  <c r="M90" i="88"/>
  <c r="M93" i="88" s="1" a="1"/>
  <c r="M93" i="88" s="1"/>
  <c r="AA205" i="88"/>
  <c r="L90" i="88"/>
  <c r="L93" i="88" s="1" a="1"/>
  <c r="L93" i="88" s="1"/>
  <c r="AE90" i="88"/>
  <c r="M205" i="88"/>
  <c r="P205" i="88"/>
  <c r="AD209" i="88" a="1"/>
  <c r="AD209" i="88" s="1"/>
  <c r="AD93" i="88" a="1"/>
  <c r="AD93" i="88" s="1"/>
  <c r="AC93" i="88" a="1"/>
  <c r="AC93" i="88" s="1"/>
  <c r="AD33" i="81" s="1"/>
  <c r="P93" i="88" a="1"/>
  <c r="P93" i="88" s="1"/>
  <c r="K93" i="88" a="1"/>
  <c r="K93" i="88" s="1"/>
  <c r="Q93" i="88" a="1"/>
  <c r="Q93" i="88" s="1"/>
  <c r="W93" i="88" a="1"/>
  <c r="W93" i="88" s="1"/>
  <c r="U93" i="88" a="1"/>
  <c r="U93" i="88" s="1"/>
  <c r="O151" i="88"/>
  <c r="J151" i="88"/>
  <c r="T151" i="88"/>
  <c r="U151" i="88"/>
  <c r="Y151" i="88"/>
  <c r="AA151" i="88"/>
  <c r="P151" i="88"/>
  <c r="I151" i="88"/>
  <c r="Q151" i="88"/>
  <c r="H151" i="88"/>
  <c r="R151" i="88"/>
  <c r="S151" i="88"/>
  <c r="V151" i="88"/>
  <c r="W151" i="88"/>
  <c r="X151" i="88"/>
  <c r="L151" i="88"/>
  <c r="Z151" i="88"/>
  <c r="AC151" i="88"/>
  <c r="AD151" i="88"/>
  <c r="AE151" i="88"/>
  <c r="K151" i="88"/>
  <c r="M151" i="88"/>
  <c r="N151" i="88"/>
  <c r="AB151" i="88"/>
  <c r="J93" i="88" a="1"/>
  <c r="I93" i="88" a="1"/>
  <c r="H93" i="88" a="1"/>
  <c r="Q119" i="88"/>
  <c r="P119" i="88"/>
  <c r="O119" i="88"/>
  <c r="N119" i="88"/>
  <c r="M119" i="88"/>
  <c r="L119" i="88"/>
  <c r="AE119" i="88"/>
  <c r="K119" i="88"/>
  <c r="AD119" i="88"/>
  <c r="J119" i="88"/>
  <c r="AC119" i="88"/>
  <c r="I119" i="88"/>
  <c r="W119" i="88"/>
  <c r="V119" i="88"/>
  <c r="U119" i="88"/>
  <c r="T119" i="88"/>
  <c r="S119" i="88"/>
  <c r="R119" i="88"/>
  <c r="H119" i="88"/>
  <c r="AB119" i="88"/>
  <c r="AA119" i="88"/>
  <c r="Z119" i="88"/>
  <c r="Y119" i="88"/>
  <c r="X119" i="88"/>
  <c r="C120" i="88"/>
  <c r="AF120" i="88" s="1"/>
  <c r="AF123" i="88" s="1" a="1"/>
  <c r="AF123" i="88" s="1"/>
  <c r="C152" i="88"/>
  <c r="AF152" i="88" s="1"/>
  <c r="AF155" i="88" s="1" a="1"/>
  <c r="AF155" i="88" s="1"/>
  <c r="I209" i="88" l="1" a="1"/>
  <c r="I209" i="88" s="1"/>
  <c r="Z33" i="81"/>
  <c r="AA33" i="81"/>
  <c r="AE33" i="81"/>
  <c r="Y33" i="81"/>
  <c r="K209" i="88" a="1"/>
  <c r="K209" i="88" s="1"/>
  <c r="J209" i="88" a="1"/>
  <c r="J209" i="88" s="1"/>
  <c r="O186" i="88"/>
  <c r="O206" i="88" s="1"/>
  <c r="O209" i="88" s="1" a="1"/>
  <c r="O209" i="88" s="1"/>
  <c r="AE186" i="88"/>
  <c r="AE206" i="88" s="1"/>
  <c r="AE209" i="88" s="1" a="1"/>
  <c r="AE209" i="88" s="1"/>
  <c r="AB186" i="88"/>
  <c r="AB206" i="88" s="1"/>
  <c r="AB209" i="88" s="1" a="1"/>
  <c r="AB209" i="88" s="1"/>
  <c r="T186" i="88"/>
  <c r="T206" i="88" s="1"/>
  <c r="T209" i="88" s="1" a="1"/>
  <c r="T209" i="88" s="1"/>
  <c r="AE93" i="88" a="1"/>
  <c r="AE93" i="88" s="1"/>
  <c r="AF33" i="81" s="1"/>
  <c r="Y186" i="88"/>
  <c r="Y206" i="88" s="1"/>
  <c r="Y209" i="88" s="1" a="1"/>
  <c r="Y209" i="88" s="1"/>
  <c r="P186" i="88"/>
  <c r="P206" i="88" s="1"/>
  <c r="P209" i="88" s="1" a="1"/>
  <c r="P209" i="88" s="1"/>
  <c r="V186" i="88"/>
  <c r="V206" i="88" s="1"/>
  <c r="V209" i="88" s="1" a="1"/>
  <c r="V209" i="88" s="1"/>
  <c r="C94" i="88"/>
  <c r="C95" i="88" s="1"/>
  <c r="R186" i="88"/>
  <c r="R206" i="88" s="1"/>
  <c r="R209" i="88" s="1" a="1"/>
  <c r="R209" i="88" s="1"/>
  <c r="U186" i="88"/>
  <c r="U206" i="88" s="1"/>
  <c r="U209" i="88" s="1" a="1"/>
  <c r="U209" i="88" s="1"/>
  <c r="Z186" i="88"/>
  <c r="Z206" i="88" s="1"/>
  <c r="Z209" i="88" s="1" a="1"/>
  <c r="Z209" i="88" s="1"/>
  <c r="L186" i="88"/>
  <c r="L206" i="88" s="1"/>
  <c r="L209" i="88" s="1" a="1"/>
  <c r="L209" i="88" s="1"/>
  <c r="X186" i="88"/>
  <c r="X206" i="88" s="1"/>
  <c r="X209" i="88" s="1" a="1"/>
  <c r="X209" i="88" s="1"/>
  <c r="H186" i="88"/>
  <c r="H206" i="88" s="1"/>
  <c r="H209" i="88" s="1" a="1"/>
  <c r="H209" i="88" s="1"/>
  <c r="T93" i="88" a="1"/>
  <c r="T93" i="88" s="1"/>
  <c r="W186" i="88"/>
  <c r="W206" i="88" s="1"/>
  <c r="W209" i="88" s="1" a="1"/>
  <c r="W209" i="88" s="1"/>
  <c r="O93" i="88" a="1"/>
  <c r="M186" i="88"/>
  <c r="M206" i="88" s="1"/>
  <c r="M209" i="88" s="1" a="1"/>
  <c r="M209" i="88" s="1"/>
  <c r="N186" i="88"/>
  <c r="N206" i="88" s="1"/>
  <c r="N209" i="88" s="1" a="1"/>
  <c r="N209" i="88" s="1"/>
  <c r="V93" i="88" a="1"/>
  <c r="V93" i="88" s="1"/>
  <c r="AA186" i="88"/>
  <c r="AB93" i="88" a="1"/>
  <c r="AB93" i="88" s="1"/>
  <c r="AC33" i="81" s="1"/>
  <c r="S186" i="88"/>
  <c r="S206" i="88" s="1"/>
  <c r="S209" i="88" s="1" a="1"/>
  <c r="S209" i="88" s="1"/>
  <c r="S93" i="88"/>
  <c r="T33" i="81" s="1"/>
  <c r="R33" i="81"/>
  <c r="L33" i="81"/>
  <c r="O93" i="88"/>
  <c r="O33" i="81"/>
  <c r="Q33" i="81"/>
  <c r="M33" i="81"/>
  <c r="S33" i="81"/>
  <c r="V33" i="81"/>
  <c r="X33" i="81"/>
  <c r="I93" i="88"/>
  <c r="J93" i="88"/>
  <c r="N33" i="81"/>
  <c r="P152" i="88"/>
  <c r="P155" i="88" s="1" a="1"/>
  <c r="T152" i="88"/>
  <c r="T155" i="88" s="1" a="1"/>
  <c r="X152" i="88"/>
  <c r="X155" i="88" s="1" a="1"/>
  <c r="X155" i="88" s="1"/>
  <c r="Y152" i="88"/>
  <c r="Y155" i="88" s="1" a="1"/>
  <c r="Y155" i="88" s="1"/>
  <c r="Z152" i="88"/>
  <c r="Z155" i="88" s="1" a="1"/>
  <c r="Z155" i="88" s="1"/>
  <c r="AB152" i="88"/>
  <c r="AB155" i="88" s="1" a="1"/>
  <c r="AB155" i="88" s="1"/>
  <c r="Q152" i="88"/>
  <c r="Q155" i="88" s="1" a="1"/>
  <c r="R152" i="88"/>
  <c r="R155" i="88" s="1" a="1"/>
  <c r="S152" i="88"/>
  <c r="S155" i="88" s="1" a="1"/>
  <c r="U152" i="88"/>
  <c r="U155" i="88" s="1" a="1"/>
  <c r="V152" i="88"/>
  <c r="V155" i="88" s="1" a="1"/>
  <c r="W152" i="88"/>
  <c r="W155" i="88" s="1" a="1"/>
  <c r="AA152" i="88"/>
  <c r="AA155" i="88" s="1" a="1"/>
  <c r="AA155" i="88" s="1"/>
  <c r="M152" i="88"/>
  <c r="M155" i="88" s="1" a="1"/>
  <c r="N152" i="88"/>
  <c r="N155" i="88" s="1" a="1"/>
  <c r="O152" i="88"/>
  <c r="O155" i="88" s="1" a="1"/>
  <c r="AC152" i="88"/>
  <c r="AC155" i="88" s="1" a="1"/>
  <c r="AC155" i="88" s="1"/>
  <c r="AD152" i="88"/>
  <c r="AD155" i="88" s="1" a="1"/>
  <c r="AD155" i="88" s="1"/>
  <c r="AE152" i="88"/>
  <c r="AE155" i="88" s="1" a="1"/>
  <c r="AE155" i="88" s="1"/>
  <c r="K152" i="88"/>
  <c r="K155" i="88" s="1" a="1"/>
  <c r="J152" i="88"/>
  <c r="J155" i="88" s="1" a="1"/>
  <c r="I152" i="88"/>
  <c r="I155" i="88" s="1" a="1"/>
  <c r="H152" i="88"/>
  <c r="H155" i="88" s="1" a="1"/>
  <c r="L152" i="88"/>
  <c r="L155" i="88" s="1" a="1"/>
  <c r="W33" i="81"/>
  <c r="H93" i="88"/>
  <c r="M120" i="88"/>
  <c r="M123" i="88" s="1" a="1"/>
  <c r="L120" i="88"/>
  <c r="L123" i="88" s="1" a="1"/>
  <c r="AE120" i="88"/>
  <c r="AE123" i="88" s="1" a="1"/>
  <c r="AE123" i="88" s="1"/>
  <c r="K120" i="88"/>
  <c r="K123" i="88" s="1" a="1"/>
  <c r="AD120" i="88"/>
  <c r="AD123" i="88" s="1" a="1"/>
  <c r="AD123" i="88" s="1"/>
  <c r="J120" i="88"/>
  <c r="J123" i="88" s="1" a="1"/>
  <c r="AC120" i="88"/>
  <c r="AC123" i="88" s="1" a="1"/>
  <c r="AC123" i="88" s="1"/>
  <c r="I120" i="88"/>
  <c r="AB120" i="88"/>
  <c r="AB123" i="88" s="1" a="1"/>
  <c r="AB123" i="88" s="1"/>
  <c r="H120" i="88"/>
  <c r="H123" i="88" s="1" a="1"/>
  <c r="AA120" i="88"/>
  <c r="AA123" i="88" s="1" a="1"/>
  <c r="AA123" i="88" s="1"/>
  <c r="Z120" i="88"/>
  <c r="Z123" i="88" s="1" a="1"/>
  <c r="Z123" i="88" s="1"/>
  <c r="Y120" i="88"/>
  <c r="Y123" i="88" s="1" a="1"/>
  <c r="Y123" i="88" s="1"/>
  <c r="X120" i="88"/>
  <c r="X123" i="88" s="1" a="1"/>
  <c r="X123" i="88" s="1"/>
  <c r="W120" i="88"/>
  <c r="W123" i="88" s="1" a="1"/>
  <c r="V120" i="88"/>
  <c r="V123" i="88" s="1" a="1"/>
  <c r="U120" i="88"/>
  <c r="U123" i="88" s="1" a="1"/>
  <c r="T120" i="88"/>
  <c r="T123" i="88" s="1" a="1"/>
  <c r="S120" i="88"/>
  <c r="S123" i="88" s="1" a="1"/>
  <c r="R120" i="88"/>
  <c r="R123" i="88" s="1" a="1"/>
  <c r="Q120" i="88"/>
  <c r="Q123" i="88" s="1" a="1"/>
  <c r="P120" i="88"/>
  <c r="P123" i="88" s="1" a="1"/>
  <c r="O120" i="88"/>
  <c r="O123" i="88" s="1" a="1"/>
  <c r="N120" i="88"/>
  <c r="N123" i="88" s="1" a="1"/>
  <c r="E94" i="88"/>
  <c r="C123" i="88"/>
  <c r="C155" i="88"/>
  <c r="AA206" i="88" l="1"/>
  <c r="AA209" i="88" s="1" a="1"/>
  <c r="AA209" i="88" s="1"/>
  <c r="P33" i="81"/>
  <c r="U33" i="81"/>
  <c r="I123" i="88" a="1"/>
  <c r="I123" i="88" s="1"/>
  <c r="W123" i="88"/>
  <c r="S123" i="88"/>
  <c r="V123" i="88"/>
  <c r="R155" i="88"/>
  <c r="M155" i="88"/>
  <c r="S155" i="88"/>
  <c r="N155" i="88"/>
  <c r="N123" i="88"/>
  <c r="Q123" i="88"/>
  <c r="L155" i="88"/>
  <c r="V155" i="88"/>
  <c r="K123" i="88"/>
  <c r="K33" i="81"/>
  <c r="L123" i="88"/>
  <c r="Q155" i="88"/>
  <c r="P155" i="88"/>
  <c r="U123" i="88"/>
  <c r="J155" i="88"/>
  <c r="H155" i="88"/>
  <c r="M123" i="88"/>
  <c r="W155" i="88"/>
  <c r="O123" i="88"/>
  <c r="U155" i="88"/>
  <c r="J33" i="81"/>
  <c r="R123" i="88"/>
  <c r="H123" i="88"/>
  <c r="I155" i="88"/>
  <c r="I33" i="81"/>
  <c r="K155" i="88"/>
  <c r="T155" i="88"/>
  <c r="O155" i="88"/>
  <c r="P123" i="88"/>
  <c r="T123" i="88"/>
  <c r="J123" i="88"/>
  <c r="C96" i="88"/>
  <c r="E96" i="88" s="1"/>
  <c r="E95" i="88"/>
  <c r="C156" i="88"/>
  <c r="E155" i="88"/>
  <c r="C124" i="88"/>
  <c r="E123" i="88"/>
  <c r="O31" i="81"/>
  <c r="Y31" i="81"/>
  <c r="M31" i="81"/>
  <c r="W31" i="81"/>
  <c r="T31" i="81"/>
  <c r="AB31" i="81"/>
  <c r="P31" i="81"/>
  <c r="AD31" i="81"/>
  <c r="R31" i="81"/>
  <c r="Q31" i="81"/>
  <c r="L31" i="81"/>
  <c r="Z31" i="81"/>
  <c r="I31" i="81"/>
  <c r="U31" i="81"/>
  <c r="AF31" i="81"/>
  <c r="AE31" i="81"/>
  <c r="X31" i="81"/>
  <c r="AA31" i="81"/>
  <c r="AG31" i="81"/>
  <c r="N31" i="81"/>
  <c r="S31" i="81"/>
  <c r="AC31" i="81"/>
  <c r="J31" i="81"/>
  <c r="K31" i="81"/>
  <c r="V31" i="81"/>
  <c r="I9" i="68"/>
  <c r="I9" i="75" s="1"/>
  <c r="V30" i="81" l="1"/>
  <c r="AB32" i="81"/>
  <c r="I30" i="81"/>
  <c r="M33" i="72"/>
  <c r="T32" i="81"/>
  <c r="AA32" i="81"/>
  <c r="AD33" i="72"/>
  <c r="W32" i="81"/>
  <c r="R30" i="81"/>
  <c r="AD32" i="81"/>
  <c r="T30" i="81"/>
  <c r="AE32" i="81"/>
  <c r="K30" i="81"/>
  <c r="O30" i="81"/>
  <c r="Q30" i="81"/>
  <c r="J30" i="81"/>
  <c r="S30" i="81"/>
  <c r="AE30" i="81"/>
  <c r="O32" i="81"/>
  <c r="U30" i="81"/>
  <c r="X32" i="81"/>
  <c r="U32" i="81"/>
  <c r="X30" i="81"/>
  <c r="L30" i="81"/>
  <c r="L33" i="72"/>
  <c r="AB33" i="72"/>
  <c r="AG33" i="72"/>
  <c r="Y30" i="81"/>
  <c r="AE33" i="72"/>
  <c r="Z30" i="81"/>
  <c r="M30" i="81"/>
  <c r="AC30" i="81"/>
  <c r="AC32" i="81"/>
  <c r="L32" i="81"/>
  <c r="W33" i="72"/>
  <c r="V33" i="72"/>
  <c r="P32" i="81"/>
  <c r="S33" i="72"/>
  <c r="J32" i="81"/>
  <c r="AG32" i="81"/>
  <c r="W30" i="81"/>
  <c r="T33" i="72"/>
  <c r="Q33" i="72"/>
  <c r="AA33" i="72"/>
  <c r="C125" i="88"/>
  <c r="E124" i="88"/>
  <c r="I32" i="81"/>
  <c r="Z33" i="72"/>
  <c r="R33" i="72"/>
  <c r="C157" i="88"/>
  <c r="E156" i="88"/>
  <c r="O33" i="72"/>
  <c r="K33" i="72"/>
  <c r="Z32" i="81"/>
  <c r="Y32" i="81"/>
  <c r="A2" i="88"/>
  <c r="A1" i="88"/>
  <c r="A2" i="87"/>
  <c r="A1" i="87"/>
  <c r="AE31" i="72" l="1"/>
  <c r="K31" i="72"/>
  <c r="W31" i="72"/>
  <c r="AG31" i="72"/>
  <c r="AC31" i="72"/>
  <c r="R31" i="72"/>
  <c r="C126" i="88"/>
  <c r="E126" i="88" s="1"/>
  <c r="E125" i="88"/>
  <c r="C158" i="88"/>
  <c r="E158" i="88" s="1"/>
  <c r="E157" i="88"/>
  <c r="I31" i="72"/>
  <c r="J31" i="72"/>
  <c r="Q31" i="72"/>
  <c r="S31" i="72"/>
  <c r="U31" i="72"/>
  <c r="AB31" i="72"/>
  <c r="M31" i="72"/>
  <c r="I33" i="72"/>
  <c r="AC33" i="72"/>
  <c r="N30" i="81"/>
  <c r="AF32" i="81"/>
  <c r="K32" i="81"/>
  <c r="S32" i="81"/>
  <c r="P30" i="81"/>
  <c r="V32" i="81"/>
  <c r="AA31" i="72"/>
  <c r="AF31" i="72"/>
  <c r="Z31" i="72"/>
  <c r="Y31" i="72"/>
  <c r="N31" i="72"/>
  <c r="V31" i="72"/>
  <c r="N32" i="81"/>
  <c r="AD30" i="81"/>
  <c r="U33" i="72"/>
  <c r="Q32" i="81"/>
  <c r="N33" i="72"/>
  <c r="Y33" i="72"/>
  <c r="R32" i="81"/>
  <c r="X33" i="72"/>
  <c r="M32" i="81"/>
  <c r="AF30" i="81"/>
  <c r="AG30" i="81"/>
  <c r="O31" i="72"/>
  <c r="AF33" i="72"/>
  <c r="T31" i="72"/>
  <c r="P31" i="72"/>
  <c r="AA30" i="81"/>
  <c r="X31" i="72"/>
  <c r="P33" i="72"/>
  <c r="AB30" i="81"/>
  <c r="J33" i="72"/>
  <c r="AD31" i="72"/>
  <c r="L31" i="72"/>
  <c r="O31" i="82" l="1"/>
  <c r="Y30" i="82"/>
  <c r="Y33" i="82"/>
  <c r="AF32" i="82"/>
  <c r="O30" i="82"/>
  <c r="AA32" i="82"/>
  <c r="U31" i="82"/>
  <c r="K31" i="82"/>
  <c r="V30" i="82"/>
  <c r="AD33" i="82"/>
  <c r="AF31" i="82"/>
  <c r="AC30" i="82"/>
  <c r="AB32" i="82"/>
  <c r="AB31" i="82"/>
  <c r="Z31" i="82"/>
  <c r="R33" i="82"/>
  <c r="V32" i="82"/>
  <c r="AA33" i="82"/>
  <c r="Q31" i="82"/>
  <c r="AC33" i="82"/>
  <c r="O32" i="82"/>
  <c r="S30" i="82"/>
  <c r="S33" i="82"/>
  <c r="Z32" i="82"/>
  <c r="AE32" i="82"/>
  <c r="Q32" i="82"/>
  <c r="M30" i="82"/>
  <c r="AD32" i="82"/>
  <c r="AE33" i="82"/>
  <c r="Z30" i="82"/>
  <c r="N31" i="82"/>
  <c r="N33" i="82"/>
  <c r="W30" i="82"/>
  <c r="R32" i="82"/>
  <c r="AC32" i="82"/>
  <c r="U32" i="82"/>
  <c r="K32" i="82"/>
  <c r="M31" i="82"/>
  <c r="AG30" i="82"/>
  <c r="AB30" i="82"/>
  <c r="M32" i="82"/>
  <c r="W32" i="82"/>
  <c r="W33" i="82"/>
  <c r="K33" i="82"/>
  <c r="J33" i="82"/>
  <c r="AC31" i="82"/>
  <c r="V33" i="82"/>
  <c r="I33" i="82"/>
  <c r="T30" i="82"/>
  <c r="Q33" i="82"/>
  <c r="X30" i="82"/>
  <c r="L32" i="82"/>
  <c r="AF30" i="82"/>
  <c r="AE31" i="82"/>
  <c r="X33" i="82"/>
  <c r="AB33" i="82"/>
  <c r="U33" i="82"/>
  <c r="O33" i="82"/>
  <c r="P31" i="82"/>
  <c r="T31" i="82"/>
  <c r="AD30" i="82"/>
  <c r="AD31" i="82"/>
  <c r="T33" i="82"/>
  <c r="P30" i="82"/>
  <c r="M33" i="82"/>
  <c r="K30" i="82"/>
  <c r="S31" i="82"/>
  <c r="X31" i="82"/>
  <c r="W31" i="82"/>
  <c r="L33" i="82"/>
  <c r="AA31" i="82"/>
  <c r="I31" i="82"/>
  <c r="U30" i="82"/>
  <c r="P33" i="82"/>
  <c r="R30" i="82"/>
  <c r="L30" i="82"/>
  <c r="J30" i="82"/>
  <c r="S32" i="82"/>
  <c r="AG33" i="82"/>
  <c r="Z33" i="82"/>
  <c r="V31" i="82"/>
  <c r="R31" i="82"/>
  <c r="J31" i="82"/>
  <c r="P32" i="82"/>
  <c r="AG32" i="82"/>
  <c r="AG31" i="82"/>
  <c r="Y31" i="82"/>
  <c r="X32" i="82"/>
  <c r="Q30" i="82"/>
  <c r="AF33" i="82"/>
  <c r="N32" i="82"/>
  <c r="Y32" i="82"/>
  <c r="I30" i="82"/>
  <c r="I32" i="82"/>
  <c r="AE30" i="82"/>
  <c r="T32" i="82"/>
  <c r="AA30" i="82"/>
  <c r="J32" i="82"/>
  <c r="L31" i="82"/>
  <c r="N30" i="82"/>
  <c r="P31" i="73"/>
  <c r="AD30" i="72"/>
  <c r="AG32" i="72"/>
  <c r="AE32" i="72"/>
  <c r="Y32" i="72"/>
  <c r="R32" i="72"/>
  <c r="J32" i="72"/>
  <c r="L30" i="72"/>
  <c r="Q31" i="73"/>
  <c r="X31" i="73"/>
  <c r="X30" i="72"/>
  <c r="AA32" i="72"/>
  <c r="AF30" i="72"/>
  <c r="P32" i="73"/>
  <c r="AA31" i="73"/>
  <c r="U30" i="72"/>
  <c r="AA32" i="73"/>
  <c r="T31" i="73"/>
  <c r="S30" i="73"/>
  <c r="O32" i="72"/>
  <c r="L32" i="73"/>
  <c r="AD31" i="73"/>
  <c r="AB30" i="72"/>
  <c r="Z30" i="73"/>
  <c r="N31" i="73"/>
  <c r="N30" i="72"/>
  <c r="L30" i="73"/>
  <c r="Z31" i="73"/>
  <c r="T32" i="73"/>
  <c r="K30" i="73"/>
  <c r="AC32" i="72"/>
  <c r="S32" i="72"/>
  <c r="AF31" i="73"/>
  <c r="AF33" i="73"/>
  <c r="R31" i="73"/>
  <c r="R33" i="73"/>
  <c r="AB33" i="73"/>
  <c r="S31" i="73"/>
  <c r="J31" i="73"/>
  <c r="J33" i="73"/>
  <c r="W33" i="73"/>
  <c r="AD32" i="73"/>
  <c r="M32" i="73"/>
  <c r="N32" i="73"/>
  <c r="AE32" i="73"/>
  <c r="M30" i="73"/>
  <c r="Y30" i="73"/>
  <c r="AC32" i="73"/>
  <c r="AE30" i="73"/>
  <c r="U31" i="73"/>
  <c r="AE31" i="73"/>
  <c r="I33" i="73"/>
  <c r="AC31" i="73"/>
  <c r="X32" i="73"/>
  <c r="U33" i="73"/>
  <c r="Q33" i="73"/>
  <c r="R32" i="73"/>
  <c r="AF30" i="73"/>
  <c r="P33" i="73"/>
  <c r="J32" i="73"/>
  <c r="R30" i="73"/>
  <c r="L33" i="73"/>
  <c r="M33" i="73"/>
  <c r="J30" i="73"/>
  <c r="AA33" i="73"/>
  <c r="AE33" i="73"/>
  <c r="O33" i="73"/>
  <c r="Z33" i="73"/>
  <c r="AC33" i="73"/>
  <c r="V33" i="73"/>
  <c r="T33" i="73"/>
  <c r="M31" i="73"/>
  <c r="K33" i="73"/>
  <c r="S33" i="73"/>
  <c r="AD33" i="73"/>
  <c r="N33" i="73"/>
  <c r="K31" i="73"/>
  <c r="Y33" i="73"/>
  <c r="X33" i="73"/>
  <c r="I30" i="73"/>
  <c r="Q30" i="73"/>
  <c r="K30" i="72"/>
  <c r="AE30" i="72"/>
  <c r="Y32" i="73"/>
  <c r="R30" i="72"/>
  <c r="V32" i="72"/>
  <c r="AG32" i="73"/>
  <c r="AF32" i="73"/>
  <c r="U32" i="72"/>
  <c r="L31" i="73"/>
  <c r="V30" i="73"/>
  <c r="K32" i="73"/>
  <c r="L32" i="72"/>
  <c r="AB32" i="73"/>
  <c r="AC30" i="73"/>
  <c r="W31" i="73"/>
  <c r="X30" i="73"/>
  <c r="AG31" i="73"/>
  <c r="O30" i="72"/>
  <c r="AB31" i="73"/>
  <c r="O31" i="73"/>
  <c r="W30" i="73"/>
  <c r="W32" i="72"/>
  <c r="T30" i="72"/>
  <c r="N30" i="73"/>
  <c r="T32" i="72"/>
  <c r="Z32" i="72"/>
  <c r="Y30" i="72"/>
  <c r="Q32" i="72"/>
  <c r="O30" i="73"/>
  <c r="AB30" i="73"/>
  <c r="U32" i="73"/>
  <c r="AA30" i="72"/>
  <c r="I30" i="72"/>
  <c r="AC30" i="72"/>
  <c r="V32" i="73"/>
  <c r="W32" i="73"/>
  <c r="I32" i="73"/>
  <c r="Z30" i="72"/>
  <c r="P30" i="72"/>
  <c r="AB32" i="72"/>
  <c r="K32" i="72"/>
  <c r="P32" i="72"/>
  <c r="AG33" i="73"/>
  <c r="Q30" i="72"/>
  <c r="S30" i="72"/>
  <c r="X32" i="72"/>
  <c r="M30" i="72"/>
  <c r="M32" i="72"/>
  <c r="J30" i="72"/>
  <c r="U30" i="73"/>
  <c r="I31" i="73"/>
  <c r="P30" i="73"/>
  <c r="O32" i="73"/>
  <c r="AG30" i="72"/>
  <c r="AD32" i="72"/>
  <c r="AG30" i="73"/>
  <c r="Q32" i="73"/>
  <c r="AA30" i="73"/>
  <c r="N32" i="72"/>
  <c r="W30" i="72"/>
  <c r="Z32" i="73"/>
  <c r="T30" i="73"/>
  <c r="S32" i="73"/>
  <c r="AD30" i="73"/>
  <c r="I32" i="72"/>
  <c r="AF32" i="72"/>
  <c r="V31" i="73"/>
  <c r="V30" i="72"/>
  <c r="Y31" i="73"/>
  <c r="C25" i="62"/>
  <c r="A2" i="43"/>
  <c r="C111" i="43" l="1"/>
  <c r="C112" i="43"/>
  <c r="C113" i="43"/>
  <c r="C114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I79" i="82"/>
  <c r="I78" i="82"/>
  <c r="I77" i="82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0" i="62"/>
  <c r="C63" i="62"/>
  <c r="C62" i="62"/>
  <c r="C61" i="62"/>
  <c r="C58" i="62"/>
  <c r="C59" i="62"/>
  <c r="C57" i="62"/>
  <c r="C54" i="62"/>
  <c r="C55" i="62"/>
  <c r="C53" i="62"/>
  <c r="C51" i="62"/>
  <c r="C50" i="62"/>
  <c r="C49" i="62"/>
  <c r="C47" i="62"/>
  <c r="C46" i="62"/>
  <c r="C45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1" i="62" l="1"/>
  <c r="C4" i="82" s="1"/>
  <c r="D53" i="62"/>
  <c r="C4" i="72" s="1"/>
  <c r="D49" i="62"/>
  <c r="C4" i="81" s="1"/>
  <c r="D57" i="62"/>
  <c r="C4" i="73" s="1"/>
  <c r="D45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J79" i="82" s="1"/>
  <c r="I73" i="82" a="1"/>
  <c r="I73" i="82" s="1"/>
  <c r="J78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G90" i="73" s="1" a="1"/>
  <c r="G90" i="73" s="1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J78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D98" i="85"/>
  <c r="F98" i="85"/>
  <c r="I75" i="33" s="1"/>
  <c r="E98" i="85"/>
  <c r="D96" i="85"/>
  <c r="E97" i="85"/>
  <c r="G98" i="85"/>
  <c r="J75" i="33" s="1"/>
  <c r="G96" i="85"/>
  <c r="E96" i="85"/>
  <c r="G97" i="85"/>
  <c r="J74" i="33" s="1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K77" i="82" s="1"/>
  <c r="J74" i="82" a="1"/>
  <c r="J74" i="82" s="1"/>
  <c r="K79" i="82" s="1"/>
  <c r="J73" i="82" a="1"/>
  <c r="J73" i="82" s="1"/>
  <c r="K78" i="82" s="1"/>
  <c r="J74" i="73" a="1"/>
  <c r="J74" i="73" s="1"/>
  <c r="J73" i="73" a="1"/>
  <c r="J73" i="73" s="1"/>
  <c r="K78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L78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L78" i="82" s="1"/>
  <c r="K72" i="82" a="1"/>
  <c r="K72" i="82" s="1"/>
  <c r="K74" i="82" a="1"/>
  <c r="K74" i="82" s="1"/>
  <c r="L79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M79" i="82" s="1"/>
  <c r="L72" i="82" a="1"/>
  <c r="L72" i="82" s="1"/>
  <c r="M77" i="82" s="1"/>
  <c r="L73" i="82" a="1"/>
  <c r="L73" i="82" s="1"/>
  <c r="M78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M78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N79" i="82" s="1"/>
  <c r="M72" i="82" a="1"/>
  <c r="M72" i="82" s="1"/>
  <c r="N77" i="82" s="1"/>
  <c r="M73" i="82" a="1"/>
  <c r="M73" i="82" s="1"/>
  <c r="N78" i="82" s="1"/>
  <c r="M72" i="73" a="1"/>
  <c r="M72" i="73" s="1"/>
  <c r="N77" i="73" s="1"/>
  <c r="M73" i="73" a="1"/>
  <c r="M73" i="73" s="1"/>
  <c r="N78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O78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O78" i="82" s="1"/>
  <c r="N74" i="82" a="1"/>
  <c r="N74" i="82" s="1"/>
  <c r="O79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P78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P77" i="82" s="1"/>
  <c r="O73" i="82" a="1"/>
  <c r="O73" i="82" s="1"/>
  <c r="P78" i="82" s="1"/>
  <c r="O74" i="82" a="1"/>
  <c r="O74" i="82" s="1"/>
  <c r="P79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Q78" i="73" s="1"/>
  <c r="P72" i="73" a="1"/>
  <c r="P72" i="73" s="1"/>
  <c r="Q77" i="73" s="1"/>
  <c r="P74" i="82" a="1"/>
  <c r="P74" i="82" s="1"/>
  <c r="Q79" i="82" s="1"/>
  <c r="P73" i="82" a="1"/>
  <c r="P73" i="82" s="1"/>
  <c r="Q78" i="82" s="1"/>
  <c r="P72" i="82" a="1"/>
  <c r="P72" i="82" s="1"/>
  <c r="Q77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R78" i="73" s="1"/>
  <c r="Q73" i="82" a="1"/>
  <c r="Q73" i="82" s="1"/>
  <c r="R78" i="82" s="1"/>
  <c r="Q72" i="82" a="1"/>
  <c r="Q72" i="82" s="1"/>
  <c r="R77" i="82" s="1"/>
  <c r="Q74" i="82" a="1"/>
  <c r="Q74" i="82" s="1"/>
  <c r="R79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S78" i="82" s="1"/>
  <c r="R74" i="82" a="1"/>
  <c r="R74" i="82" s="1"/>
  <c r="S79" i="82" s="1"/>
  <c r="R72" i="73" a="1"/>
  <c r="R72" i="73" s="1"/>
  <c r="S77" i="73" s="1"/>
  <c r="R74" i="73" a="1"/>
  <c r="R74" i="73" s="1"/>
  <c r="R73" i="73" a="1"/>
  <c r="R73" i="73" s="1"/>
  <c r="S78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T79" i="82" s="1"/>
  <c r="S73" i="82" a="1"/>
  <c r="S73" i="82" s="1"/>
  <c r="T78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T78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U78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U78" i="82" s="1"/>
  <c r="T74" i="82" a="1"/>
  <c r="T74" i="82" s="1"/>
  <c r="U79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V78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V79" i="82" s="1"/>
  <c r="U73" i="82" a="1"/>
  <c r="U73" i="82" s="1"/>
  <c r="V78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W78" i="82" s="1"/>
  <c r="V74" i="82" a="1"/>
  <c r="V74" i="82" s="1"/>
  <c r="W79" i="82" s="1"/>
  <c r="V73" i="73" a="1"/>
  <c r="V73" i="73" s="1"/>
  <c r="W78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X79" i="82" s="1"/>
  <c r="W73" i="82" a="1"/>
  <c r="W73" i="82" s="1"/>
  <c r="X78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W73" i="73" a="1"/>
  <c r="W73" i="73" s="1"/>
  <c r="X78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Y79" i="82" s="1"/>
  <c r="X72" i="82" a="1"/>
  <c r="X72" i="82" s="1"/>
  <c r="Y77" i="82" s="1"/>
  <c r="X73" i="82" a="1"/>
  <c r="X73" i="82" s="1"/>
  <c r="Y78" i="82" s="1"/>
  <c r="X74" i="73" a="1"/>
  <c r="X74" i="73" s="1"/>
  <c r="X73" i="73" a="1"/>
  <c r="X73" i="73" s="1"/>
  <c r="Y78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Z78" i="82" s="1"/>
  <c r="Y74" i="82" a="1"/>
  <c r="Y74" i="82" s="1"/>
  <c r="Z79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Z78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AA78" i="82" s="1"/>
  <c r="Z74" i="82" a="1"/>
  <c r="Z74" i="82" s="1"/>
  <c r="AA79" i="82" s="1"/>
  <c r="Z74" i="73" a="1"/>
  <c r="Z74" i="73" s="1"/>
  <c r="Z72" i="73" a="1"/>
  <c r="Z72" i="73" s="1"/>
  <c r="AA77" i="73" s="1"/>
  <c r="Z73" i="73" a="1"/>
  <c r="Z73" i="73" s="1"/>
  <c r="AA78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B78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B79" i="82" s="1"/>
  <c r="AA73" i="82" a="1"/>
  <c r="AA73" i="82" s="1"/>
  <c r="AB78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D78" i="82" s="1"/>
  <c r="AC72" i="73" a="1"/>
  <c r="AC72" i="73" s="1"/>
  <c r="AC74" i="73" a="1"/>
  <c r="AC74" i="73" s="1"/>
  <c r="AC73" i="73" a="1"/>
  <c r="AC73" i="73" s="1"/>
  <c r="AD78" i="73" s="1"/>
  <c r="AC6" i="72"/>
  <c r="AB74" i="82" a="1"/>
  <c r="AB74" i="82" s="1"/>
  <c r="AC79" i="82" s="1"/>
  <c r="AB73" i="82" a="1"/>
  <c r="AB73" i="82" s="1"/>
  <c r="AC78" i="82" s="1"/>
  <c r="AB72" i="82" a="1"/>
  <c r="AB72" i="82" s="1"/>
  <c r="AC77" i="82" s="1"/>
  <c r="AC72" i="82" a="1"/>
  <c r="AC72" i="82" s="1"/>
  <c r="AC74" i="82" a="1"/>
  <c r="AC74" i="82" s="1"/>
  <c r="AD79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C78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73" l="1"/>
  <c r="AC82" i="73" s="1"/>
  <c r="AC107" i="73" s="1"/>
  <c r="AD77" i="73"/>
  <c r="AC80" i="82"/>
  <c r="AC82" i="82" s="1"/>
  <c r="AC107" i="82" s="1"/>
  <c r="AD77" i="82"/>
  <c r="AC7" i="75"/>
  <c r="AC7" i="85" s="1"/>
  <c r="AC6" i="85"/>
  <c r="AA82" i="73"/>
  <c r="AA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E78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E78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82"/>
  <c r="I9" i="81"/>
  <c r="I9" i="73"/>
  <c r="I9" i="72"/>
  <c r="J9" i="68"/>
  <c r="J9" i="85" s="1"/>
  <c r="AD80" i="73" l="1"/>
  <c r="AD82" i="73" s="1"/>
  <c r="AD107" i="73" s="1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E79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F79" i="82" s="1"/>
  <c r="AE72" i="82" a="1"/>
  <c r="AE72" i="82" s="1"/>
  <c r="AE73" i="82" a="1"/>
  <c r="AE73" i="82" s="1"/>
  <c r="AF78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F78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9" i="82"/>
  <c r="J9" i="81"/>
  <c r="J9" i="72"/>
  <c r="J9" i="73"/>
  <c r="K9" i="68"/>
  <c r="K9" i="85" s="1"/>
  <c r="AE80" i="73" l="1"/>
  <c r="AE82" i="73" s="1"/>
  <c r="AE107" i="73" s="1"/>
  <c r="AF77" i="73"/>
  <c r="AF77" i="82"/>
  <c r="AD80" i="82"/>
  <c r="AD82" i="82" s="1"/>
  <c r="AD107" i="82" s="1"/>
  <c r="AE77" i="82"/>
  <c r="AE80" i="82" s="1"/>
  <c r="AE82" i="82" s="1"/>
  <c r="AE107" i="82" s="1"/>
  <c r="AG7" i="75"/>
  <c r="AG7" i="85" s="1"/>
  <c r="AG6" i="85"/>
  <c r="J5" i="85"/>
  <c r="AC82" i="81"/>
  <c r="AC107" i="81" s="1"/>
  <c r="AD80" i="81"/>
  <c r="AF72" i="82" a="1"/>
  <c r="AF72" i="82" s="1"/>
  <c r="AF74" i="82" a="1"/>
  <c r="AF74" i="82" s="1"/>
  <c r="AG79" i="82" s="1"/>
  <c r="AF73" i="82" a="1"/>
  <c r="AF73" i="82" s="1"/>
  <c r="AG78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G78" i="73" s="1"/>
  <c r="AF72" i="73" a="1"/>
  <c r="AF72" i="73" s="1"/>
  <c r="AE80" i="81"/>
  <c r="AG6" i="73"/>
  <c r="AG6" i="81"/>
  <c r="AG6" i="72"/>
  <c r="AG6" i="82"/>
  <c r="J88" i="75"/>
  <c r="J97" i="75" s="1"/>
  <c r="K9" i="75"/>
  <c r="K9" i="82"/>
  <c r="K9" i="81"/>
  <c r="L9" i="68"/>
  <c r="L9" i="85" s="1"/>
  <c r="K9" i="72"/>
  <c r="K9" i="73"/>
  <c r="AF80" i="73" l="1"/>
  <c r="AG77" i="73"/>
  <c r="AF80" i="82"/>
  <c r="AF82" i="82" s="1"/>
  <c r="AF107" i="82" s="1"/>
  <c r="AG77" i="82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9" i="82"/>
  <c r="L9" i="81"/>
  <c r="M9" i="68"/>
  <c r="M9" i="85" s="1"/>
  <c r="L9" i="73"/>
  <c r="L9" i="72"/>
  <c r="AG80" i="82" l="1"/>
  <c r="AG82" i="82" s="1"/>
  <c r="AG107" i="82" s="1"/>
  <c r="AG80" i="73"/>
  <c r="AG82" i="73"/>
  <c r="AG107" i="73" s="1"/>
  <c r="L5" i="85"/>
  <c r="AF82" i="81"/>
  <c r="AF107" i="81" s="1"/>
  <c r="AG80" i="81"/>
  <c r="L88" i="75"/>
  <c r="L97" i="75" s="1"/>
  <c r="M9" i="75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9" i="82"/>
  <c r="N9" i="81"/>
  <c r="O9" i="68"/>
  <c r="O9" i="85" s="1"/>
  <c r="N9" i="73"/>
  <c r="N9" i="72"/>
  <c r="N5" i="85" l="1"/>
  <c r="N88" i="75"/>
  <c r="N97" i="75" s="1"/>
  <c r="O9" i="75"/>
  <c r="O9" i="82"/>
  <c r="O9" i="81"/>
  <c r="P9" i="68"/>
  <c r="P9" i="85" s="1"/>
  <c r="O9" i="73"/>
  <c r="O9" i="72"/>
  <c r="O5" i="85" l="1"/>
  <c r="O88" i="75"/>
  <c r="O97" i="75" s="1"/>
  <c r="P9" i="75"/>
  <c r="P9" i="82"/>
  <c r="P9" i="81"/>
  <c r="Q9" i="68"/>
  <c r="Q9" i="85" s="1"/>
  <c r="P9" i="73"/>
  <c r="P9" i="72"/>
  <c r="P5" i="85" l="1"/>
  <c r="P88" i="75"/>
  <c r="P97" i="75" s="1"/>
  <c r="Q9" i="75"/>
  <c r="Q9" i="82"/>
  <c r="Q9" i="81"/>
  <c r="R9" i="68"/>
  <c r="R9" i="85" s="1"/>
  <c r="Q9" i="73"/>
  <c r="Q9" i="72"/>
  <c r="Q5" i="85" l="1"/>
  <c r="Q88" i="75"/>
  <c r="Q97" i="75" s="1"/>
  <c r="R9" i="75"/>
  <c r="R9" i="82"/>
  <c r="R9" i="81"/>
  <c r="S9" i="68"/>
  <c r="S9" i="85" s="1"/>
  <c r="R9" i="72"/>
  <c r="R9" i="73"/>
  <c r="R5" i="85" l="1"/>
  <c r="R88" i="75"/>
  <c r="R97" i="75" s="1"/>
  <c r="S9" i="75"/>
  <c r="S9" i="82"/>
  <c r="S9" i="81"/>
  <c r="T9" i="68"/>
  <c r="T9" i="85" s="1"/>
  <c r="S9" i="72"/>
  <c r="S9" i="73"/>
  <c r="S5" i="85" l="1"/>
  <c r="S88" i="75"/>
  <c r="S97" i="75" s="1"/>
  <c r="T9" i="75"/>
  <c r="T9" i="82"/>
  <c r="T9" i="81"/>
  <c r="U9" i="68"/>
  <c r="U9" i="85" s="1"/>
  <c r="T9" i="73"/>
  <c r="T9" i="72"/>
  <c r="T5" i="85" l="1"/>
  <c r="T88" i="75"/>
  <c r="T97" i="75" s="1"/>
  <c r="U9" i="75"/>
  <c r="U9" i="82"/>
  <c r="U9" i="81"/>
  <c r="V9" i="68"/>
  <c r="V9" i="85" s="1"/>
  <c r="U9" i="72"/>
  <c r="U9" i="73"/>
  <c r="U5" i="85" l="1"/>
  <c r="U88" i="75"/>
  <c r="U97" i="75" s="1"/>
  <c r="V9" i="75"/>
  <c r="V9" i="82"/>
  <c r="V9" i="81"/>
  <c r="W9" i="68"/>
  <c r="W9" i="85" s="1"/>
  <c r="V9" i="73"/>
  <c r="V9" i="72"/>
  <c r="V5" i="85" l="1"/>
  <c r="V88" i="75"/>
  <c r="V97" i="75" s="1"/>
  <c r="W9" i="75"/>
  <c r="W9" i="82"/>
  <c r="W9" i="81"/>
  <c r="X9" i="68"/>
  <c r="X9" i="85" s="1"/>
  <c r="W9" i="73"/>
  <c r="W9" i="72"/>
  <c r="W5" i="85" l="1"/>
  <c r="W88" i="75"/>
  <c r="W97" i="75" s="1"/>
  <c r="X9" i="75"/>
  <c r="X9" i="82"/>
  <c r="X9" i="81"/>
  <c r="Y9" i="68"/>
  <c r="Y9" i="85" s="1"/>
  <c r="X9" i="73"/>
  <c r="X9" i="72"/>
  <c r="X5" i="85" l="1"/>
  <c r="X88" i="75"/>
  <c r="X97" i="75" s="1"/>
  <c r="Y9" i="75"/>
  <c r="Y9" i="82"/>
  <c r="Y9" i="81"/>
  <c r="Z9" i="68"/>
  <c r="Z9" i="85" s="1"/>
  <c r="Y9" i="73"/>
  <c r="Y9" i="72"/>
  <c r="Y5" i="85" l="1"/>
  <c r="Y88" i="75"/>
  <c r="Y97" i="75" s="1"/>
  <c r="Z9" i="75"/>
  <c r="Z9" i="82"/>
  <c r="Z9" i="81"/>
  <c r="AA9" i="68"/>
  <c r="AA9" i="85" s="1"/>
  <c r="Z9" i="72"/>
  <c r="Z9" i="73"/>
  <c r="Z5" i="85" l="1"/>
  <c r="Z88" i="75"/>
  <c r="Z97" i="75" s="1"/>
  <c r="AA9" i="75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85" l="1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85" l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85" l="1"/>
  <c r="AF9" i="82"/>
  <c r="AF9" i="81"/>
  <c r="AF9" i="75"/>
  <c r="AF9" i="72"/>
  <c r="AF9" i="73"/>
  <c r="AG9" i="68"/>
  <c r="AG9" i="85" s="1"/>
  <c r="AF5" i="85" l="1"/>
  <c r="AF88" i="75"/>
  <c r="AF97" i="75" s="1"/>
  <c r="AG9" i="82"/>
  <c r="AG9" i="75"/>
  <c r="AG9" i="81"/>
  <c r="AG9" i="73"/>
  <c r="AG9" i="72"/>
  <c r="AG5" i="85" l="1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E28" i="73"/>
  <c r="E28" i="81"/>
  <c r="E28" i="72"/>
  <c r="E28" i="68"/>
  <c r="E28" i="82"/>
  <c r="AG14" i="85"/>
  <c r="AE14" i="85"/>
  <c r="AD14" i="85"/>
  <c r="AF14" i="85"/>
  <c r="AB14" i="85"/>
  <c r="AC14" i="85"/>
  <c r="Y14" i="85"/>
  <c r="AA14" i="85"/>
  <c r="Q14" i="85"/>
  <c r="U14" i="85"/>
  <c r="S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R71" i="75"/>
  <c r="J43" i="75"/>
  <c r="Q61" i="75"/>
  <c r="Q60" i="75"/>
  <c r="M43" i="75"/>
  <c r="U6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W57" i="75"/>
  <c r="P61" i="75"/>
  <c r="I33" i="75"/>
  <c r="O61" i="75"/>
  <c r="N47" i="75"/>
  <c r="L47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S71" i="75"/>
  <c r="K74" i="75"/>
  <c r="R47" i="75"/>
  <c r="R60" i="75"/>
  <c r="M71" i="75"/>
  <c r="M32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P33" i="75"/>
  <c r="Q57" i="75"/>
  <c r="W71" i="75"/>
  <c r="N71" i="75"/>
  <c r="L43" i="75"/>
  <c r="L74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J57" i="75"/>
  <c r="Q33" i="75"/>
  <c r="U33" i="75"/>
  <c r="O75" i="75"/>
  <c r="L71" i="75"/>
  <c r="T33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X71" i="75"/>
  <c r="X61" i="75"/>
  <c r="X33" i="75"/>
  <c r="V60" i="75"/>
  <c r="Y33" i="75"/>
  <c r="V74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AA47" i="75"/>
  <c r="X60" i="75"/>
  <c r="AA43" i="75"/>
  <c r="AA61" i="75"/>
  <c r="AA57" i="75"/>
  <c r="AA75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A74" i="75"/>
  <c r="AC75" i="75"/>
  <c r="AC57" i="75"/>
  <c r="AC33" i="75"/>
  <c r="AC61" i="75"/>
  <c r="AC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75" i="75"/>
  <c r="AF75" i="75"/>
  <c r="AD60" i="75"/>
  <c r="AF57" i="75"/>
  <c r="AF33" i="75"/>
  <c r="AE61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G60" i="75"/>
  <c r="AG74" i="75"/>
  <c r="AG32" i="75"/>
  <c r="L49" i="75"/>
  <c r="T49" i="75"/>
  <c r="M49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AE49" i="75"/>
  <c r="AE35" i="75"/>
  <c r="AF77" i="75"/>
  <c r="Q49" i="75"/>
  <c r="J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P35" i="75"/>
  <c r="R35" i="75"/>
  <c r="T35" i="75"/>
  <c r="L35" i="75"/>
  <c r="AA35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N35" i="75"/>
  <c r="S35" i="75"/>
  <c r="L77" i="75"/>
  <c r="X63" i="75"/>
  <c r="O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X35" i="75"/>
  <c r="M63" i="75"/>
  <c r="J46" i="75"/>
  <c r="AB46" i="75"/>
  <c r="X46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I19" i="75"/>
  <c r="I20" i="75"/>
  <c r="I15" i="75"/>
  <c r="F15" i="75" s="1"/>
  <c r="I18" i="75"/>
  <c r="X29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K29" i="75"/>
  <c r="AD29" i="75"/>
  <c r="AA29" i="75"/>
  <c r="AB29" i="75"/>
  <c r="O29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F20" i="75"/>
  <c r="AG19" i="75"/>
  <c r="AE20" i="75"/>
  <c r="AD19" i="75"/>
  <c r="AC18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M20" i="75"/>
  <c r="Q20" i="75"/>
  <c r="U20" i="75"/>
  <c r="T20" i="75"/>
  <c r="AA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T19" i="75"/>
  <c r="K21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L18" i="75"/>
  <c r="R18" i="75"/>
  <c r="U18" i="75"/>
  <c r="Q18" i="75"/>
  <c r="W18" i="75"/>
  <c r="S18" i="75"/>
  <c r="AA18" i="75"/>
  <c r="V18" i="75"/>
  <c r="P18" i="75"/>
  <c r="M18" i="75"/>
  <c r="J18" i="75"/>
  <c r="K18" i="75"/>
  <c r="A2" i="33"/>
  <c r="N28" i="82" l="1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X22" i="75" s="1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T22" i="75" s="1"/>
  <c r="L21" i="75"/>
  <c r="L22" i="75" s="1"/>
  <c r="P20" i="75"/>
  <c r="P22" i="75" s="1"/>
  <c r="AF21" i="75"/>
  <c r="AF22" i="75" s="1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S99" i="75"/>
  <c r="F28" i="68"/>
  <c r="F28" i="72"/>
  <c r="F28" i="81"/>
  <c r="F28" i="73"/>
  <c r="I22" i="75"/>
  <c r="AC22" i="75"/>
  <c r="AE22" i="75"/>
  <c r="AD22" i="75"/>
  <c r="Q22" i="75"/>
  <c r="K22" i="75"/>
  <c r="V22" i="75"/>
  <c r="J22" i="75"/>
  <c r="U22" i="75"/>
  <c r="M22" i="75"/>
  <c r="Z22" i="75"/>
  <c r="AB22" i="75"/>
  <c r="F19" i="75" l="1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48" i="75" l="1"/>
  <c r="P50" i="75" s="1"/>
  <c r="P40" i="85" s="1"/>
  <c r="P87" i="72"/>
  <c r="P106" i="72" s="1"/>
  <c r="P112" i="72" s="1" a="1"/>
  <c r="P112" i="72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3" i="72" l="1" a="1"/>
  <c r="P113" i="72" s="1"/>
  <c r="P110" i="72" a="1"/>
  <c r="P110" i="72" s="1"/>
  <c r="P42" i="85"/>
  <c r="P115" i="72" a="1"/>
  <c r="P115" i="72" s="1"/>
  <c r="P116" i="72" a="1"/>
  <c r="P116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B48" i="85"/>
  <c r="D48" i="85" s="1"/>
  <c r="B44" i="85"/>
  <c r="D44" i="85" s="1"/>
  <c r="D31" i="85"/>
  <c r="D32" i="85"/>
  <c r="D34" i="85"/>
  <c r="D36" i="85"/>
  <c r="V35" i="85" l="1"/>
  <c r="L37" i="85"/>
  <c r="AA36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W30" i="85" l="1"/>
  <c r="F91" i="85"/>
  <c r="I68" i="33" s="1"/>
  <c r="G92" i="85"/>
  <c r="J69" i="33" s="1"/>
  <c r="F90" i="85"/>
  <c r="I67" i="33" s="1"/>
  <c r="G93" i="85"/>
  <c r="J70" i="33" s="1"/>
  <c r="F92" i="85"/>
  <c r="I69" i="33" s="1"/>
  <c r="G95" i="85"/>
  <c r="J72" i="33" s="1"/>
  <c r="F93" i="85"/>
  <c r="I70" i="33" s="1"/>
  <c r="G94" i="85"/>
  <c r="J71" i="33" s="1"/>
  <c r="G90" i="85"/>
  <c r="J67" i="33" s="1"/>
  <c r="F95" i="85"/>
  <c r="I72" i="33" s="1"/>
  <c r="F94" i="85"/>
  <c r="I71" i="33" s="1"/>
  <c r="G91" i="85"/>
  <c r="J68" i="33" s="1"/>
  <c r="F44" i="85"/>
  <c r="E91" i="85" s="1"/>
  <c r="H68" i="33" s="1"/>
  <c r="F45" i="85"/>
  <c r="E92" i="85" s="1"/>
  <c r="H69" i="33" s="1"/>
  <c r="F50" i="85"/>
  <c r="F48" i="85"/>
  <c r="E95" i="85" s="1"/>
  <c r="H72" i="33" s="1"/>
  <c r="E90" i="85"/>
  <c r="H67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<sst xmlns="http://schemas.openxmlformats.org/spreadsheetml/2006/main" count="1161" uniqueCount="335">
  <si>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</si>
  <si>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</si>
  <si>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</si>
  <si>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</si>
  <si>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</si>
  <si>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</si>
  <si>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</si>
  <si>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</si>
  <si>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</si>
  <si>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</si>
  <si>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</si>
  <si>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</si>
  <si>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</si>
  <si>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</si>
  <si>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</si>
  <si>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</si>
  <si>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</si>
  <si>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</si>
  <si>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</si>
  <si>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</si>
  <si>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</si>
  <si>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</si>
  <si>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</si>
  <si>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</si>
  <si>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</si>
  <si>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</si>
  <si>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</si>
  <si>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</si>
  <si>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</si>
  <si>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</si>
  <si>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</si>
  <si>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</si>
  <si>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</si>
  <si>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</si>
  <si>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</si>
  <si>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</si>
  <si>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</si>
  <si>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</si>
  <si>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</si>
  <si>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</si>
  <si>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</si>
  <si>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</si>
  <si>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</si>
  <si>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</si>
  <si>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</si>
  <si>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</si>
  <si>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</si>
  <si>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</si>
  <si>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</si>
  <si>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</si>
  <si>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</si>
  <si>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</si>
  <si>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</si>
  <si>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</si>
  <si>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</si>
  <si>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</si>
  <si>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</si>
  <si>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</si>
  <si>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</si>
  <si>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</si>
  <si>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</si>
  <si>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</si>
  <si>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</si>
  <si>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</si>
  <si>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</si>
  <si>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</si>
  <si>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</si>
  <si>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</si>
  <si>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</si>
  <si>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</si>
  <si>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</si>
  <si>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</si>
  <si>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</si>
  <si>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</si>
  <si>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</si>
  <si>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</si>
  <si>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</si>
  <si>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</si>
  <si>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</si>
  <si>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</si>
  <si>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</si>
  <si>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</si>
  <si>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</si>
  <si>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</si>
  <si>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</si>
  <si>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</si>
  <si>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</si>
  <si>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</si>
  <si>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</si>
  <si>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</si>
  <si>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</si>
  <si>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</si>
  <si>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</si>
  <si>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</si>
  <si>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</si>
  <si>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</si>
  <si>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</si>
  <si>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</si>
  <si>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</si>
  <si>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</si>
  <si>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</si>
  <si>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</si>
  <si>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</si>
  <si>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</si>
  <si>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</si>
  <si>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</si>
  <si>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</si>
  <si>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</si>
  <si>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</si>
  <si>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</si>
  <si>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</si>
  <si>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</si>
  <si>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</si>
  <si>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</si>
  <si>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</si>
  <si>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</si>
  <si>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</si>
  <si>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</si>
  <si>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</si>
  <si>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</si>
  <si>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</si>
  <si>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</si>
  <si>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</si>
  <si>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</si>
  <si>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</si>
  <si>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</si>
  <si>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</si>
  <si>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</si>
  <si>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</si>
  <si>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</si>
  <si>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</si>
  <si>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</si>
  <si>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</si>
  <si>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</si>
  <si>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</si>
  <si>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</si>
  <si>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</si>
  <si>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</si>
  <si>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</si>
  <si>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</si>
  <si>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</si>
  <si>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</si>
  <si>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eg. AR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</si>
  <si>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</si>
  <si>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</si>
  <si>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</si>
  <si>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</si>
  <si>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</si>
  <si>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</si>
  <si>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</si>
  <si>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</si>
  <si>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</si>
  <si>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</si>
  <si>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</si>
  <si>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</si>
  <si>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</si>
  <si>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</si>
  <si>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</si>
  <si>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</si>
  <si>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</si>
  <si>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</si>
  <si>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</si>
  <si>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</si>
  <si>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</si>
  <si>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</si>
  <si>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</si>
  <si>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</si>
  <si>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</si>
  <si>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</si>
  <si>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</si>
  <si>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</si>
  <si>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</si>
  <si>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</si>
  <si>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</si>
  <si>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</si>
  <si>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</si>
  <si>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</si>
  <si>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</si>
  <si>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</si>
  <si>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</si>
  <si>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</si>
  <si>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</si>
  <si>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</si>
  <si>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</si>
  <si>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</si>
  <si>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</si>
  <si>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</si>
  <si>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</si>
  <si>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</si>
  <si>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</si>
  <si>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</si>
  <si>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</si>
  <si>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</si>
  <si>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</si>
  <si>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</si>
  <si>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</si>
  <si>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</si>
  <si>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</si>
  <si>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</si>
  <si>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</si>
  <si>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</si>
  <si>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</si>
  <si>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</si>
  <si>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</si>
  <si>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</si>
  <si>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</si>
  <si>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</si>
  <si>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</si>
  <si>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</si>
  <si>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</si>
  <si>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</si>
  <si>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</si>
  <si>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</si>
  <si>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</si>
  <si>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</si>
  <si>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</si>
  <si>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</si>
  <si>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</si>
  <si>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</si>
  <si>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</si>
  <si>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</si>
  <si>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</si>
  <si>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</si>
  <si>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</si>
  <si>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</si>
  <si>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</si>
  <si>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</si>
  <si>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</si>
  <si>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</si>
  <si>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</si>
  <si>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</si>
  <si>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</si>
  <si>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</si>
  <si>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</si>
  <si>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</si>
  <si>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</si>
  <si>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</si>
  <si>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</si>
  <si>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</si>
  <si>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</si>
  <si>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</si>
  <si>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</si>
  <si>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</si>
  <si>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</si>
  <si>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HV cable replacement</t>
  </si>
  <si>
    <t>Replace highest 5 delta risk cable sections</t>
  </si>
  <si>
    <t>Replace highest 10 delta risk cable sections</t>
  </si>
  <si>
    <t>Monitor highest delta risk cable sections and replace those with high partial discharge</t>
  </si>
  <si>
    <t>Replace highest 5 delta risk cable sections and monitor further 10</t>
  </si>
  <si>
    <t>Cable replacement (top 5)</t>
  </si>
  <si>
    <t>Condition assessment of next 10 delta risk cable sections</t>
  </si>
  <si>
    <t>Replacement of poor condition cable sections</t>
  </si>
  <si>
    <t>Condition assessment of top 30 delta risk cable sections</t>
  </si>
  <si>
    <t>Cable replacement</t>
  </si>
  <si>
    <t>WORKINGS - COSTS</t>
  </si>
  <si>
    <t>Top 5 assets</t>
  </si>
  <si>
    <t> </t>
  </si>
  <si>
    <t>Section Count</t>
  </si>
  <si>
    <t>Length (m)</t>
  </si>
  <si>
    <t>Fixed Cost</t>
  </si>
  <si>
    <t>Variable Cost</t>
  </si>
  <si>
    <t>Replacement Cost (CBD)</t>
  </si>
  <si>
    <t>Replacement Cost (Urban)</t>
  </si>
  <si>
    <t>Replacement Cost (Rural Short)</t>
  </si>
  <si>
    <t>Replacement Cost (Rural Long)</t>
  </si>
  <si>
    <t>Replacement Cost (Blank) as CBD</t>
  </si>
  <si>
    <t>Top 10 assets</t>
  </si>
  <si>
    <t>Top 30 assets</t>
  </si>
  <si>
    <t>Monitoring</t>
  </si>
  <si>
    <t>Condition assessment failed cable detection rate</t>
  </si>
  <si>
    <t>WORKINGS - RISKS</t>
  </si>
  <si>
    <t>All assets</t>
  </si>
  <si>
    <t>CBRM data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</si>
  <si>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</si>
  <si>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</si>
  <si>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</si>
  <si>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</si>
  <si>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</si>
  <si>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</si>
  <si>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</si>
  <si>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</si>
  <si>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</si>
  <si>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</si>
  <si>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</si>
  <si>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</si>
  <si>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</si>
  <si>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</si>
  <si>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</si>
  <si>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</si>
  <si>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</si>
  <si>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</si>
  <si>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</si>
  <si>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</si>
  <si>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</si>
  <si>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</si>
  <si>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FY49</t>
  </si>
  <si>
    <t>FY50</t>
  </si>
  <si>
    <t>FY51</t>
  </si>
  <si>
    <t>Response cost</t>
  </si>
  <si>
    <t>Safety Consequence</t>
  </si>
  <si>
    <t>Total number of failures without replacement</t>
  </si>
  <si>
    <t>Environmental Consequence</t>
  </si>
  <si>
    <t>Implementation profile</t>
  </si>
  <si>
    <t>Top 5 delta</t>
  </si>
  <si>
    <t>Top 10 delta</t>
  </si>
  <si>
    <t>Top 30 delta</t>
  </si>
  <si>
    <t>Top 15 delta</t>
  </si>
  <si>
    <t>before</t>
  </si>
  <si>
    <t>Option risk before replacement</t>
  </si>
  <si>
    <t>Option risk after replacement</t>
  </si>
  <si>
    <t>Consequence per failure ($)</t>
  </si>
  <si>
    <t>Replace top 5</t>
  </si>
  <si>
    <t>Replace top 10</t>
  </si>
  <si>
    <t>Replace top 30</t>
  </si>
  <si>
    <t>Replace top 15</t>
  </si>
  <si>
    <t>Average Consequences per failure ($)</t>
  </si>
  <si>
    <t>Number of failures after replacement</t>
  </si>
  <si>
    <t>Energy at risk (MWh)</t>
  </si>
  <si>
    <t>Total risk after replacement of selected cable</t>
  </si>
  <si>
    <t>option 2</t>
  </si>
  <si>
    <t>Change in risk</t>
  </si>
  <si>
    <t>Replacement</t>
  </si>
  <si>
    <t>Option 5 risk before replacement</t>
  </si>
  <si>
    <t>Total cost ($ 2023)</t>
  </si>
  <si>
    <t>Source:  Cable CBRM (October 2024)</t>
  </si>
  <si>
    <t>Average Length (m)</t>
  </si>
  <si>
    <t>Variable ($/m)</t>
  </si>
  <si>
    <t>Expenditure</t>
  </si>
  <si>
    <t>Adjust for risk removed from replacing top 5 (option 2)</t>
  </si>
  <si>
    <t>Adjust for risk removed from replacing failed cables</t>
  </si>
  <si>
    <t>(no failures during monitoring, % thereafter)</t>
  </si>
  <si>
    <t>Total risk after monitoring and replacement of failed cable</t>
  </si>
  <si>
    <t>FLAGS</t>
  </si>
  <si>
    <t>Preferred option capex and risk mitigated ($M, 2026)</t>
  </si>
  <si>
    <t>HV underground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</si>
</sst>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#,##0.0;\ \-#,##0.0;\ &quot;-&quot;"/>
    <numFmt numFmtId="196" formatCode="#,##0.00;\ \-#,##0.00;\ &quot;-&quot;"/>
    <numFmt numFmtId="197" formatCode="#,##0.00000;\ \-#,##0.00000;\ &quot;-&quot;"/>
    <numFmt numFmtId="198" formatCode="mmm\ yyyy"/>
  </numFmts>
  <fonts count="99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theme="1"/>
      <name val="Verdana"/>
      <family val="2"/>
    </font>
    <font>
      <i/>
      <sz val="10"/>
      <color rgb="FF3333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FFFFFF"/>
      <name val="Calibri"/>
      <family val="2"/>
      <scheme val="minor"/>
    </font>
    <font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CC330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89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0" xfId="0" applyFont="1" applyAlignment="1">
      <alignment horizontal="left" indent="3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0" fontId="24" fillId="17" borderId="0" xfId="18" applyFont="1" applyFill="1" applyAlignment="1">
      <alignment vertical="center"/>
    </xf>
    <xf numFmtId="0" fontId="16" fillId="0" borderId="0" xfId="0" applyFont="1"/>
    <xf numFmtId="0" fontId="30" fillId="0" borderId="0" xfId="0" applyFont="1"/>
    <xf numFmtId="185" fontId="15" fillId="2" borderId="0" xfId="18" applyNumberFormat="1" applyFont="1" applyFill="1"/>
    <xf numFmtId="0" fontId="16" fillId="0" borderId="0" xfId="0" applyFont="1" applyAlignment="1">
      <alignment horizontal="right"/>
    </xf>
    <xf numFmtId="196" fontId="15" fillId="2" borderId="0" xfId="18" applyNumberFormat="1" applyFont="1" applyFill="1"/>
    <xf numFmtId="0" fontId="90" fillId="0" borderId="0" xfId="0" applyFont="1"/>
    <xf numFmtId="0" fontId="30" fillId="0" borderId="7" xfId="0" applyFont="1" applyBorder="1"/>
    <xf numFmtId="0" fontId="30" fillId="0" borderId="7" xfId="0" applyFont="1" applyBorder="1" applyAlignment="1">
      <alignment horizontal="right"/>
    </xf>
    <xf numFmtId="197" fontId="15" fillId="2" borderId="0" xfId="18" applyNumberFormat="1" applyFont="1" applyFill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0" fontId="16" fillId="0" borderId="0" xfId="0" applyFont="1" applyBorder="1"/>
    <xf numFmtId="167" fontId="15" fillId="0" borderId="0" xfId="18" applyNumberFormat="1" applyFont="1"/>
    <xf numFmtId="185" fontId="16" fillId="0" borderId="0" xfId="0" applyNumberFormat="1" applyFont="1"/>
    <xf numFmtId="196" fontId="16" fillId="0" borderId="0" xfId="0" applyNumberFormat="1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16" fillId="0" borderId="0" xfId="0" applyFont="1" applyAlignment="1">
      <alignment horizontal="center"/>
    </xf>
    <xf numFmtId="0" fontId="17" fillId="0" borderId="7" xfId="18" applyFont="1" applyBorder="1" applyAlignment="1">
      <alignment horizontal="center"/>
    </xf>
    <xf numFmtId="9" fontId="16" fillId="2" borderId="0" xfId="18" applyNumberFormat="1" applyFont="1" applyFill="1" applyBorder="1" applyAlignment="1">
      <alignment horizontal="right" vertical="center"/>
    </xf>
    <xf numFmtId="195" fontId="15" fillId="2" borderId="0" xfId="18" applyNumberFormat="1" applyFont="1" applyFill="1"/>
    <xf numFmtId="0" fontId="45" fillId="0" borderId="0" xfId="0" applyFont="1"/>
    <xf numFmtId="185" fontId="15" fillId="0" borderId="0" xfId="18" applyNumberFormat="1" applyFont="1"/>
    <xf numFmtId="0" fontId="91" fillId="0" borderId="0" xfId="0" applyFont="1" applyFill="1"/>
    <xf numFmtId="0" fontId="30" fillId="0" borderId="0" xfId="0" applyFont="1" applyFill="1"/>
    <xf numFmtId="0" fontId="92" fillId="0" borderId="0" xfId="0" applyFont="1" applyFill="1"/>
    <xf numFmtId="0" fontId="16" fillId="0" borderId="0" xfId="0" applyFont="1" applyFill="1"/>
    <xf numFmtId="0" fontId="72" fillId="0" borderId="0" xfId="0" applyFont="1"/>
    <xf numFmtId="196" fontId="94" fillId="2" borderId="0" xfId="23" applyNumberFormat="1" applyFont="1" applyAlignment="1">
      <alignment horizontal="right"/>
    </xf>
    <xf numFmtId="0" fontId="16" fillId="9" borderId="0" xfId="0" applyFont="1" applyFill="1"/>
    <xf numFmtId="0" fontId="16" fillId="0" borderId="7" xfId="0" applyFont="1" applyFill="1" applyBorder="1"/>
    <xf numFmtId="0" fontId="30" fillId="0" borderId="4" xfId="0" applyFont="1" applyBorder="1"/>
    <xf numFmtId="166" fontId="96" fillId="0" borderId="7" xfId="16" applyFont="1" applyFill="1" applyBorder="1" applyAlignment="1">
      <alignment horizontal="right"/>
    </xf>
    <xf numFmtId="0" fontId="16" fillId="0" borderId="7" xfId="0" applyFont="1" applyFill="1" applyBorder="1" applyAlignment="1">
      <alignment horizontal="right"/>
    </xf>
    <xf numFmtId="0" fontId="27" fillId="2" borderId="0" xfId="23" applyNumberFormat="1" applyAlignment="1">
      <alignment horizontal="right"/>
    </xf>
    <xf numFmtId="185" fontId="27" fillId="2" borderId="0" xfId="23" applyNumberFormat="1" applyAlignment="1">
      <alignment horizontal="right"/>
    </xf>
    <xf numFmtId="0" fontId="30" fillId="0" borderId="4" xfId="0" applyFont="1" applyBorder="1" applyAlignment="1">
      <alignment horizontal="right"/>
    </xf>
    <xf numFmtId="185" fontId="36" fillId="0" borderId="4" xfId="23" applyNumberFormat="1" applyFont="1" applyFill="1" applyBorder="1" applyAlignment="1">
      <alignment horizontal="right"/>
    </xf>
    <xf numFmtId="185" fontId="95" fillId="0" borderId="4" xfId="0" applyNumberFormat="1" applyFont="1" applyBorder="1" applyAlignment="1">
      <alignment horizontal="right"/>
    </xf>
    <xf numFmtId="185" fontId="95" fillId="0" borderId="4" xfId="0" applyNumberFormat="1" applyFont="1" applyFill="1" applyBorder="1" applyAlignment="1">
      <alignment horizontal="right"/>
    </xf>
    <xf numFmtId="185" fontId="16" fillId="0" borderId="0" xfId="0" applyNumberFormat="1" applyFont="1" applyAlignment="1">
      <alignment horizontal="right"/>
    </xf>
    <xf numFmtId="0" fontId="16" fillId="0" borderId="0" xfId="0" applyFont="1" applyFill="1" applyAlignment="1">
      <alignment horizontal="right"/>
    </xf>
    <xf numFmtId="185" fontId="16" fillId="0" borderId="0" xfId="0" applyNumberFormat="1" applyFont="1" applyFill="1" applyAlignment="1">
      <alignment horizontal="right"/>
    </xf>
    <xf numFmtId="185" fontId="90" fillId="0" borderId="0" xfId="0" applyNumberFormat="1" applyFont="1" applyFill="1" applyBorder="1"/>
    <xf numFmtId="9" fontId="27" fillId="2" borderId="0" xfId="23" applyNumberFormat="1"/>
    <xf numFmtId="185" fontId="21" fillId="0" borderId="8" xfId="22" applyNumberFormat="1">
      <alignment horizontal="right"/>
    </xf>
    <xf numFmtId="198" fontId="97" fillId="15" borderId="0" xfId="18" applyNumberFormat="1" applyFont="1" applyFill="1" applyAlignment="1">
      <alignment horizontal="right" vertical="center"/>
    </xf>
    <xf numFmtId="198" fontId="98" fillId="10" borderId="0" xfId="16" applyNumberFormat="1" applyFont="1" applyFill="1" applyAlignment="1">
      <alignment horizontal="right"/>
    </xf>
    <xf numFmtId="185" fontId="34" fillId="0" borderId="0" xfId="23" applyNumberFormat="1" applyFont="1" applyFill="1" applyAlignment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99FF"/>
      <color rgb="FFFFFFCC"/>
      <color rgb="FF66FFFF"/>
      <color rgb="FF00215B"/>
      <color rgb="FF3333FF"/>
      <color rgb="FFF2F2F2"/>
      <color rgb="FFFABFA8"/>
      <color rgb="FF882B3C"/>
      <color rgb="FFEE2A2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763176037483265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3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0.32569212101227257</c:v>
                </c:pt>
                <c:pt idx="1">
                  <c:v>0.32569212101227257</c:v>
                </c:pt>
                <c:pt idx="2">
                  <c:v>0.32569212101227257</c:v>
                </c:pt>
                <c:pt idx="3">
                  <c:v>0.32569212101227257</c:v>
                </c:pt>
                <c:pt idx="4">
                  <c:v>0.32569212101227257</c:v>
                </c:pt>
                <c:pt idx="5">
                  <c:v>0.32569212101227257</c:v>
                </c:pt>
                <c:pt idx="6">
                  <c:v>0.32569212101227257</c:v>
                </c:pt>
                <c:pt idx="7">
                  <c:v>0.32569212101227257</c:v>
                </c:pt>
                <c:pt idx="8">
                  <c:v>0.32569212101227257</c:v>
                </c:pt>
                <c:pt idx="9">
                  <c:v>0.32569212101227257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3 risk mitigated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8.3705990340536456</c:v>
                </c:pt>
                <c:pt idx="1">
                  <c:v>9.1884141117810021</c:v>
                </c:pt>
                <c:pt idx="2">
                  <c:v>10.133380163139702</c:v>
                </c:pt>
                <c:pt idx="3">
                  <c:v>11.212592737777298</c:v>
                </c:pt>
                <c:pt idx="4">
                  <c:v>12.44338154429615</c:v>
                </c:pt>
                <c:pt idx="5">
                  <c:v>13.848975926079637</c:v>
                </c:pt>
                <c:pt idx="6">
                  <c:v>15.52069721773514</c:v>
                </c:pt>
                <c:pt idx="7">
                  <c:v>17.433097533561021</c:v>
                </c:pt>
                <c:pt idx="8">
                  <c:v>19.552681729240422</c:v>
                </c:pt>
                <c:pt idx="9">
                  <c:v>21.820541015477978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</xdr:row>
      <xdr:rowOff>19050</xdr:rowOff>
    </xdr:from>
    <xdr:to>
      <xdr:col>10</xdr:col>
      <xdr:colOff>301250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A374B-450D-45CD-826E-1DCA543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7"/>
    </row>
    <row r="2" spans="1:19" ht="23.25" x14ac:dyDescent="0.35">
      <c r="A2" s="317"/>
      <c r="C2" s="318" t="s">
        <v>42</v>
      </c>
      <c r="D2" s="319"/>
      <c r="E2" s="319"/>
    </row>
    <row r="3" spans="1:19" ht="15.75" x14ac:dyDescent="0.25">
      <c r="A3" s="317"/>
      <c r="C3" s="320" t="s">
        <v>242</v>
      </c>
      <c r="D3" s="319"/>
      <c r="E3" s="319"/>
    </row>
    <row r="4" spans="1:19" x14ac:dyDescent="0.25">
      <c r="A4" s="317"/>
      <c r="D4" s="319"/>
      <c r="E4" s="319"/>
    </row>
    <row r="5" spans="1:19" x14ac:dyDescent="0.25">
      <c r="A5" s="317"/>
      <c r="C5" s="321" t="s">
        <v>334</v>
      </c>
    </row>
    <row r="6" spans="1:19" x14ac:dyDescent="0.25">
      <c r="A6" s="317"/>
      <c r="C6" s="322" t="s">
        <v>243</v>
      </c>
      <c r="D6" s="388">
        <v>4.1399999999999997</v>
      </c>
      <c r="E6" s="322"/>
    </row>
    <row r="7" spans="1:19" x14ac:dyDescent="0.25">
      <c r="A7" s="317"/>
      <c r="F7" s="323"/>
      <c r="G7" s="323"/>
      <c r="H7" s="323"/>
      <c r="J7" s="323"/>
      <c r="K7" s="323"/>
      <c r="L7" s="323"/>
      <c r="M7" s="323"/>
      <c r="N7" s="323"/>
      <c r="O7" s="323"/>
      <c r="P7" s="323"/>
      <c r="Q7" s="323"/>
      <c r="R7" s="323"/>
      <c r="S7" s="323"/>
    </row>
    <row r="8" spans="1:19" x14ac:dyDescent="0.25">
      <c r="A8" s="317"/>
      <c r="C8" s="324">
        <v>45688</v>
      </c>
      <c r="F8" s="323"/>
      <c r="G8" s="323"/>
      <c r="H8" s="323"/>
      <c r="J8" s="323"/>
      <c r="K8" s="323"/>
      <c r="L8" s="323"/>
      <c r="M8" s="323"/>
      <c r="N8" s="323"/>
      <c r="O8" s="323"/>
      <c r="P8" s="323"/>
      <c r="Q8" s="323"/>
      <c r="R8" s="323"/>
      <c r="S8" s="323"/>
    </row>
    <row r="9" spans="1:19" x14ac:dyDescent="0.25">
      <c r="A9" s="317"/>
      <c r="C9" s="325"/>
      <c r="D9" s="325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</row>
    <row r="10" spans="1:19" x14ac:dyDescent="0.25">
      <c r="A10" s="317"/>
      <c r="C10" s="325"/>
      <c r="D10" s="325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</row>
    <row r="11" spans="1:19" x14ac:dyDescent="0.25">
      <c r="A11" s="317"/>
      <c r="C11" s="325"/>
      <c r="D11" s="325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</row>
    <row r="12" spans="1:19" x14ac:dyDescent="0.25">
      <c r="A12" s="317"/>
      <c r="C12" s="325"/>
      <c r="D12" s="325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</row>
    <row r="13" spans="1:19" x14ac:dyDescent="0.25">
      <c r="A13" s="317"/>
      <c r="C13" s="325"/>
      <c r="D13" s="325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</row>
    <row r="14" spans="1:19" x14ac:dyDescent="0.25">
      <c r="A14" s="317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</row>
    <row r="15" spans="1:19" x14ac:dyDescent="0.25">
      <c r="A15" s="317"/>
      <c r="C15" s="321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</row>
    <row r="16" spans="1:19" x14ac:dyDescent="0.25">
      <c r="A16" s="317"/>
      <c r="C16" s="321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</row>
    <row r="17" spans="1:19" x14ac:dyDescent="0.25">
      <c r="A17" s="317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</row>
    <row r="18" spans="1:19" x14ac:dyDescent="0.25">
      <c r="A18" s="317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</row>
    <row r="19" spans="1:19" x14ac:dyDescent="0.25">
      <c r="A19" s="317"/>
      <c r="C19" s="323"/>
      <c r="D19" s="323"/>
      <c r="E19" s="323"/>
      <c r="F19" s="323"/>
      <c r="G19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</row>
    <row r="20" spans="1:19" x14ac:dyDescent="0.25">
      <c r="A20" s="317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</row>
    <row r="21" spans="1:19" x14ac:dyDescent="0.25">
      <c r="A21" s="317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</row>
    <row r="22" spans="1:19" x14ac:dyDescent="0.25">
      <c r="A22" s="317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</row>
    <row r="23" spans="1:19" x14ac:dyDescent="0.25">
      <c r="A23" s="317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</row>
    <row r="24" spans="1:19" x14ac:dyDescent="0.25">
      <c r="A24" s="317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</row>
    <row r="25" spans="1:19" x14ac:dyDescent="0.25">
      <c r="A25" s="317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</row>
    <row r="26" spans="1:19" x14ac:dyDescent="0.25">
      <c r="A26" s="317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</row>
    <row r="27" spans="1:19" x14ac:dyDescent="0.25">
      <c r="A27" s="317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</row>
    <row r="28" spans="1:19" x14ac:dyDescent="0.25">
      <c r="A28" s="317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</row>
    <row r="29" spans="1:19" x14ac:dyDescent="0.25">
      <c r="A29" s="317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</row>
    <row r="30" spans="1:19" x14ac:dyDescent="0.25">
      <c r="A30" s="317"/>
      <c r="C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</row>
    <row r="31" spans="1:19" x14ac:dyDescent="0.25">
      <c r="A31" s="317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</row>
    <row r="32" spans="1:19" x14ac:dyDescent="0.25">
      <c r="A32" s="317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</row>
    <row r="33" spans="1:19" x14ac:dyDescent="0.25">
      <c r="A33" s="317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</row>
    <row r="34" spans="1:19" x14ac:dyDescent="0.25">
      <c r="A34" s="317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</row>
    <row r="35" spans="1:19" x14ac:dyDescent="0.25">
      <c r="A35" s="317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</row>
    <row r="36" spans="1:19" x14ac:dyDescent="0.25">
      <c r="A36" s="317"/>
    </row>
    <row r="37" spans="1:19" x14ac:dyDescent="0.25">
      <c r="A37" s="317"/>
    </row>
    <row r="38" spans="1:19" x14ac:dyDescent="0.25">
      <c r="A38" s="317"/>
    </row>
    <row r="39" spans="1:19" x14ac:dyDescent="0.25">
      <c r="A39" s="317"/>
    </row>
    <row r="40" spans="1:19" x14ac:dyDescent="0.25">
      <c r="A40" s="317">
        <f ca="1">_xlfn.SHEETS()</f>
        <v>14</v>
      </c>
    </row>
    <row r="41" spans="1:19" x14ac:dyDescent="0.25">
      <c r="A41" s="31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I39" sqref="I39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HV cable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189</v>
      </c>
      <c r="H7" s="155" t="s">
        <v>190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78" t="str">
        <f>INDEX(Assumptions!$E$14:$E$18, MATCH(C9, Assumptions!$C$14:$C$18,0))</f>
        <v>No change to existing practices</v>
      </c>
      <c r="E9" s="379"/>
      <c r="F9" s="379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80" t="str">
        <f>INDEX(Assumptions!$E$14:$E$18, MATCH(C10, Assumptions!$C$14:$C$18,0))</f>
        <v>Replace highest 5 delta risk cable sections</v>
      </c>
      <c r="E10" s="381"/>
      <c r="F10" s="381"/>
      <c r="G10" s="103">
        <f>IF(Data!$C10, "", INDEX(Consol!$F$15:$F$82, MATCH($C10&amp;G$7, Consol!$D$15:$D$82,0))/mill_conv)</f>
        <v>-1.9888698161826823</v>
      </c>
      <c r="H10" s="103">
        <f>IF(Data!$C10, "", INDEX(Consol!$F$15:$F$82, MATCH($C10&amp;H$7, Consol!$D$15:$D$82,0))/mill_conv)</f>
        <v>2.7035059704504234</v>
      </c>
      <c r="I10" s="103">
        <f>IF(Data!$C10, "", INDEX(Consol!$F$15:$F$82, MATCH($C10&amp;I$7, Consol!$D$15:$D$82,0))/mill_conv)</f>
        <v>0.71463615426774052</v>
      </c>
    </row>
    <row r="11" spans="1:13" s="7" customFormat="1" ht="12.75" x14ac:dyDescent="0.2">
      <c r="C11" s="91" t="str">
        <v>Option 3</v>
      </c>
      <c r="D11" s="380" t="str">
        <f>INDEX(Assumptions!$E$14:$E$18, MATCH(C11, Assumptions!$C$14:$C$18,0))</f>
        <v>Replace highest 10 delta risk cable sections</v>
      </c>
      <c r="E11" s="381"/>
      <c r="F11" s="381"/>
      <c r="G11" s="103">
        <f>IF(Data!$C11, "", INDEX(Consol!$F$15:$F$82, MATCH($C11&amp;G$7, Consol!$D$15:$D$82,0))/mill_conv)</f>
        <v>-3.7909828038287694</v>
      </c>
      <c r="H11" s="103">
        <f>IF(Data!$C11, "", INDEX(Consol!$F$15:$F$82, MATCH($C11&amp;H$7, Consol!$D$15:$D$82,0))/mill_conv)</f>
        <v>4.8949135486541522</v>
      </c>
      <c r="I11" s="103">
        <f>IF(Data!$C11, "", INDEX(Consol!$F$15:$F$82, MATCH($C11&amp;I$7, Consol!$D$15:$D$82,0))/mill_conv)</f>
        <v>1.1039307448253826</v>
      </c>
    </row>
    <row r="12" spans="1:13" s="7" customFormat="1" ht="12.75" x14ac:dyDescent="0.2">
      <c r="C12" s="91" t="str">
        <v>Option 4</v>
      </c>
      <c r="D12" s="380" t="str">
        <f>INDEX(Assumptions!$E$14:$E$18, MATCH(C12, Assumptions!$C$14:$C$18,0))</f>
        <v>Monitor highest delta risk cable sections and replace those with high partial discharge</v>
      </c>
      <c r="E12" s="381"/>
      <c r="F12" s="381"/>
      <c r="G12" s="103">
        <f>IF(Data!$C12, "", INDEX(Consol!$F$15:$F$82, MATCH($C12&amp;G$7, Consol!$D$15:$D$82,0))/mill_conv)</f>
        <v>-5.8817924042270429</v>
      </c>
      <c r="H12" s="103">
        <f>IF(Data!$C12, "", INDEX(Consol!$F$15:$F$82, MATCH($C12&amp;H$7, Consol!$D$15:$D$82,0))/mill_conv)</f>
        <v>3.4941379216820843</v>
      </c>
      <c r="I12" s="103">
        <f>IF(Data!$C12, "", INDEX(Consol!$F$15:$F$82, MATCH($C12&amp;I$7, Consol!$D$15:$D$82,0))/mill_conv)</f>
        <v>-2.3876544825449573</v>
      </c>
    </row>
    <row r="13" spans="1:13" s="7" customFormat="1" ht="12.75" x14ac:dyDescent="0.2">
      <c r="C13" s="91" t="str">
        <v>Option 5</v>
      </c>
      <c r="D13" s="380" t="str">
        <f>INDEX(Assumptions!$E$14:$E$18, MATCH(C13, Assumptions!$C$14:$C$18,0))</f>
        <v>Replace highest 5 delta risk cable sections and monitor further 10</v>
      </c>
      <c r="E13" s="381"/>
      <c r="F13" s="381"/>
      <c r="G13" s="103">
        <f>IF(Data!$C13, "", INDEX(Consol!$F$15:$F$82, MATCH($C13&amp;G$7, Consol!$D$15:$D$82,0))/mill_conv)</f>
        <v>-3.8453918868192272</v>
      </c>
      <c r="H13" s="103">
        <f>IF(Data!$C13, "", INDEX(Consol!$F$15:$F$82, MATCH($C13&amp;H$7, Consol!$D$15:$D$82,0))/mill_conv)</f>
        <v>3.8147356523458966</v>
      </c>
      <c r="I13" s="103">
        <f>IF(Data!$C13, "", INDEX(Consol!$F$15:$F$82, MATCH($C13&amp;I$7, Consol!$D$15:$D$82,0))/mill_conv)</f>
        <v>-3.0656234473332284E-2</v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3</v>
      </c>
      <c r="D18" s="377" t="str">
        <f>INDEX($D$9:$D$13,MATCH(G18, $I$9:$I$13,0))</f>
        <v>Replace highest 10 delta risk cable sections</v>
      </c>
      <c r="E18" s="377"/>
      <c r="F18" s="377"/>
      <c r="G18" s="104">
        <f>_xlfn.MAXIFS(I9:I13, IF(compliance, Data!$F$9:$F$13, Data!$C$9:$C$13),FALSE)</f>
        <v>1.1039307448253826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3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1.6248606726119112</v>
      </c>
      <c r="G30" s="105">
        <f>-INDEX(Consol!J$15:J$82,MATCH($C$26&amp;$C30,Consol!$D$15:$D$82,0))/mill_conv</f>
        <v>1.6248606726119112</v>
      </c>
      <c r="H30" s="105">
        <f>-INDEX(Consol!K$15:K$82,MATCH($C$26&amp;$C30,Consol!$D$15:$D$82,0))/mill_conv</f>
        <v>1.6248606726119112</v>
      </c>
      <c r="I30" s="105">
        <f>-INDEX(Consol!L$15:L$82,MATCH($C$26&amp;$C30,Consol!$D$15:$D$82,0))/mill_conv</f>
        <v>1.6248606726119112</v>
      </c>
      <c r="J30" s="105">
        <f>-INDEX(Consol!M$15:M$82,MATCH($C$26&amp;$C30,Consol!$D$15:$D$82,0))/mill_conv</f>
        <v>1.6248606726119112</v>
      </c>
      <c r="K30" s="190"/>
      <c r="L30" s="190">
        <f>SUM(F30:J30)</f>
        <v>8.1243033630595569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333</v>
      </c>
      <c r="D37" s="28"/>
      <c r="E37" s="28"/>
      <c r="F37" s="303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222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220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0.71463615426774052</v>
      </c>
      <c r="H67" s="291">
        <f>Sensitivity_calcs!E90</f>
        <v>1.1039307448253828</v>
      </c>
      <c r="I67" s="291">
        <f>Sensitivity_calcs!F90</f>
        <v>-2.3876544825449573</v>
      </c>
      <c r="J67" s="291">
        <f>Sensitivity_calcs!G90</f>
        <v>-3.0656234473332298E-2</v>
      </c>
      <c r="K67" s="261"/>
      <c r="L67" s="293" t="str">
        <f>Sensitivity_calcs!K90</f>
        <v>Option 3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0.51574917264947229</v>
      </c>
      <c r="H68" s="278">
        <f>Sensitivity_calcs!E91</f>
        <v>0.7248324644425056</v>
      </c>
      <c r="I68" s="278">
        <f>Sensitivity_calcs!F91</f>
        <v>-2.9758337229676606</v>
      </c>
      <c r="J68" s="278">
        <f>Sensitivity_calcs!G91</f>
        <v>-0.41519542315525487</v>
      </c>
      <c r="K68" s="261"/>
      <c r="L68" s="286" t="str">
        <f>Sensitivity_calcs!K91</f>
        <v>Option 3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0.91352313588600875</v>
      </c>
      <c r="H69" s="279">
        <f>Sensitivity_calcs!E92</f>
        <v>1.4830290252082594</v>
      </c>
      <c r="I69" s="279">
        <f>Sensitivity_calcs!F92</f>
        <v>-1.7994752421222526</v>
      </c>
      <c r="J69" s="279">
        <f>Sensitivity_calcs!G92</f>
        <v>0.35388295420859056</v>
      </c>
      <c r="K69" s="261"/>
      <c r="L69" s="286" t="str">
        <f>Sensitivity_calcs!K92</f>
        <v>Option 3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0.98498675131278279</v>
      </c>
      <c r="H70" s="279">
        <f>Sensitivity_calcs!E93</f>
        <v>1.5934220996907977</v>
      </c>
      <c r="I70" s="279">
        <f>Sensitivity_calcs!F93</f>
        <v>-2.0382406903767487</v>
      </c>
      <c r="J70" s="279">
        <f>Sensitivity_calcs!G93</f>
        <v>0.35081733076125732</v>
      </c>
      <c r="K70" s="261"/>
      <c r="L70" s="286" t="str">
        <f>Sensitivity_calcs!K93</f>
        <v>Option 3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0.44428555722269825</v>
      </c>
      <c r="H71" s="279">
        <f>Sensitivity_calcs!E94</f>
        <v>0.61443938995996761</v>
      </c>
      <c r="I71" s="279">
        <f>Sensitivity_calcs!F94</f>
        <v>-2.7370682747131654</v>
      </c>
      <c r="J71" s="279">
        <f>Sensitivity_calcs!G94</f>
        <v>-0.41212979970792213</v>
      </c>
      <c r="K71" s="261"/>
      <c r="L71" s="286" t="str">
        <f>Sensitivity_calcs!K94</f>
        <v>Option 3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0.24539857560442987</v>
      </c>
      <c r="H72" s="279">
        <f>Sensitivity_calcs!E95</f>
        <v>0.23534110957709059</v>
      </c>
      <c r="I72" s="279">
        <f>Sensitivity_calcs!F95</f>
        <v>-3.32524751513587</v>
      </c>
      <c r="J72" s="279">
        <f>Sensitivity_calcs!G95</f>
        <v>-0.79666898838984479</v>
      </c>
      <c r="K72" s="261"/>
      <c r="L72" s="286" t="str">
        <f>Sensitivity_calcs!K95</f>
        <v>Option 2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9"/>
      <c r="E81" s="249"/>
      <c r="F81" s="249"/>
    </row>
    <row r="82" spans="4:6" s="8" customFormat="1" ht="12.75" x14ac:dyDescent="0.2">
      <c r="D82" s="249"/>
      <c r="E82" s="249"/>
      <c r="F82" s="249"/>
    </row>
    <row r="83" spans="4:6" s="8" customFormat="1" ht="12.75" hidden="1" x14ac:dyDescent="0.2">
      <c r="D83" s="249"/>
      <c r="E83" s="249"/>
      <c r="F83" s="249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HV cable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85" t="s">
        <v>244</v>
      </c>
      <c r="F8" s="385"/>
      <c r="G8" s="385"/>
      <c r="H8" s="385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86" t="s">
        <v>58</v>
      </c>
      <c r="F14" s="386"/>
      <c r="G14" s="386"/>
      <c r="H14" s="386"/>
      <c r="I14" s="386"/>
      <c r="J14" s="386"/>
      <c r="K14" s="386"/>
      <c r="L14"/>
    </row>
    <row r="15" spans="1:16" s="1" customFormat="1" ht="12.75" customHeight="1" x14ac:dyDescent="0.2">
      <c r="C15" s="61" t="str">
        <v>Option 2</v>
      </c>
      <c r="D15" s="61"/>
      <c r="E15" s="387" t="s">
        <v>245</v>
      </c>
      <c r="F15" s="387"/>
      <c r="G15" s="387"/>
      <c r="H15" s="387"/>
      <c r="I15" s="387"/>
      <c r="J15" s="387"/>
      <c r="K15" s="387"/>
      <c r="L15"/>
    </row>
    <row r="16" spans="1:16" s="1" customFormat="1" ht="12.75" customHeight="1" x14ac:dyDescent="0.2">
      <c r="C16" s="61" t="str">
        <v>Option 3</v>
      </c>
      <c r="D16" s="61"/>
      <c r="E16" s="387" t="s">
        <v>246</v>
      </c>
      <c r="F16" s="387"/>
      <c r="G16" s="387"/>
      <c r="H16" s="387"/>
      <c r="I16" s="387"/>
      <c r="J16" s="387"/>
      <c r="K16" s="387"/>
      <c r="L16"/>
    </row>
    <row r="17" spans="1:16" s="1" customFormat="1" ht="12.75" customHeight="1" x14ac:dyDescent="0.2">
      <c r="C17" s="61" t="str">
        <v>Option 4</v>
      </c>
      <c r="D17" s="61"/>
      <c r="E17" s="387" t="s">
        <v>247</v>
      </c>
      <c r="F17" s="387"/>
      <c r="G17" s="387"/>
      <c r="H17" s="387"/>
      <c r="I17" s="387"/>
      <c r="J17" s="387"/>
      <c r="K17" s="387"/>
      <c r="L17"/>
    </row>
    <row r="18" spans="1:16" s="1" customFormat="1" ht="12.75" customHeight="1" x14ac:dyDescent="0.2">
      <c r="C18" s="61" t="str">
        <v>Option 5</v>
      </c>
      <c r="D18" s="61"/>
      <c r="E18" s="387" t="s">
        <v>248</v>
      </c>
      <c r="F18" s="387"/>
      <c r="G18" s="387"/>
      <c r="H18" s="387"/>
      <c r="I18" s="387"/>
      <c r="J18" s="387"/>
      <c r="K18" s="387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225</v>
      </c>
      <c r="D20"/>
      <c r="E20" s="296" t="s">
        <v>228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301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8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9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10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11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09">
        <v>45657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9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 t="s">
        <v>142</v>
      </c>
      <c r="E41" s="167" t="s">
        <v>216</v>
      </c>
      <c r="F41" s="129"/>
      <c r="G41" s="316" t="s">
        <v>215</v>
      </c>
      <c r="H41" s="134">
        <v>47819.790378690712</v>
      </c>
      <c r="I41" s="244" t="s">
        <v>217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12">
        <v>5400000</v>
      </c>
      <c r="H50" s="69">
        <v>45107</v>
      </c>
    </row>
    <row r="52" spans="3:8" x14ac:dyDescent="0.2">
      <c r="C52" s="8" t="s">
        <v>166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10">
        <f>Data!F85</f>
        <v>1</v>
      </c>
    </row>
    <row r="56" spans="3:8" x14ac:dyDescent="0.2">
      <c r="C56" s="8" t="str">
        <f>Data!B86</f>
        <v>Harm to property from bushfire</v>
      </c>
      <c r="G56" s="310">
        <f>Data!F86</f>
        <v>1</v>
      </c>
    </row>
    <row r="57" spans="3:8" x14ac:dyDescent="0.2">
      <c r="C57" s="8" t="str">
        <f>Data!B87</f>
        <v>Harm to environment</v>
      </c>
      <c r="G57" s="310">
        <f>Data!F87</f>
        <v>1</v>
      </c>
    </row>
    <row r="58" spans="3:8" x14ac:dyDescent="0.2">
      <c r="C58" s="8" t="str">
        <f>Data!B88</f>
        <v>Safety - Public trespass</v>
      </c>
      <c r="G58" s="310">
        <f>Data!F88</f>
        <v>1</v>
      </c>
    </row>
    <row r="59" spans="3:8" x14ac:dyDescent="0.2">
      <c r="C59" s="8" t="str">
        <f>Data!B89</f>
        <v>Safety - Single fatality or serious injury ^</v>
      </c>
      <c r="G59" s="310">
        <f>Data!F89</f>
        <v>3</v>
      </c>
    </row>
    <row r="60" spans="3:8" x14ac:dyDescent="0.2">
      <c r="C60" s="8" t="str">
        <f>Data!B90</f>
        <v>Safety from bushfire in HBRA</v>
      </c>
      <c r="G60" s="310">
        <f>Data!F90</f>
        <v>3</v>
      </c>
    </row>
    <row r="61" spans="3:8" x14ac:dyDescent="0.2">
      <c r="C61" s="8" t="str">
        <f>Data!B91</f>
        <v>Safety - Multiple fatality or serious injury ^</v>
      </c>
      <c r="G61" s="310">
        <f>Data!F91</f>
        <v>6</v>
      </c>
    </row>
    <row r="62" spans="3:8" x14ac:dyDescent="0.2">
      <c r="C62" s="8" t="str">
        <f>Data!B92</f>
        <v>Safety from bushfire (REFCL declared areas)</v>
      </c>
      <c r="G62" s="310">
        <f>Data!F92</f>
        <v>6</v>
      </c>
    </row>
    <row r="63" spans="3:8" x14ac:dyDescent="0.2">
      <c r="C63" s="8" t="str">
        <f>Data!B93</f>
        <v>Safety from bushfire (electric line construction areas)</v>
      </c>
      <c r="G63" s="310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60" t="s">
        <v>68</v>
      </c>
      <c r="H69" s="160" t="s">
        <v>167</v>
      </c>
      <c r="I69" s="160" t="s">
        <v>180</v>
      </c>
      <c r="J69" s="159" t="s">
        <v>184</v>
      </c>
      <c r="K69" s="160"/>
      <c r="L69" s="160"/>
      <c r="M69" s="160"/>
    </row>
    <row r="70" spans="2:16" x14ac:dyDescent="0.2">
      <c r="C70" s="8" t="s">
        <v>168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82">
        <v>0</v>
      </c>
      <c r="K70" s="383"/>
      <c r="L70" s="383"/>
      <c r="M70" s="384"/>
    </row>
    <row r="71" spans="2:16" x14ac:dyDescent="0.2">
      <c r="C71" s="8" t="s">
        <v>169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82">
        <v>0</v>
      </c>
      <c r="K71" s="383"/>
      <c r="L71" s="383"/>
      <c r="M71" s="384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7">
        <v>0</v>
      </c>
      <c r="H78" s="69">
        <f>input_dollars</f>
        <v>45291</v>
      </c>
    </row>
    <row r="79" spans="2:16" x14ac:dyDescent="0.2">
      <c r="C79" s="8" t="s">
        <v>171</v>
      </c>
      <c r="G79" s="157">
        <v>0</v>
      </c>
      <c r="H79" s="69">
        <f>input_dollars</f>
        <v>45291</v>
      </c>
    </row>
    <row r="81" spans="1:16" x14ac:dyDescent="0.2">
      <c r="C81" s="8" t="s">
        <v>172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3">
        <v>2.4730486797759084E-2</v>
      </c>
      <c r="L90" s="313">
        <v>2.2340740091772258E-2</v>
      </c>
      <c r="M90" s="313">
        <v>2.0196329122153123E-2</v>
      </c>
      <c r="N90" s="313">
        <v>1.806294207659629E-2</v>
      </c>
      <c r="O90" s="313">
        <v>1.5913397615084226E-2</v>
      </c>
      <c r="P90" s="313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2">
        <v>0</v>
      </c>
      <c r="H94" s="69">
        <f t="shared" ref="H94:H101" si="0">custval_date</f>
        <v>45657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2">
        <v>0</v>
      </c>
      <c r="H95" s="69">
        <f t="shared" si="0"/>
        <v>45657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2">
        <v>4220.9953699573898</v>
      </c>
      <c r="H96" s="69">
        <f t="shared" si="0"/>
        <v>45657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3">
        <v>0</v>
      </c>
      <c r="H97" s="69">
        <f t="shared" si="0"/>
        <v>45657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3">
        <v>0.54769380678923496</v>
      </c>
      <c r="H98" s="69">
        <f t="shared" si="0"/>
        <v>45657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3">
        <v>0.54769380678923496</v>
      </c>
      <c r="H99" s="69">
        <f t="shared" si="0"/>
        <v>45657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3">
        <v>0</v>
      </c>
      <c r="H100" s="69">
        <f t="shared" si="0"/>
        <v>45657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3">
        <v>0</v>
      </c>
      <c r="H101" s="69">
        <f t="shared" si="0"/>
        <v>45657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219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4"/>
      <c r="D110" s="59"/>
      <c r="E110" s="305"/>
      <c r="F110" s="304"/>
      <c r="G110" s="304" t="s">
        <v>17</v>
      </c>
      <c r="H110" s="304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4">
        <v>0.1</v>
      </c>
      <c r="H111" s="314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4">
        <v>-0.1</v>
      </c>
      <c r="H112" s="314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5">
        <v>0</v>
      </c>
      <c r="H113" s="314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5">
        <v>0</v>
      </c>
      <c r="H114" s="314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LOWER(H$110)&amp;" "&amp;ABS($H115)*100&amp;"%"&amp;IF($H115&gt;0, " higher", " lower"))</f>
        <v>Capex 10% higher &amp; total benefits 10% lower</v>
      </c>
      <c r="E115" s="272"/>
      <c r="G115" s="314">
        <v>0.1</v>
      </c>
      <c r="H115" s="314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3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Normal="10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143</v>
      </c>
      <c r="B3" s="5"/>
      <c r="C3" s="137"/>
      <c r="D3" s="94"/>
    </row>
    <row r="4" spans="1:43" x14ac:dyDescent="0.2">
      <c r="A4" s="171"/>
      <c r="B4" s="191"/>
      <c r="C4" s="242" t="str">
        <f>IF(INDEX(Misc_calcs!$D$45:$D$63, MATCH(A3, Misc_calcs!$B$45:$B$63,0)), Misc_calcs!$B$66,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74">
        <f>DATE(LEFT(I9,4), 6,30)</f>
        <v>46203</v>
      </c>
      <c r="I9" s="187" t="str">
        <f>start</f>
        <v>2026-27</v>
      </c>
      <c r="J9" s="187" t="str">
        <f t="shared" ref="J9:AG9" si="1">LEFT(I9,4)+1&amp;"-"&amp;RIGHT(I9,2)+1</f>
        <v>2027-28</v>
      </c>
      <c r="K9" s="187" t="str">
        <f t="shared" si="1"/>
        <v>2028-29</v>
      </c>
      <c r="L9" s="187" t="str">
        <f t="shared" si="1"/>
        <v>2029-30</v>
      </c>
      <c r="M9" s="187" t="str">
        <f t="shared" si="1"/>
        <v>2030-31</v>
      </c>
      <c r="N9" s="187" t="str">
        <f t="shared" si="1"/>
        <v>2031-32</v>
      </c>
      <c r="O9" s="187" t="str">
        <f t="shared" si="1"/>
        <v>2032-33</v>
      </c>
      <c r="P9" s="187" t="str">
        <f t="shared" si="1"/>
        <v>2033-34</v>
      </c>
      <c r="Q9" s="187" t="str">
        <f t="shared" si="1"/>
        <v>2034-35</v>
      </c>
      <c r="R9" s="187" t="str">
        <f t="shared" si="1"/>
        <v>2035-36</v>
      </c>
      <c r="S9" s="187" t="str">
        <f t="shared" si="1"/>
        <v>2036-37</v>
      </c>
      <c r="T9" s="187" t="str">
        <f t="shared" si="1"/>
        <v>2037-38</v>
      </c>
      <c r="U9" s="187" t="str">
        <f t="shared" si="1"/>
        <v>2038-39</v>
      </c>
      <c r="V9" s="187" t="str">
        <f t="shared" si="1"/>
        <v>2039-40</v>
      </c>
      <c r="W9" s="187" t="str">
        <f t="shared" si="1"/>
        <v>2040-41</v>
      </c>
      <c r="X9" s="187" t="str">
        <f t="shared" si="1"/>
        <v>2041-42</v>
      </c>
      <c r="Y9" s="187" t="str">
        <f t="shared" si="1"/>
        <v>2042-43</v>
      </c>
      <c r="Z9" s="187" t="str">
        <f t="shared" si="1"/>
        <v>2043-44</v>
      </c>
      <c r="AA9" s="187" t="str">
        <f t="shared" si="1"/>
        <v>2044-45</v>
      </c>
      <c r="AB9" s="187" t="str">
        <f t="shared" si="1"/>
        <v>2045-46</v>
      </c>
      <c r="AC9" s="187" t="str">
        <f t="shared" si="1"/>
        <v>2046-47</v>
      </c>
      <c r="AD9" s="187" t="str">
        <f t="shared" si="1"/>
        <v>2047-48</v>
      </c>
      <c r="AE9" s="187" t="str">
        <f t="shared" si="1"/>
        <v>2048-49</v>
      </c>
      <c r="AF9" s="187" t="str">
        <f t="shared" si="1"/>
        <v>2049-50</v>
      </c>
      <c r="AG9" s="187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81.482802725768195</v>
      </c>
      <c r="J27" s="172">
        <f>INDEX(Workings_risks!I$47:I$51, MATCH($A$3, Workings_risks!$C$47:$C$51,0))</f>
        <v>89.747333419345836</v>
      </c>
      <c r="K27" s="172">
        <f>INDEX(Workings_risks!J$47:J$51, MATCH($A$3, Workings_risks!$C$47:$C$51,0))</f>
        <v>99.348098173954838</v>
      </c>
      <c r="L27" s="172">
        <f>INDEX(Workings_risks!K$47:K$51, MATCH($A$3, Workings_risks!$C$47:$C$51,0))</f>
        <v>110.37839374016018</v>
      </c>
      <c r="M27" s="172">
        <f>INDEX(Workings_risks!L$47:L$51, MATCH($A$3, Workings_risks!$C$47:$C$51,0))</f>
        <v>123.0369581592673</v>
      </c>
      <c r="N27" s="172">
        <f>INDEX(Workings_risks!M$47:M$51, MATCH($A$3, Workings_risks!$C$47:$C$51,0))</f>
        <v>137.58718552963941</v>
      </c>
      <c r="O27" s="172">
        <f>INDEX(Workings_risks!N$47:N$51, MATCH($A$3, Workings_risks!$C$47:$C$51,0))</f>
        <v>154.31769732751448</v>
      </c>
      <c r="P27" s="172">
        <f>INDEX(Workings_risks!O$47:O$51, MATCH($A$3, Workings_risks!$C$47:$C$51,0))</f>
        <v>173.47020636771506</v>
      </c>
      <c r="Q27" s="172">
        <f>INDEX(Workings_risks!P$47:P$51, MATCH($A$3, Workings_risks!$C$47:$C$51,0))</f>
        <v>194.471841731654</v>
      </c>
      <c r="R27" s="172">
        <f>INDEX(Workings_risks!Q$47:Q$51, MATCH($A$3, Workings_risks!$C$47:$C$51,0))</f>
        <v>216.81897905089423</v>
      </c>
      <c r="S27" s="172">
        <f>INDEX(Workings_risks!R$47:R$51, MATCH($A$3, Workings_risks!$C$47:$C$51,0))</f>
        <v>240.38183034943899</v>
      </c>
      <c r="T27" s="172">
        <f>INDEX(Workings_risks!S$47:S$51, MATCH($A$3, Workings_risks!$C$47:$C$51,0))</f>
        <v>266.48396923081776</v>
      </c>
      <c r="U27" s="172">
        <f>INDEX(Workings_risks!T$47:T$51, MATCH($A$3, Workings_risks!$C$47:$C$51,0))</f>
        <v>294.87360063466326</v>
      </c>
      <c r="V27" s="172">
        <f>INDEX(Workings_risks!U$47:U$51, MATCH($A$3, Workings_risks!$C$47:$C$51,0))</f>
        <v>324.09447684967438</v>
      </c>
      <c r="W27" s="172">
        <f>INDEX(Workings_risks!V$47:V$51, MATCH($A$3, Workings_risks!$C$47:$C$51,0))</f>
        <v>351.83893572933493</v>
      </c>
      <c r="X27" s="172">
        <f>INDEX(Workings_risks!W$47:W$51, MATCH($A$3, Workings_risks!$C$47:$C$51,0))</f>
        <v>378.56500204462372</v>
      </c>
      <c r="Y27" s="172">
        <f>INDEX(Workings_risks!X$47:X$51, MATCH($A$3, Workings_risks!$C$47:$C$51,0))</f>
        <v>404.73313557229267</v>
      </c>
      <c r="Z27" s="172">
        <f>INDEX(Workings_risks!Y$47:Y$51, MATCH($A$3, Workings_risks!$C$47:$C$51,0))</f>
        <v>429.36526672120709</v>
      </c>
      <c r="AA27" s="172">
        <f>INDEX(Workings_risks!Z$47:Z$51, MATCH($A$3, Workings_risks!$C$47:$C$51,0))</f>
        <v>451.91731769370796</v>
      </c>
      <c r="AB27" s="172">
        <f>INDEX(Workings_risks!AA$47:AA$51, MATCH($A$3, Workings_risks!$C$47:$C$51,0))</f>
        <v>471.5884488492851</v>
      </c>
      <c r="AC27" s="172">
        <f>INDEX(Workings_risks!AB$47:AB$51, MATCH($A$3, Workings_risks!$C$47:$C$51,0))</f>
        <v>491.42861392235045</v>
      </c>
      <c r="AD27" s="172">
        <f>INDEX(Workings_risks!AC$47:AC$51, MATCH($A$3, Workings_risks!$C$47:$C$51,0))</f>
        <v>511.67485799902568</v>
      </c>
      <c r="AE27" s="172">
        <f>INDEX(Workings_risks!AD$47:AD$51, MATCH($A$3, Workings_risks!$C$47:$C$51,0))</f>
        <v>531.9748204153118</v>
      </c>
      <c r="AF27" s="172">
        <f>INDEX(Workings_risks!AE$47:AE$51, MATCH($A$3, Workings_risks!$C$47:$C$51,0))</f>
        <v>552.70228622052355</v>
      </c>
      <c r="AG27" s="172">
        <f>INDEX(Workings_risks!AF$47:AF$51, MATCH($A$3, Workings_risks!$C$47:$C$51,0))</f>
        <v>573.52782096648707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3896490.5458144434</v>
      </c>
      <c r="J28" s="302">
        <f t="shared" ref="J28:AG28" si="3">J27*$E$28</f>
        <v>4291698.6711595813</v>
      </c>
      <c r="K28" s="302">
        <f t="shared" si="3"/>
        <v>4750805.2292001061</v>
      </c>
      <c r="L28" s="302">
        <f t="shared" si="3"/>
        <v>5278271.6509910468</v>
      </c>
      <c r="M28" s="302">
        <f t="shared" si="3"/>
        <v>5883601.5480079018</v>
      </c>
      <c r="N28" s="302">
        <f t="shared" si="3"/>
        <v>6579390.3708213847</v>
      </c>
      <c r="O28" s="302">
        <f t="shared" si="3"/>
        <v>7379439.9379239827</v>
      </c>
      <c r="P28" s="302">
        <f t="shared" si="3"/>
        <v>8295308.9054523529</v>
      </c>
      <c r="Q28" s="302">
        <f t="shared" si="3"/>
        <v>9299602.7061656099</v>
      </c>
      <c r="R28" s="302">
        <f t="shared" si="3"/>
        <v>10368238.128335495</v>
      </c>
      <c r="S28" s="302">
        <f t="shared" si="3"/>
        <v>11495008.738156166</v>
      </c>
      <c r="T28" s="302">
        <f t="shared" si="3"/>
        <v>12743207.547899172</v>
      </c>
      <c r="U28" s="302">
        <f t="shared" si="3"/>
        <v>14100793.770559357</v>
      </c>
      <c r="V28" s="302">
        <f t="shared" si="3"/>
        <v>15498129.945842858</v>
      </c>
      <c r="W28" s="302">
        <f t="shared" si="3"/>
        <v>16824864.15363843</v>
      </c>
      <c r="X28" s="302">
        <f t="shared" si="3"/>
        <v>18102899.042482529</v>
      </c>
      <c r="Y28" s="302">
        <f t="shared" si="3"/>
        <v>19354253.702377245</v>
      </c>
      <c r="Z28" s="302">
        <f t="shared" si="3"/>
        <v>20532157.05049875</v>
      </c>
      <c r="AA28" s="302">
        <f t="shared" si="3"/>
        <v>21610591.400613289</v>
      </c>
      <c r="AB28" s="302">
        <f t="shared" si="3"/>
        <v>22551260.76898472</v>
      </c>
      <c r="AC28" s="302">
        <f t="shared" si="3"/>
        <v>23500013.303857327</v>
      </c>
      <c r="AD28" s="302">
        <f t="shared" si="3"/>
        <v>24468184.451559745</v>
      </c>
      <c r="AE28" s="302">
        <f t="shared" si="3"/>
        <v>25438924.399001848</v>
      </c>
      <c r="AF28" s="302">
        <f t="shared" si="3"/>
        <v>26430107.468888551</v>
      </c>
      <c r="AG28" s="302">
        <f t="shared" si="3"/>
        <v>27425980.174964666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289" t="s">
        <v>114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937071.22949347389</v>
      </c>
      <c r="J30" s="32">
        <f>INDEX(Workings_risks!I$62:I$160, MATCH($A$3&amp;$C30, Workings_risks!$E$62:$E$160,0))</f>
        <v>1032115.2593887324</v>
      </c>
      <c r="K30" s="32">
        <f>INDEX(Workings_risks!J$62:J$160, MATCH($A$3&amp;$C30, Workings_risks!$E$62:$E$160,0))</f>
        <v>1142526.2925359015</v>
      </c>
      <c r="L30" s="32">
        <f>INDEX(Workings_risks!K$62:K$160, MATCH($A$3&amp;$C30, Workings_risks!$E$62:$E$160,0))</f>
        <v>1269377.2633191114</v>
      </c>
      <c r="M30" s="32">
        <f>INDEX(Workings_risks!L$62:L$160, MATCH($A$3&amp;$C30, Workings_risks!$E$62:$E$160,0))</f>
        <v>1414953.705550201</v>
      </c>
      <c r="N30" s="32">
        <f>INDEX(Workings_risks!M$62:M$160, MATCH($A$3&amp;$C30, Workings_risks!$E$62:$E$160,0))</f>
        <v>1582284.7127720765</v>
      </c>
      <c r="O30" s="32">
        <f>INDEX(Workings_risks!N$62:N$160, MATCH($A$3&amp;$C30, Workings_risks!$E$62:$E$160,0))</f>
        <v>1774689.4992551012</v>
      </c>
      <c r="P30" s="32">
        <f>INDEX(Workings_risks!O$62:O$160, MATCH($A$3&amp;$C30, Workings_risks!$E$62:$E$160,0))</f>
        <v>1994947.8187263578</v>
      </c>
      <c r="Q30" s="32">
        <f>INDEX(Workings_risks!P$62:P$160, MATCH($A$3&amp;$C30, Workings_risks!$E$62:$E$160,0))</f>
        <v>2236471.5220542043</v>
      </c>
      <c r="R30" s="32">
        <f>INDEX(Workings_risks!Q$62:Q$160, MATCH($A$3&amp;$C30, Workings_risks!$E$62:$E$160,0))</f>
        <v>2493468.8115789252</v>
      </c>
      <c r="S30" s="32">
        <f>INDEX(Workings_risks!R$62:R$160, MATCH($A$3&amp;$C30, Workings_risks!$E$62:$E$160,0))</f>
        <v>2764447.0953158024</v>
      </c>
      <c r="T30" s="32">
        <f>INDEX(Workings_risks!S$62:S$160, MATCH($A$3&amp;$C30, Workings_risks!$E$62:$E$160,0))</f>
        <v>3064627.7783036241</v>
      </c>
      <c r="U30" s="32">
        <f>INDEX(Workings_risks!T$62:T$160, MATCH($A$3&amp;$C30, Workings_risks!$E$62:$E$160,0))</f>
        <v>3391115.1586408131</v>
      </c>
      <c r="V30" s="32">
        <f>INDEX(Workings_risks!U$62:U$160, MATCH($A$3&amp;$C30, Workings_risks!$E$62:$E$160,0))</f>
        <v>3727162.0481155384</v>
      </c>
      <c r="W30" s="32">
        <f>INDEX(Workings_risks!V$62:V$160, MATCH($A$3&amp;$C30, Workings_risks!$E$62:$E$160,0))</f>
        <v>4046229.7939992091</v>
      </c>
      <c r="X30" s="32">
        <f>INDEX(Workings_risks!W$62:W$160, MATCH($A$3&amp;$C30, Workings_risks!$E$62:$E$160,0))</f>
        <v>4353585.7879489828</v>
      </c>
      <c r="Y30" s="32">
        <f>INDEX(Workings_risks!X$62:X$160, MATCH($A$3&amp;$C30, Workings_risks!$E$62:$E$160,0))</f>
        <v>4654525.4247561423</v>
      </c>
      <c r="Z30" s="32">
        <f>INDEX(Workings_risks!Y$62:Y$160, MATCH($A$3&amp;$C30, Workings_risks!$E$62:$E$160,0))</f>
        <v>4937800.6760805333</v>
      </c>
      <c r="AA30" s="32">
        <f>INDEX(Workings_risks!Z$62:Z$160, MATCH($A$3&amp;$C30, Workings_risks!$E$62:$E$160,0))</f>
        <v>5197154.5203944538</v>
      </c>
      <c r="AB30" s="32">
        <f>INDEX(Workings_risks!AA$62:AA$160, MATCH($A$3&amp;$C30, Workings_risks!$E$62:$E$160,0))</f>
        <v>5423377.1151120365</v>
      </c>
      <c r="AC30" s="32">
        <f>INDEX(Workings_risks!AB$62:AB$160, MATCH($A$3&amp;$C30, Workings_risks!$E$62:$E$160,0))</f>
        <v>5651543.6392918844</v>
      </c>
      <c r="AD30" s="32">
        <f>INDEX(Workings_risks!AC$62:AC$160, MATCH($A$3&amp;$C30, Workings_risks!$E$62:$E$160,0))</f>
        <v>5884380.1666927179</v>
      </c>
      <c r="AE30" s="32">
        <f>INDEX(Workings_risks!AD$62:AD$160, MATCH($A$3&amp;$C30, Workings_risks!$E$62:$E$160,0))</f>
        <v>6117834.4675237909</v>
      </c>
      <c r="AF30" s="32">
        <f>INDEX(Workings_risks!AE$62:AE$160, MATCH($A$3&amp;$C30, Workings_risks!$E$62:$E$160,0))</f>
        <v>6356205.1570021892</v>
      </c>
      <c r="AG30" s="32">
        <f>INDEX(Workings_risks!AF$62:AF$160, MATCH($A$3&amp;$C30, Workings_risks!$E$62:$E$160,0))</f>
        <v>6595703.6621645261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289" t="s">
        <v>116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2159114.732966444</v>
      </c>
      <c r="J31" s="32">
        <f>INDEX(Workings_risks!I$62:I$160, MATCH($A$3&amp;$C31, Workings_risks!$E$62:$E$160,0))</f>
        <v>2378106.5862733489</v>
      </c>
      <c r="K31" s="32">
        <f>INDEX(Workings_risks!J$62:J$160, MATCH($A$3&amp;$C31, Workings_risks!$E$62:$E$160,0))</f>
        <v>2632505.6979384883</v>
      </c>
      <c r="L31" s="32">
        <f>INDEX(Workings_risks!K$62:K$160, MATCH($A$3&amp;$C31, Workings_risks!$E$62:$E$160,0))</f>
        <v>2924784.2262817076</v>
      </c>
      <c r="M31" s="32">
        <f>INDEX(Workings_risks!L$62:L$160, MATCH($A$3&amp;$C31, Workings_risks!$E$62:$E$160,0))</f>
        <v>3260208.2914980575</v>
      </c>
      <c r="N31" s="32">
        <f>INDEX(Workings_risks!M$62:M$160, MATCH($A$3&amp;$C31, Workings_risks!$E$62:$E$160,0))</f>
        <v>3645757.256831415</v>
      </c>
      <c r="O31" s="32">
        <f>INDEX(Workings_risks!N$62:N$160, MATCH($A$3&amp;$C31, Workings_risks!$E$62:$E$160,0))</f>
        <v>4089078.9554533176</v>
      </c>
      <c r="P31" s="32">
        <f>INDEX(Workings_risks!O$62:O$160, MATCH($A$3&amp;$C31, Workings_risks!$E$62:$E$160,0))</f>
        <v>4596578.244366372</v>
      </c>
      <c r="Q31" s="32">
        <f>INDEX(Workings_risks!P$62:P$160, MATCH($A$3&amp;$C31, Workings_risks!$E$62:$E$160,0))</f>
        <v>5153075.306492216</v>
      </c>
      <c r="R31" s="32">
        <f>INDEX(Workings_risks!Q$62:Q$160, MATCH($A$3&amp;$C31, Workings_risks!$E$62:$E$160,0))</f>
        <v>5745225.205753563</v>
      </c>
      <c r="S31" s="32">
        <f>INDEX(Workings_risks!R$62:R$160, MATCH($A$3&amp;$C31, Workings_risks!$E$62:$E$160,0))</f>
        <v>6369588.8467614185</v>
      </c>
      <c r="T31" s="32">
        <f>INDEX(Workings_risks!S$62:S$160, MATCH($A$3&amp;$C31, Workings_risks!$E$62:$E$160,0))</f>
        <v>7061238.0136462813</v>
      </c>
      <c r="U31" s="32">
        <f>INDEX(Workings_risks!T$62:T$160, MATCH($A$3&amp;$C31, Workings_risks!$E$62:$E$160,0))</f>
        <v>7813500.6921138335</v>
      </c>
      <c r="V31" s="32">
        <f>INDEX(Workings_risks!U$62:U$160, MATCH($A$3&amp;$C31, Workings_risks!$E$62:$E$160,0))</f>
        <v>8587789.5265118591</v>
      </c>
      <c r="W31" s="32">
        <f>INDEX(Workings_risks!V$62:V$160, MATCH($A$3&amp;$C31, Workings_risks!$E$62:$E$160,0))</f>
        <v>9322956.5546621177</v>
      </c>
      <c r="X31" s="32">
        <f>INDEX(Workings_risks!W$62:W$160, MATCH($A$3&amp;$C31, Workings_risks!$E$62:$E$160,0))</f>
        <v>10031138.423783438</v>
      </c>
      <c r="Y31" s="32">
        <f>INDEX(Workings_risks!X$62:X$160, MATCH($A$3&amp;$C31, Workings_risks!$E$62:$E$160,0))</f>
        <v>10724536.303382339</v>
      </c>
      <c r="Z31" s="32">
        <f>INDEX(Workings_risks!Y$62:Y$160, MATCH($A$3&amp;$C31, Workings_risks!$E$62:$E$160,0))</f>
        <v>11377233.504372995</v>
      </c>
      <c r="AA31" s="32">
        <f>INDEX(Workings_risks!Z$62:Z$160, MATCH($A$3&amp;$C31, Workings_risks!$E$62:$E$160,0))</f>
        <v>11974813.163938856</v>
      </c>
      <c r="AB31" s="32">
        <f>INDEX(Workings_risks!AA$62:AA$160, MATCH($A$3&amp;$C31, Workings_risks!$E$62:$E$160,0))</f>
        <v>12496054.796177048</v>
      </c>
      <c r="AC31" s="32">
        <f>INDEX(Workings_risks!AB$62:AB$160, MATCH($A$3&amp;$C31, Workings_risks!$E$62:$E$160,0))</f>
        <v>13021775.454779219</v>
      </c>
      <c r="AD31" s="32">
        <f>INDEX(Workings_risks!AC$62:AC$160, MATCH($A$3&amp;$C31, Workings_risks!$E$62:$E$160,0))</f>
        <v>13558256.312222281</v>
      </c>
      <c r="AE31" s="32">
        <f>INDEX(Workings_risks!AD$62:AD$160, MATCH($A$3&amp;$C31, Workings_risks!$E$62:$E$160,0))</f>
        <v>14096160.587302005</v>
      </c>
      <c r="AF31" s="32">
        <f>INDEX(Workings_risks!AE$62:AE$160, MATCH($A$3&amp;$C31, Workings_risks!$E$62:$E$160,0))</f>
        <v>14645392.76022698</v>
      </c>
      <c r="AG31" s="32">
        <f>INDEX(Workings_risks!AF$62:AF$160, MATCH($A$3&amp;$C31, Workings_risks!$E$62:$E$160,0))</f>
        <v>15197223.543996703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289" t="s">
        <v>115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128429.59922776051</v>
      </c>
      <c r="J32" s="32">
        <f>INDEX(Workings_risks!I$62:I$160, MATCH($A$3&amp;$C32, Workings_risks!$E$62:$E$160,0))</f>
        <v>141455.78793599503</v>
      </c>
      <c r="K32" s="32">
        <f>INDEX(Workings_risks!J$62:J$160, MATCH($A$3&amp;$C32, Workings_risks!$E$62:$E$160,0))</f>
        <v>156588.0898262994</v>
      </c>
      <c r="L32" s="32">
        <f>INDEX(Workings_risks!K$62:K$160, MATCH($A$3&amp;$C32, Workings_risks!$E$62:$E$160,0))</f>
        <v>173973.55512134018</v>
      </c>
      <c r="M32" s="32">
        <f>INDEX(Workings_risks!L$62:L$160, MATCH($A$3&amp;$C32, Workings_risks!$E$62:$E$160,0))</f>
        <v>193925.42595494608</v>
      </c>
      <c r="N32" s="32">
        <f>INDEX(Workings_risks!M$62:M$160, MATCH($A$3&amp;$C32, Workings_risks!$E$62:$E$160,0))</f>
        <v>216858.85248592531</v>
      </c>
      <c r="O32" s="32">
        <f>INDEX(Workings_risks!N$62:N$160, MATCH($A$3&amp;$C32, Workings_risks!$E$62:$E$160,0))</f>
        <v>243228.74715324401</v>
      </c>
      <c r="P32" s="32">
        <f>INDEX(Workings_risks!O$62:O$160, MATCH($A$3&amp;$C32, Workings_risks!$E$62:$E$160,0))</f>
        <v>273416.08703301405</v>
      </c>
      <c r="Q32" s="32">
        <f>INDEX(Workings_risks!P$62:P$160, MATCH($A$3&amp;$C32, Workings_risks!$E$62:$E$160,0))</f>
        <v>306517.93825425667</v>
      </c>
      <c r="R32" s="32">
        <f>INDEX(Workings_risks!Q$62:Q$160, MATCH($A$3&amp;$C32, Workings_risks!$E$62:$E$160,0))</f>
        <v>341740.51030368538</v>
      </c>
      <c r="S32" s="32">
        <f>INDEX(Workings_risks!R$62:R$160, MATCH($A$3&amp;$C32, Workings_risks!$E$62:$E$160,0))</f>
        <v>378879.23709883547</v>
      </c>
      <c r="T32" s="32">
        <f>INDEX(Workings_risks!S$62:S$160, MATCH($A$3&amp;$C32, Workings_risks!$E$62:$E$160,0))</f>
        <v>420020.27696714981</v>
      </c>
      <c r="U32" s="32">
        <f>INDEX(Workings_risks!T$62:T$160, MATCH($A$3&amp;$C32, Workings_risks!$E$62:$E$160,0))</f>
        <v>464766.761641844</v>
      </c>
      <c r="V32" s="32">
        <f>INDEX(Workings_risks!U$62:U$160, MATCH($A$3&amp;$C32, Workings_risks!$E$62:$E$160,0))</f>
        <v>510823.41771942249</v>
      </c>
      <c r="W32" s="32">
        <f>INDEX(Workings_risks!V$62:V$160, MATCH($A$3&amp;$C32, Workings_risks!$E$62:$E$160,0))</f>
        <v>554553.0099218156</v>
      </c>
      <c r="X32" s="32">
        <f>INDEX(Workings_risks!W$62:W$160, MATCH($A$3&amp;$C32, Workings_risks!$E$62:$E$160,0))</f>
        <v>596677.45668831863</v>
      </c>
      <c r="Y32" s="32">
        <f>INDEX(Workings_risks!X$62:X$160, MATCH($A$3&amp;$C32, Workings_risks!$E$62:$E$160,0))</f>
        <v>637922.5144069118</v>
      </c>
      <c r="Z32" s="32">
        <f>INDEX(Workings_risks!Y$62:Y$160, MATCH($A$3&amp;$C32, Workings_risks!$E$62:$E$160,0))</f>
        <v>676746.59293336491</v>
      </c>
      <c r="AA32" s="32">
        <f>INDEX(Workings_risks!Z$62:Z$160, MATCH($A$3&amp;$C32, Workings_risks!$E$62:$E$160,0))</f>
        <v>712292.1408437629</v>
      </c>
      <c r="AB32" s="32">
        <f>INDEX(Workings_risks!AA$62:AA$160, MATCH($A$3&amp;$C32, Workings_risks!$E$62:$E$160,0))</f>
        <v>743296.91002395411</v>
      </c>
      <c r="AC32" s="32">
        <f>INDEX(Workings_risks!AB$62:AB$160, MATCH($A$3&amp;$C32, Workings_risks!$E$62:$E$160,0))</f>
        <v>774568.10300834314</v>
      </c>
      <c r="AD32" s="32">
        <f>INDEX(Workings_risks!AC$62:AC$160, MATCH($A$3&amp;$C32, Workings_risks!$E$62:$E$160,0))</f>
        <v>806479.33980496996</v>
      </c>
      <c r="AE32" s="32">
        <f>INDEX(Workings_risks!AD$62:AD$160, MATCH($A$3&amp;$C32, Workings_risks!$E$62:$E$160,0))</f>
        <v>838475.245078829</v>
      </c>
      <c r="AF32" s="32">
        <f>INDEX(Workings_risks!AE$62:AE$160, MATCH($A$3&amp;$C32, Workings_risks!$E$62:$E$160,0))</f>
        <v>871144.96233597246</v>
      </c>
      <c r="AG32" s="32">
        <f>INDEX(Workings_risks!AF$62:AF$160, MATCH($A$3&amp;$C32, Workings_risks!$E$62:$E$160,0))</f>
        <v>903969.25153144065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298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400238.05280161236</v>
      </c>
      <c r="J33" s="32">
        <f>INDEX(Workings_risks!I$62:I$160, MATCH($A$3&amp;$C33, Workings_risks!$E$62:$E$160,0))</f>
        <v>440832.87233978003</v>
      </c>
      <c r="K33" s="32">
        <f>INDEX(Workings_risks!J$62:J$160, MATCH($A$3&amp;$C33, Workings_risks!$E$62:$E$160,0))</f>
        <v>487991.18381469772</v>
      </c>
      <c r="L33" s="32">
        <f>INDEX(Workings_risks!K$62:K$160, MATCH($A$3&amp;$C33, Workings_risks!$E$62:$E$160,0))</f>
        <v>542171.25459726749</v>
      </c>
      <c r="M33" s="32">
        <f>INDEX(Workings_risks!L$62:L$160, MATCH($A$3&amp;$C33, Workings_risks!$E$62:$E$160,0))</f>
        <v>604349.27259473864</v>
      </c>
      <c r="N33" s="32">
        <f>INDEX(Workings_risks!M$62:M$160, MATCH($A$3&amp;$C33, Workings_risks!$E$62:$E$160,0))</f>
        <v>675819.01192289765</v>
      </c>
      <c r="O33" s="32">
        <f>INDEX(Workings_risks!N$62:N$160, MATCH($A$3&amp;$C33, Workings_risks!$E$62:$E$160,0))</f>
        <v>757998.16188282298</v>
      </c>
      <c r="P33" s="32">
        <f>INDEX(Workings_risks!O$62:O$160, MATCH($A$3&amp;$C33, Workings_risks!$E$62:$E$160,0))</f>
        <v>852073.99958214397</v>
      </c>
      <c r="Q33" s="32">
        <f>INDEX(Workings_risks!P$62:P$160, MATCH($A$3&amp;$C33, Workings_risks!$E$62:$E$160,0))</f>
        <v>955232.62155544281</v>
      </c>
      <c r="R33" s="32">
        <f>INDEX(Workings_risks!Q$62:Q$160, MATCH($A$3&amp;$C33, Workings_risks!$E$62:$E$160,0))</f>
        <v>1065000.2587395089</v>
      </c>
      <c r="S33" s="32">
        <f>INDEX(Workings_risks!R$62:R$160, MATCH($A$3&amp;$C33, Workings_risks!$E$62:$E$160,0))</f>
        <v>1180739.4013156774</v>
      </c>
      <c r="T33" s="32">
        <f>INDEX(Workings_risks!S$62:S$160, MATCH($A$3&amp;$C33, Workings_risks!$E$62:$E$160,0))</f>
        <v>1308951.3539040056</v>
      </c>
      <c r="U33" s="32">
        <f>INDEX(Workings_risks!T$62:T$160, MATCH($A$3&amp;$C33, Workings_risks!$E$62:$E$160,0))</f>
        <v>1448399.316084095</v>
      </c>
      <c r="V33" s="32">
        <f>INDEX(Workings_risks!U$62:U$160, MATCH($A$3&amp;$C33, Workings_risks!$E$62:$E$160,0))</f>
        <v>1591930.2969318423</v>
      </c>
      <c r="W33" s="32">
        <f>INDEX(Workings_risks!V$62:V$160, MATCH($A$3&amp;$C33, Workings_risks!$E$62:$E$160,0))</f>
        <v>1728209.215017193</v>
      </c>
      <c r="X33" s="32">
        <f>INDEX(Workings_risks!W$62:W$160, MATCH($A$3&amp;$C33, Workings_risks!$E$62:$E$160,0))</f>
        <v>1859485.8572441202</v>
      </c>
      <c r="Y33" s="32">
        <f>INDEX(Workings_risks!X$62:X$160, MATCH($A$3&amp;$C33, Workings_risks!$E$62:$E$160,0))</f>
        <v>1988021.9711013655</v>
      </c>
      <c r="Z33" s="32">
        <f>INDEX(Workings_risks!Y$62:Y$160, MATCH($A$3&amp;$C33, Workings_risks!$E$62:$E$160,0))</f>
        <v>2109013.3444660637</v>
      </c>
      <c r="AA33" s="32">
        <f>INDEX(Workings_risks!Z$62:Z$160, MATCH($A$3&amp;$C33, Workings_risks!$E$62:$E$160,0))</f>
        <v>2219787.5037484122</v>
      </c>
      <c r="AB33" s="32">
        <f>INDEX(Workings_risks!AA$62:AA$160, MATCH($A$3&amp;$C33, Workings_risks!$E$62:$E$160,0))</f>
        <v>2316410.7784363306</v>
      </c>
      <c r="AC33" s="32">
        <f>INDEX(Workings_risks!AB$62:AB$160, MATCH($A$3&amp;$C33, Workings_risks!$E$62:$E$160,0))</f>
        <v>2413864.3363708938</v>
      </c>
      <c r="AD33" s="32">
        <f>INDEX(Workings_risks!AC$62:AC$160, MATCH($A$3&amp;$C33, Workings_risks!$E$62:$E$160,0))</f>
        <v>2513312.5270899404</v>
      </c>
      <c r="AE33" s="32">
        <f>INDEX(Workings_risks!AD$62:AD$160, MATCH($A$3&amp;$C33, Workings_risks!$E$62:$E$160,0))</f>
        <v>2613024.5786842438</v>
      </c>
      <c r="AF33" s="32">
        <f>INDEX(Workings_risks!AE$62:AE$160, MATCH($A$3&amp;$C33, Workings_risks!$E$62:$E$160,0))</f>
        <v>2714836.4982043668</v>
      </c>
      <c r="AG33" s="32">
        <f>INDEX(Workings_risks!AF$62:AF$160, MATCH($A$3&amp;$C33, Workings_risks!$E$62:$E$160,0))</f>
        <v>2817130.1257729828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7521344.1603037352</v>
      </c>
      <c r="J36" s="108">
        <f t="shared" ref="J36:AB36" si="4">SUM(J28:J34)</f>
        <v>8284209.1770974388</v>
      </c>
      <c r="K36" s="108">
        <f t="shared" si="4"/>
        <v>9170416.4933154918</v>
      </c>
      <c r="L36" s="108">
        <f t="shared" si="4"/>
        <v>10188577.950310472</v>
      </c>
      <c r="M36" s="108">
        <f t="shared" si="4"/>
        <v>11357038.243605845</v>
      </c>
      <c r="N36" s="108">
        <f t="shared" si="4"/>
        <v>12700110.204833699</v>
      </c>
      <c r="O36" s="108">
        <f t="shared" si="4"/>
        <v>14244435.301668471</v>
      </c>
      <c r="P36" s="108">
        <f t="shared" si="4"/>
        <v>16012325.055160241</v>
      </c>
      <c r="Q36" s="108">
        <f t="shared" si="4"/>
        <v>17950900.094521731</v>
      </c>
      <c r="R36" s="108">
        <f t="shared" si="4"/>
        <v>20013672.914711177</v>
      </c>
      <c r="S36" s="108">
        <f t="shared" si="4"/>
        <v>22188663.318647902</v>
      </c>
      <c r="T36" s="108">
        <f t="shared" si="4"/>
        <v>24598044.970720232</v>
      </c>
      <c r="U36" s="108">
        <f t="shared" si="4"/>
        <v>27218575.699039944</v>
      </c>
      <c r="V36" s="108">
        <f t="shared" si="4"/>
        <v>29915835.235121526</v>
      </c>
      <c r="W36" s="108">
        <f t="shared" si="4"/>
        <v>32476812.727238763</v>
      </c>
      <c r="X36" s="108">
        <f t="shared" si="4"/>
        <v>34943786.568147391</v>
      </c>
      <c r="Y36" s="108">
        <f t="shared" si="4"/>
        <v>37359259.916024007</v>
      </c>
      <c r="Z36" s="108">
        <f t="shared" si="4"/>
        <v>39632951.168351702</v>
      </c>
      <c r="AA36" s="108">
        <f t="shared" si="4"/>
        <v>41714638.729538776</v>
      </c>
      <c r="AB36" s="108">
        <f t="shared" si="4"/>
        <v>43530400.368734092</v>
      </c>
      <c r="AC36" s="108">
        <f>SUM(AC28:AC34)</f>
        <v>45361764.837307669</v>
      </c>
      <c r="AD36" s="108">
        <f>SUM(AD28:AD34)</f>
        <v>47230612.797369651</v>
      </c>
      <c r="AE36" s="108">
        <f>SUM(AE28:AE34)</f>
        <v>49104419.277590714</v>
      </c>
      <c r="AF36" s="108">
        <f>SUM(AF28:AF34)</f>
        <v>51017686.846658058</v>
      </c>
      <c r="AG36" s="108">
        <f>SUM(AG28:AG34)</f>
        <v>52940006.758430317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</row>
    <row r="64" spans="1:43" x14ac:dyDescent="0.2">
      <c r="C64" s="4" t="s">
        <v>121</v>
      </c>
      <c r="G64" s="214">
        <f>input_dollars</f>
        <v>45291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4" t="s">
        <v>188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3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3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/>
      <c r="D90" s="82"/>
      <c r="E90" s="235"/>
      <c r="F90" s="236"/>
      <c r="G90" s="2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5"/>
      <c r="D91" s="235"/>
      <c r="E91" s="235"/>
      <c r="F91" s="235"/>
      <c r="G91" s="235"/>
    </row>
    <row r="92" spans="1:33" x14ac:dyDescent="0.2">
      <c r="C92" s="235"/>
      <c r="D92" s="235"/>
      <c r="E92" s="235"/>
      <c r="F92" s="235"/>
      <c r="G92" s="235"/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Replace highest 5 delta risk cable sections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IF(INDEX(Misc_calcs!$D$45:$D$63, MATCH(A3, Misc_calcs!$B$45:$B$63,0)), Misc_calcs!$B$66,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51">
        <v>60</v>
      </c>
      <c r="G14" s="211">
        <f>input_dollars</f>
        <v>45291</v>
      </c>
      <c r="H14" s="152"/>
      <c r="I14" s="32">
        <f>Workings_costs!E43</f>
        <v>765966.17600000009</v>
      </c>
      <c r="J14" s="32">
        <f>Workings_costs!F43</f>
        <v>765966.17600000009</v>
      </c>
      <c r="K14" s="32">
        <f>Workings_costs!G43</f>
        <v>765966.17600000009</v>
      </c>
      <c r="L14" s="32">
        <f>Workings_costs!H43</f>
        <v>765966.17600000009</v>
      </c>
      <c r="M14" s="32">
        <f>Workings_costs!I43</f>
        <v>765966.17600000009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1">
        <f>input_dollars</f>
        <v>45291</v>
      </c>
      <c r="H17" s="107"/>
      <c r="I17" s="106">
        <f t="shared" ref="I17:Q17" si="0">SUM(I14:I16)</f>
        <v>765966.17600000009</v>
      </c>
      <c r="J17" s="106">
        <f t="shared" si="0"/>
        <v>765966.17600000009</v>
      </c>
      <c r="K17" s="106">
        <f t="shared" si="0"/>
        <v>765966.17600000009</v>
      </c>
      <c r="L17" s="106">
        <f t="shared" si="0"/>
        <v>765966.17600000009</v>
      </c>
      <c r="M17" s="106">
        <f t="shared" si="0"/>
        <v>765966.17600000009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81.482802725768195</v>
      </c>
      <c r="J27" s="172">
        <f>INDEX(Workings_risks!I$47:I$51, MATCH($A$3, Workings_risks!$C$47:$C$51,0))</f>
        <v>89.681565358087553</v>
      </c>
      <c r="K27" s="172">
        <f>INDEX(Workings_risks!J$47:J$51, MATCH($A$3, Workings_risks!$C$47:$C$51,0))</f>
        <v>99.194715083499659</v>
      </c>
      <c r="L27" s="172">
        <f>INDEX(Workings_risks!K$47:K$51, MATCH($A$3, Workings_risks!$C$47:$C$51,0))</f>
        <v>110.10999013688301</v>
      </c>
      <c r="M27" s="172">
        <f>INDEX(Workings_risks!L$47:L$51, MATCH($A$3, Workings_risks!$C$47:$C$51,0))</f>
        <v>122.61918924615931</v>
      </c>
      <c r="N27" s="172">
        <f>INDEX(Workings_risks!M$47:M$51, MATCH($A$3, Workings_risks!$C$47:$C$51,0))</f>
        <v>136.97704179670464</v>
      </c>
      <c r="O27" s="172">
        <f>INDEX(Workings_risks!N$47:N$51, MATCH($A$3, Workings_risks!$C$47:$C$51,0))</f>
        <v>153.60407287055054</v>
      </c>
      <c r="P27" s="172">
        <f>INDEX(Workings_risks!O$47:O$51, MATCH($A$3, Workings_risks!$C$47:$C$51,0))</f>
        <v>172.63456124911153</v>
      </c>
      <c r="Q27" s="172">
        <f>INDEX(Workings_risks!P$47:P$51, MATCH($A$3, Workings_risks!$C$47:$C$51,0))</f>
        <v>193.56462579852911</v>
      </c>
      <c r="R27" s="172">
        <f>INDEX(Workings_risks!Q$47:Q$51, MATCH($A$3, Workings_risks!$C$47:$C$51,0))</f>
        <v>215.88074913083742</v>
      </c>
      <c r="S27" s="172">
        <f>INDEX(Workings_risks!R$47:R$51, MATCH($A$3, Workings_risks!$C$47:$C$51,0))</f>
        <v>239.42286082171216</v>
      </c>
      <c r="T27" s="172">
        <f>INDEX(Workings_risks!S$47:S$51, MATCH($A$3, Workings_risks!$C$47:$C$51,0))</f>
        <v>265.50161335320666</v>
      </c>
      <c r="U27" s="172">
        <f>INDEX(Workings_risks!T$47:T$51, MATCH($A$3, Workings_risks!$C$47:$C$51,0))</f>
        <v>293.86486771988683</v>
      </c>
      <c r="V27" s="172">
        <f>INDEX(Workings_risks!U$47:U$51, MATCH($A$3, Workings_risks!$C$47:$C$51,0))</f>
        <v>323.05661777215482</v>
      </c>
      <c r="W27" s="172">
        <f>INDEX(Workings_risks!V$47:V$51, MATCH($A$3, Workings_risks!$C$47:$C$51,0))</f>
        <v>350.80107665181538</v>
      </c>
      <c r="X27" s="172">
        <f>INDEX(Workings_risks!W$47:W$51, MATCH($A$3, Workings_risks!$C$47:$C$51,0))</f>
        <v>377.52714296710423</v>
      </c>
      <c r="Y27" s="172">
        <f>INDEX(Workings_risks!X$47:X$51, MATCH($A$3, Workings_risks!$C$47:$C$51,0))</f>
        <v>403.69527649477311</v>
      </c>
      <c r="Z27" s="172">
        <f>INDEX(Workings_risks!Y$47:Y$51, MATCH($A$3, Workings_risks!$C$47:$C$51,0))</f>
        <v>428.32740764368754</v>
      </c>
      <c r="AA27" s="172">
        <f>INDEX(Workings_risks!Z$47:Z$51, MATCH($A$3, Workings_risks!$C$47:$C$51,0))</f>
        <v>450.8794586161884</v>
      </c>
      <c r="AB27" s="172">
        <f>INDEX(Workings_risks!AA$47:AA$51, MATCH($A$3, Workings_risks!$C$47:$C$51,0))</f>
        <v>470.5505897717656</v>
      </c>
      <c r="AC27" s="172">
        <f>INDEX(Workings_risks!AB$47:AB$51, MATCH($A$3, Workings_risks!$C$47:$C$51,0))</f>
        <v>490.39075484483089</v>
      </c>
      <c r="AD27" s="172">
        <f>INDEX(Workings_risks!AC$47:AC$51, MATCH($A$3, Workings_risks!$C$47:$C$51,0))</f>
        <v>510.63699892150612</v>
      </c>
      <c r="AE27" s="172">
        <f>INDEX(Workings_risks!AD$47:AD$51, MATCH($A$3, Workings_risks!$C$47:$C$51,0))</f>
        <v>530.93696133779224</v>
      </c>
      <c r="AF27" s="172">
        <f>INDEX(Workings_risks!AE$47:AE$51, MATCH($A$3, Workings_risks!$C$47:$C$51,0))</f>
        <v>551.66442714300399</v>
      </c>
      <c r="AG27" s="172">
        <f>INDEX(Workings_risks!AF$47:AF$51, MATCH($A$3, Workings_risks!$C$47:$C$51,0))</f>
        <v>572.48996188896751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3896490.5458144434</v>
      </c>
      <c r="J28" s="302">
        <f t="shared" ref="J28:AG28" si="2">J27*$E$28</f>
        <v>4288553.6562565975</v>
      </c>
      <c r="K28" s="302">
        <f t="shared" si="2"/>
        <v>4743470.4819669034</v>
      </c>
      <c r="L28" s="302">
        <f t="shared" si="2"/>
        <v>5265436.6469454477</v>
      </c>
      <c r="M28" s="302">
        <f t="shared" si="2"/>
        <v>5863623.9261563448</v>
      </c>
      <c r="N28" s="302">
        <f t="shared" si="2"/>
        <v>6550213.4254115717</v>
      </c>
      <c r="O28" s="302">
        <f t="shared" si="2"/>
        <v>7345314.5659828596</v>
      </c>
      <c r="P28" s="302">
        <f t="shared" si="2"/>
        <v>8255348.5310497554</v>
      </c>
      <c r="Q28" s="302">
        <f t="shared" si="2"/>
        <v>9256219.8304153699</v>
      </c>
      <c r="R28" s="302">
        <f t="shared" si="2"/>
        <v>10323372.170231363</v>
      </c>
      <c r="S28" s="302">
        <f t="shared" si="2"/>
        <v>11449151.016360717</v>
      </c>
      <c r="T28" s="302">
        <f t="shared" si="2"/>
        <v>12696231.495754534</v>
      </c>
      <c r="U28" s="302">
        <f t="shared" si="2"/>
        <v>14052556.374026664</v>
      </c>
      <c r="V28" s="302">
        <f t="shared" si="2"/>
        <v>15448499.742313253</v>
      </c>
      <c r="W28" s="302">
        <f t="shared" si="2"/>
        <v>16775233.950108824</v>
      </c>
      <c r="X28" s="302">
        <f t="shared" si="2"/>
        <v>18053268.838952925</v>
      </c>
      <c r="Y28" s="302">
        <f t="shared" si="2"/>
        <v>19304623.498847637</v>
      </c>
      <c r="Z28" s="302">
        <f t="shared" si="2"/>
        <v>20482526.846969143</v>
      </c>
      <c r="AA28" s="302">
        <f t="shared" si="2"/>
        <v>21560961.197083682</v>
      </c>
      <c r="AB28" s="302">
        <f t="shared" si="2"/>
        <v>22501630.565455116</v>
      </c>
      <c r="AC28" s="302">
        <f t="shared" si="2"/>
        <v>23450383.100327719</v>
      </c>
      <c r="AD28" s="302">
        <f t="shared" si="2"/>
        <v>24418554.248030137</v>
      </c>
      <c r="AE28" s="302">
        <f t="shared" si="2"/>
        <v>25389294.19547224</v>
      </c>
      <c r="AF28" s="302">
        <f t="shared" si="2"/>
        <v>26380477.265358947</v>
      </c>
      <c r="AG28" s="302">
        <f t="shared" si="2"/>
        <v>27376349.971435063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937071.22949347389</v>
      </c>
      <c r="J30" s="32">
        <f>INDEX(Workings_risks!I$62:I$160, MATCH($A$3&amp;$C30, Workings_risks!$E$62:$E$160,0))</f>
        <v>1031386.601605817</v>
      </c>
      <c r="K30" s="32">
        <f>INDEX(Workings_risks!J$62:J$160, MATCH($A$3&amp;$C30, Workings_risks!$E$62:$E$160,0))</f>
        <v>1140826.9299503323</v>
      </c>
      <c r="L30" s="32">
        <f>INDEX(Workings_risks!K$62:K$160, MATCH($A$3&amp;$C30, Workings_risks!$E$62:$E$160,0))</f>
        <v>1266403.564980607</v>
      </c>
      <c r="M30" s="32">
        <f>INDEX(Workings_risks!L$62:L$160, MATCH($A$3&amp;$C30, Workings_risks!$E$62:$E$160,0))</f>
        <v>1410325.1584382416</v>
      </c>
      <c r="N30" s="32">
        <f>INDEX(Workings_risks!M$62:M$160, MATCH($A$3&amp;$C30, Workings_risks!$E$62:$E$160,0))</f>
        <v>1575524.8057413076</v>
      </c>
      <c r="O30" s="32">
        <f>INDEX(Workings_risks!N$62:N$160, MATCH($A$3&amp;$C30, Workings_risks!$E$62:$E$160,0))</f>
        <v>1766783.1081482782</v>
      </c>
      <c r="P30" s="32">
        <f>INDEX(Workings_risks!O$62:O$160, MATCH($A$3&amp;$C30, Workings_risks!$E$62:$E$160,0))</f>
        <v>1985689.5357881642</v>
      </c>
      <c r="Q30" s="32">
        <f>INDEX(Workings_risks!P$62:P$160, MATCH($A$3&amp;$C30, Workings_risks!$E$62:$E$160,0))</f>
        <v>2226420.29144456</v>
      </c>
      <c r="R30" s="32">
        <f>INDEX(Workings_risks!Q$62:Q$160, MATCH($A$3&amp;$C30, Workings_risks!$E$62:$E$160,0))</f>
        <v>2483073.9706738763</v>
      </c>
      <c r="S30" s="32">
        <f>INDEX(Workings_risks!R$62:R$160, MATCH($A$3&amp;$C30, Workings_risks!$E$62:$E$160,0))</f>
        <v>2753822.4760615937</v>
      </c>
      <c r="T30" s="32">
        <f>INDEX(Workings_risks!S$62:S$160, MATCH($A$3&amp;$C30, Workings_risks!$E$62:$E$160,0))</f>
        <v>3053744.0569027029</v>
      </c>
      <c r="U30" s="32">
        <f>INDEX(Workings_risks!T$62:T$160, MATCH($A$3&amp;$C30, Workings_risks!$E$62:$E$160,0))</f>
        <v>3379939.2006579852</v>
      </c>
      <c r="V30" s="32">
        <f>INDEX(Workings_risks!U$62:U$160, MATCH($A$3&amp;$C30, Workings_risks!$E$62:$E$160,0))</f>
        <v>3715663.3954270552</v>
      </c>
      <c r="W30" s="32">
        <f>INDEX(Workings_risks!V$62:V$160, MATCH($A$3&amp;$C30, Workings_risks!$E$62:$E$160,0))</f>
        <v>4034731.1413107258</v>
      </c>
      <c r="X30" s="32">
        <f>INDEX(Workings_risks!W$62:W$160, MATCH($A$3&amp;$C30, Workings_risks!$E$62:$E$160,0))</f>
        <v>4342087.1352604991</v>
      </c>
      <c r="Y30" s="32">
        <f>INDEX(Workings_risks!X$62:X$160, MATCH($A$3&amp;$C30, Workings_risks!$E$62:$E$160,0))</f>
        <v>4643026.7720676586</v>
      </c>
      <c r="Z30" s="32">
        <f>INDEX(Workings_risks!Y$62:Y$160, MATCH($A$3&amp;$C30, Workings_risks!$E$62:$E$160,0))</f>
        <v>4926302.0233920496</v>
      </c>
      <c r="AA30" s="32">
        <f>INDEX(Workings_risks!Z$62:Z$160, MATCH($A$3&amp;$C30, Workings_risks!$E$62:$E$160,0))</f>
        <v>5185655.8677059701</v>
      </c>
      <c r="AB30" s="32">
        <f>INDEX(Workings_risks!AA$62:AA$160, MATCH($A$3&amp;$C30, Workings_risks!$E$62:$E$160,0))</f>
        <v>5411878.4624235528</v>
      </c>
      <c r="AC30" s="32">
        <f>INDEX(Workings_risks!AB$62:AB$160, MATCH($A$3&amp;$C30, Workings_risks!$E$62:$E$160,0))</f>
        <v>5640044.9866034007</v>
      </c>
      <c r="AD30" s="32">
        <f>INDEX(Workings_risks!AC$62:AC$160, MATCH($A$3&amp;$C30, Workings_risks!$E$62:$E$160,0))</f>
        <v>5872881.5140042342</v>
      </c>
      <c r="AE30" s="32">
        <f>INDEX(Workings_risks!AD$62:AD$160, MATCH($A$3&amp;$C30, Workings_risks!$E$62:$E$160,0))</f>
        <v>6106335.8148353072</v>
      </c>
      <c r="AF30" s="32">
        <f>INDEX(Workings_risks!AE$62:AE$160, MATCH($A$3&amp;$C30, Workings_risks!$E$62:$E$160,0))</f>
        <v>6344706.5043137055</v>
      </c>
      <c r="AG30" s="32">
        <f>INDEX(Workings_risks!AF$62:AF$160, MATCH($A$3&amp;$C30, Workings_risks!$E$62:$E$160,0))</f>
        <v>6584205.0094760424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2159114.732966444</v>
      </c>
      <c r="J31" s="32">
        <f>INDEX(Workings_risks!I$62:I$160, MATCH($A$3&amp;$C31, Workings_risks!$E$62:$E$160,0))</f>
        <v>2366125.3016509954</v>
      </c>
      <c r="K31" s="32">
        <f>INDEX(Workings_risks!J$62:J$160, MATCH($A$3&amp;$C31, Workings_risks!$E$62:$E$160,0))</f>
        <v>2604563.1612749523</v>
      </c>
      <c r="L31" s="32">
        <f>INDEX(Workings_risks!K$62:K$160, MATCH($A$3&amp;$C31, Workings_risks!$E$62:$E$160,0))</f>
        <v>2875887.8485718728</v>
      </c>
      <c r="M31" s="32">
        <f>INDEX(Workings_risks!L$62:L$160, MATCH($A$3&amp;$C31, Workings_risks!$E$62:$E$160,0))</f>
        <v>3184101.3155806693</v>
      </c>
      <c r="N31" s="32">
        <f>INDEX(Workings_risks!M$62:M$160, MATCH($A$3&amp;$C31, Workings_risks!$E$62:$E$160,0))</f>
        <v>3534604.4330294942</v>
      </c>
      <c r="O31" s="32">
        <f>INDEX(Workings_risks!N$62:N$160, MATCH($A$3&amp;$C31, Workings_risks!$E$62:$E$160,0))</f>
        <v>3959074.5495338752</v>
      </c>
      <c r="P31" s="32">
        <f>INDEX(Workings_risks!O$62:O$160, MATCH($A$3&amp;$C31, Workings_risks!$E$62:$E$160,0))</f>
        <v>4444344.7465603668</v>
      </c>
      <c r="Q31" s="32">
        <f>INDEX(Workings_risks!P$62:P$160, MATCH($A$3&amp;$C31, Workings_risks!$E$62:$E$160,0))</f>
        <v>4987803.4085414018</v>
      </c>
      <c r="R31" s="32">
        <f>INDEX(Workings_risks!Q$62:Q$160, MATCH($A$3&amp;$C31, Workings_risks!$E$62:$E$160,0))</f>
        <v>5574303.3403626885</v>
      </c>
      <c r="S31" s="32">
        <f>INDEX(Workings_risks!R$62:R$160, MATCH($A$3&amp;$C31, Workings_risks!$E$62:$E$160,0))</f>
        <v>6194888.7471076502</v>
      </c>
      <c r="T31" s="32">
        <f>INDEX(Workings_risks!S$62:S$160, MATCH($A$3&amp;$C31, Workings_risks!$E$62:$E$160,0))</f>
        <v>6882277.5099471342</v>
      </c>
      <c r="U31" s="32">
        <f>INDEX(Workings_risks!T$62:T$160, MATCH($A$3&amp;$C31, Workings_risks!$E$62:$E$160,0))</f>
        <v>7629734.956456718</v>
      </c>
      <c r="V31" s="32">
        <f>INDEX(Workings_risks!U$62:U$160, MATCH($A$3&amp;$C31, Workings_risks!$E$62:$E$160,0))</f>
        <v>8398717.7374436185</v>
      </c>
      <c r="W31" s="32">
        <f>INDEX(Workings_risks!V$62:V$160, MATCH($A$3&amp;$C31, Workings_risks!$E$62:$E$160,0))</f>
        <v>9133884.7655938771</v>
      </c>
      <c r="X31" s="32">
        <f>INDEX(Workings_risks!W$62:W$160, MATCH($A$3&amp;$C31, Workings_risks!$E$62:$E$160,0))</f>
        <v>9842066.6347151976</v>
      </c>
      <c r="Y31" s="32">
        <f>INDEX(Workings_risks!X$62:X$160, MATCH($A$3&amp;$C31, Workings_risks!$E$62:$E$160,0))</f>
        <v>10535464.514314098</v>
      </c>
      <c r="Z31" s="32">
        <f>INDEX(Workings_risks!Y$62:Y$160, MATCH($A$3&amp;$C31, Workings_risks!$E$62:$E$160,0))</f>
        <v>11188161.715304755</v>
      </c>
      <c r="AA31" s="32">
        <f>INDEX(Workings_risks!Z$62:Z$160, MATCH($A$3&amp;$C31, Workings_risks!$E$62:$E$160,0))</f>
        <v>11785741.374870615</v>
      </c>
      <c r="AB31" s="32">
        <f>INDEX(Workings_risks!AA$62:AA$160, MATCH($A$3&amp;$C31, Workings_risks!$E$62:$E$160,0))</f>
        <v>12306983.007108808</v>
      </c>
      <c r="AC31" s="32">
        <f>INDEX(Workings_risks!AB$62:AB$160, MATCH($A$3&amp;$C31, Workings_risks!$E$62:$E$160,0))</f>
        <v>12832703.665710978</v>
      </c>
      <c r="AD31" s="32">
        <f>INDEX(Workings_risks!AC$62:AC$160, MATCH($A$3&amp;$C31, Workings_risks!$E$62:$E$160,0))</f>
        <v>13369184.523154041</v>
      </c>
      <c r="AE31" s="32">
        <f>INDEX(Workings_risks!AD$62:AD$160, MATCH($A$3&amp;$C31, Workings_risks!$E$62:$E$160,0))</f>
        <v>13907088.798233764</v>
      </c>
      <c r="AF31" s="32">
        <f>INDEX(Workings_risks!AE$62:AE$160, MATCH($A$3&amp;$C31, Workings_risks!$E$62:$E$160,0))</f>
        <v>14456320.971158739</v>
      </c>
      <c r="AG31" s="32">
        <f>INDEX(Workings_risks!AF$62:AF$160, MATCH($A$3&amp;$C31, Workings_risks!$E$62:$E$160,0))</f>
        <v>15008151.754928462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128429.59922776051</v>
      </c>
      <c r="J32" s="32">
        <f>INDEX(Workings_risks!I$62:I$160, MATCH($A$3&amp;$C32, Workings_risks!$E$62:$E$160,0))</f>
        <v>141351.35058819727</v>
      </c>
      <c r="K32" s="32">
        <f>INDEX(Workings_risks!J$62:J$160, MATCH($A$3&amp;$C32, Workings_risks!$E$62:$E$160,0))</f>
        <v>156344.52292075768</v>
      </c>
      <c r="L32" s="32">
        <f>INDEX(Workings_risks!K$62:K$160, MATCH($A$3&amp;$C32, Workings_risks!$E$62:$E$160,0))</f>
        <v>173547.33972241668</v>
      </c>
      <c r="M32" s="32">
        <f>INDEX(Workings_risks!L$62:L$160, MATCH($A$3&amp;$C32, Workings_risks!$E$62:$E$160,0))</f>
        <v>193262.02374355964</v>
      </c>
      <c r="N32" s="32">
        <f>INDEX(Workings_risks!M$62:M$160, MATCH($A$3&amp;$C32, Workings_risks!$E$62:$E$160,0))</f>
        <v>215889.96588619912</v>
      </c>
      <c r="O32" s="32">
        <f>INDEX(Workings_risks!N$62:N$160, MATCH($A$3&amp;$C32, Workings_risks!$E$62:$E$160,0))</f>
        <v>242095.53683530213</v>
      </c>
      <c r="P32" s="32">
        <f>INDEX(Workings_risks!O$62:O$160, MATCH($A$3&amp;$C32, Workings_risks!$E$62:$E$160,0))</f>
        <v>272089.11223373649</v>
      </c>
      <c r="Q32" s="32">
        <f>INDEX(Workings_risks!P$62:P$160, MATCH($A$3&amp;$C32, Workings_risks!$E$62:$E$160,0))</f>
        <v>305077.31154088397</v>
      </c>
      <c r="R32" s="32">
        <f>INDEX(Workings_risks!Q$62:Q$160, MATCH($A$3&amp;$C32, Workings_risks!$E$62:$E$160,0))</f>
        <v>340250.63447945501</v>
      </c>
      <c r="S32" s="32">
        <f>INDEX(Workings_risks!R$62:R$160, MATCH($A$3&amp;$C32, Workings_risks!$E$62:$E$160,0))</f>
        <v>377356.42751347576</v>
      </c>
      <c r="T32" s="32">
        <f>INDEX(Workings_risks!S$62:S$160, MATCH($A$3&amp;$C32, Workings_risks!$E$62:$E$160,0))</f>
        <v>418460.33068793209</v>
      </c>
      <c r="U32" s="32">
        <f>INDEX(Workings_risks!T$62:T$160, MATCH($A$3&amp;$C32, Workings_risks!$E$62:$E$160,0))</f>
        <v>463164.92956347688</v>
      </c>
      <c r="V32" s="32">
        <f>INDEX(Workings_risks!U$62:U$160, MATCH($A$3&amp;$C32, Workings_risks!$E$62:$E$160,0))</f>
        <v>509175.33432802861</v>
      </c>
      <c r="W32" s="32">
        <f>INDEX(Workings_risks!V$62:V$160, MATCH($A$3&amp;$C32, Workings_risks!$E$62:$E$160,0))</f>
        <v>552904.92653042171</v>
      </c>
      <c r="X32" s="32">
        <f>INDEX(Workings_risks!W$62:W$160, MATCH($A$3&amp;$C32, Workings_risks!$E$62:$E$160,0))</f>
        <v>595029.37329692475</v>
      </c>
      <c r="Y32" s="32">
        <f>INDEX(Workings_risks!X$62:X$160, MATCH($A$3&amp;$C32, Workings_risks!$E$62:$E$160,0))</f>
        <v>636274.43101551791</v>
      </c>
      <c r="Z32" s="32">
        <f>INDEX(Workings_risks!Y$62:Y$160, MATCH($A$3&amp;$C32, Workings_risks!$E$62:$E$160,0))</f>
        <v>675098.50954197103</v>
      </c>
      <c r="AA32" s="32">
        <f>INDEX(Workings_risks!Z$62:Z$160, MATCH($A$3&amp;$C32, Workings_risks!$E$62:$E$160,0))</f>
        <v>710644.05745236902</v>
      </c>
      <c r="AB32" s="32">
        <f>INDEX(Workings_risks!AA$62:AA$160, MATCH($A$3&amp;$C32, Workings_risks!$E$62:$E$160,0))</f>
        <v>741648.82663256023</v>
      </c>
      <c r="AC32" s="32">
        <f>INDEX(Workings_risks!AB$62:AB$160, MATCH($A$3&amp;$C32, Workings_risks!$E$62:$E$160,0))</f>
        <v>772920.01961694926</v>
      </c>
      <c r="AD32" s="32">
        <f>INDEX(Workings_risks!AC$62:AC$160, MATCH($A$3&amp;$C32, Workings_risks!$E$62:$E$160,0))</f>
        <v>804831.25641357608</v>
      </c>
      <c r="AE32" s="32">
        <f>INDEX(Workings_risks!AD$62:AD$160, MATCH($A$3&amp;$C32, Workings_risks!$E$62:$E$160,0))</f>
        <v>836827.16168743512</v>
      </c>
      <c r="AF32" s="32">
        <f>INDEX(Workings_risks!AE$62:AE$160, MATCH($A$3&amp;$C32, Workings_risks!$E$62:$E$160,0))</f>
        <v>869496.87894457858</v>
      </c>
      <c r="AG32" s="32">
        <f>INDEX(Workings_risks!AF$62:AF$160, MATCH($A$3&amp;$C32, Workings_risks!$E$62:$E$160,0))</f>
        <v>902321.16814004676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400238.05280161236</v>
      </c>
      <c r="J33" s="32">
        <f>INDEX(Workings_risks!I$62:I$160, MATCH($A$3&amp;$C33, Workings_risks!$E$62:$E$160,0))</f>
        <v>440796.53684585873</v>
      </c>
      <c r="K33" s="32">
        <f>INDEX(Workings_risks!J$62:J$160, MATCH($A$3&amp;$C33, Workings_risks!$E$62:$E$160,0))</f>
        <v>487906.44282881136</v>
      </c>
      <c r="L33" s="32">
        <f>INDEX(Workings_risks!K$62:K$160, MATCH($A$3&amp;$C33, Workings_risks!$E$62:$E$160,0))</f>
        <v>542022.96715639206</v>
      </c>
      <c r="M33" s="32">
        <f>INDEX(Workings_risks!L$62:L$160, MATCH($A$3&amp;$C33, Workings_risks!$E$62:$E$160,0))</f>
        <v>604118.46390869375</v>
      </c>
      <c r="N33" s="32">
        <f>INDEX(Workings_risks!M$62:M$160, MATCH($A$3&amp;$C33, Workings_risks!$E$62:$E$160,0))</f>
        <v>675481.92012674292</v>
      </c>
      <c r="O33" s="32">
        <f>INDEX(Workings_risks!N$62:N$160, MATCH($A$3&amp;$C33, Workings_risks!$E$62:$E$160,0))</f>
        <v>757603.89912637242</v>
      </c>
      <c r="P33" s="32">
        <f>INDEX(Workings_risks!O$62:O$160, MATCH($A$3&amp;$C33, Workings_risks!$E$62:$E$160,0))</f>
        <v>851612.32293322869</v>
      </c>
      <c r="Q33" s="32">
        <f>INDEX(Workings_risks!P$62:P$160, MATCH($A$3&amp;$C33, Workings_risks!$E$62:$E$160,0))</f>
        <v>954731.40351141524</v>
      </c>
      <c r="R33" s="32">
        <f>INDEX(Workings_risks!Q$62:Q$160, MATCH($A$3&amp;$C33, Workings_risks!$E$62:$E$160,0))</f>
        <v>1064481.9061089954</v>
      </c>
      <c r="S33" s="32">
        <f>INDEX(Workings_risks!R$62:R$160, MATCH($A$3&amp;$C33, Workings_risks!$E$62:$E$160,0))</f>
        <v>1180209.5904807711</v>
      </c>
      <c r="T33" s="32">
        <f>INDEX(Workings_risks!S$62:S$160, MATCH($A$3&amp;$C33, Workings_risks!$E$62:$E$160,0))</f>
        <v>1308408.6225943612</v>
      </c>
      <c r="U33" s="32">
        <f>INDEX(Workings_risks!T$62:T$160, MATCH($A$3&amp;$C33, Workings_risks!$E$62:$E$160,0))</f>
        <v>1447842.0120068297</v>
      </c>
      <c r="V33" s="32">
        <f>INDEX(Workings_risks!U$62:U$160, MATCH($A$3&amp;$C33, Workings_risks!$E$62:$E$160,0))</f>
        <v>1591356.9012519198</v>
      </c>
      <c r="W33" s="32">
        <f>INDEX(Workings_risks!V$62:V$160, MATCH($A$3&amp;$C33, Workings_risks!$E$62:$E$160,0))</f>
        <v>1727635.8193372705</v>
      </c>
      <c r="X33" s="32">
        <f>INDEX(Workings_risks!W$62:W$160, MATCH($A$3&amp;$C33, Workings_risks!$E$62:$E$160,0))</f>
        <v>1858912.4615641977</v>
      </c>
      <c r="Y33" s="32">
        <f>INDEX(Workings_risks!X$62:X$160, MATCH($A$3&amp;$C33, Workings_risks!$E$62:$E$160,0))</f>
        <v>1987448.575421443</v>
      </c>
      <c r="Z33" s="32">
        <f>INDEX(Workings_risks!Y$62:Y$160, MATCH($A$3&amp;$C33, Workings_risks!$E$62:$E$160,0))</f>
        <v>2108439.9487861414</v>
      </c>
      <c r="AA33" s="32">
        <f>INDEX(Workings_risks!Z$62:Z$160, MATCH($A$3&amp;$C33, Workings_risks!$E$62:$E$160,0))</f>
        <v>2219214.1080684899</v>
      </c>
      <c r="AB33" s="32">
        <f>INDEX(Workings_risks!AA$62:AA$160, MATCH($A$3&amp;$C33, Workings_risks!$E$62:$E$160,0))</f>
        <v>2315837.3827564083</v>
      </c>
      <c r="AC33" s="32">
        <f>INDEX(Workings_risks!AB$62:AB$160, MATCH($A$3&amp;$C33, Workings_risks!$E$62:$E$160,0))</f>
        <v>2413290.9406909714</v>
      </c>
      <c r="AD33" s="32">
        <f>INDEX(Workings_risks!AC$62:AC$160, MATCH($A$3&amp;$C33, Workings_risks!$E$62:$E$160,0))</f>
        <v>2512739.1314100181</v>
      </c>
      <c r="AE33" s="32">
        <f>INDEX(Workings_risks!AD$62:AD$160, MATCH($A$3&amp;$C33, Workings_risks!$E$62:$E$160,0))</f>
        <v>2612451.1830043215</v>
      </c>
      <c r="AF33" s="32">
        <f>INDEX(Workings_risks!AE$62:AE$160, MATCH($A$3&amp;$C33, Workings_risks!$E$62:$E$160,0))</f>
        <v>2714263.1025244445</v>
      </c>
      <c r="AG33" s="32">
        <f>INDEX(Workings_risks!AF$62:AF$160, MATCH($A$3&amp;$C33, Workings_risks!$E$62:$E$160,0))</f>
        <v>2816556.7300930605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7521344.1603037352</v>
      </c>
      <c r="J36" s="108">
        <f t="shared" ref="J36:AG36" si="3">SUM(J28:J34)</f>
        <v>8268213.4469474657</v>
      </c>
      <c r="K36" s="108">
        <f t="shared" si="3"/>
        <v>9133111.5389417578</v>
      </c>
      <c r="L36" s="108">
        <f t="shared" si="3"/>
        <v>10123298.367376735</v>
      </c>
      <c r="M36" s="108">
        <f t="shared" si="3"/>
        <v>11255430.887827512</v>
      </c>
      <c r="N36" s="108">
        <f t="shared" si="3"/>
        <v>12551714.550195316</v>
      </c>
      <c r="O36" s="108">
        <f t="shared" si="3"/>
        <v>14070871.659626689</v>
      </c>
      <c r="P36" s="108">
        <f t="shared" si="3"/>
        <v>15809084.248565251</v>
      </c>
      <c r="Q36" s="108">
        <f t="shared" si="3"/>
        <v>17730252.245453633</v>
      </c>
      <c r="R36" s="108">
        <f t="shared" si="3"/>
        <v>19785482.021856379</v>
      </c>
      <c r="S36" s="108">
        <f t="shared" si="3"/>
        <v>21955428.257524207</v>
      </c>
      <c r="T36" s="108">
        <f t="shared" si="3"/>
        <v>24359122.015886664</v>
      </c>
      <c r="U36" s="108">
        <f t="shared" si="3"/>
        <v>26973237.472711675</v>
      </c>
      <c r="V36" s="108">
        <f t="shared" si="3"/>
        <v>29663413.110763874</v>
      </c>
      <c r="W36" s="108">
        <f t="shared" si="3"/>
        <v>32224390.602881119</v>
      </c>
      <c r="X36" s="108">
        <f t="shared" si="3"/>
        <v>34691364.443789743</v>
      </c>
      <c r="Y36" s="108">
        <f t="shared" si="3"/>
        <v>37106837.791666359</v>
      </c>
      <c r="Z36" s="108">
        <f t="shared" si="3"/>
        <v>39380529.043994062</v>
      </c>
      <c r="AA36" s="108">
        <f t="shared" si="3"/>
        <v>41462216.60518112</v>
      </c>
      <c r="AB36" s="108">
        <f t="shared" si="3"/>
        <v>43277978.244376451</v>
      </c>
      <c r="AC36" s="108">
        <f t="shared" si="3"/>
        <v>45109342.712950014</v>
      </c>
      <c r="AD36" s="108">
        <f t="shared" si="3"/>
        <v>46978190.673012011</v>
      </c>
      <c r="AE36" s="108">
        <f t="shared" si="3"/>
        <v>48851997.153233066</v>
      </c>
      <c r="AF36" s="108">
        <f t="shared" si="3"/>
        <v>50765264.72230041</v>
      </c>
      <c r="AG36" s="108">
        <f t="shared" si="3"/>
        <v>52687584.634072676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15995.730149973184</v>
      </c>
      <c r="K64" s="135">
        <f>(1-INDEX(Data!$C$9:$C$13, MATCH($A$3, options,0)))*('Option1 (base case)'!K36-K36)</f>
        <v>37304.954373734072</v>
      </c>
      <c r="L64" s="135">
        <f>(1-INDEX(Data!$C$9:$C$13, MATCH($A$3, options,0)))*('Option1 (base case)'!L36-L36)</f>
        <v>65279.582933736965</v>
      </c>
      <c r="M64" s="135">
        <f>(1-INDEX(Data!$C$9:$C$13, MATCH($A$3, options,0)))*('Option1 (base case)'!M36-M36)</f>
        <v>101607.3557783328</v>
      </c>
      <c r="N64" s="135">
        <f>(1-INDEX(Data!$C$9:$C$13, MATCH($A$3, options,0)))*('Option1 (base case)'!N36-N36)</f>
        <v>148395.65463838354</v>
      </c>
      <c r="O64" s="135">
        <f>(1-INDEX(Data!$C$9:$C$13, MATCH($A$3, options,0)))*('Option1 (base case)'!O36-O36)</f>
        <v>173563.64204178192</v>
      </c>
      <c r="P64" s="135">
        <f>(1-INDEX(Data!$C$9:$C$13, MATCH($A$3, options,0)))*('Option1 (base case)'!P36-P36)</f>
        <v>203240.80659499019</v>
      </c>
      <c r="Q64" s="135">
        <f>(1-INDEX(Data!$C$9:$C$13, MATCH($A$3, options,0)))*('Option1 (base case)'!Q36-Q36)</f>
        <v>220647.84906809777</v>
      </c>
      <c r="R64" s="135">
        <f>(1-INDEX(Data!$C$9:$C$13, MATCH($A$3, options,0)))*('Option1 (base case)'!R36-R36)</f>
        <v>228190.89285479859</v>
      </c>
      <c r="S64" s="135">
        <f>(1-INDEX(Data!$C$9:$C$13, MATCH($A$3, options,0)))*('Option1 (base case)'!S36-S36)</f>
        <v>233235.06112369522</v>
      </c>
      <c r="T64" s="135">
        <f>(1-INDEX(Data!$C$9:$C$13, MATCH($A$3, options,0)))*('Option1 (base case)'!T36-T36)</f>
        <v>238922.95483356714</v>
      </c>
      <c r="U64" s="135">
        <f>(1-INDEX(Data!$C$9:$C$13, MATCH($A$3, options,0)))*('Option1 (base case)'!U36-U36)</f>
        <v>245338.22632826865</v>
      </c>
      <c r="V64" s="135">
        <f>(1-INDEX(Data!$C$9:$C$13, MATCH($A$3, options,0)))*('Option1 (base case)'!V36-V36)</f>
        <v>252422.12435765192</v>
      </c>
      <c r="W64" s="135">
        <f>(1-INDEX(Data!$C$9:$C$13, MATCH($A$3, options,0)))*('Option1 (base case)'!W36-W36)</f>
        <v>252422.12435764447</v>
      </c>
      <c r="X64" s="135">
        <f>(1-INDEX(Data!$C$9:$C$13, MATCH($A$3, options,0)))*('Option1 (base case)'!X36-X36)</f>
        <v>252422.12435764819</v>
      </c>
      <c r="Y64" s="135">
        <f>(1-INDEX(Data!$C$9:$C$13, MATCH($A$3, options,0)))*('Option1 (base case)'!Y36-Y36)</f>
        <v>252422.12435764819</v>
      </c>
      <c r="Z64" s="135">
        <f>(1-INDEX(Data!$C$9:$C$13, MATCH($A$3, options,0)))*('Option1 (base case)'!Z36-Z36)</f>
        <v>252422.12435764074</v>
      </c>
      <c r="AA64" s="135">
        <f>(1-INDEX(Data!$C$9:$C$13, MATCH($A$3, options,0)))*('Option1 (base case)'!AA36-AA36)</f>
        <v>252422.12435765564</v>
      </c>
      <c r="AB64" s="135">
        <f>(1-INDEX(Data!$C$9:$C$13, MATCH($A$3, options,0)))*('Option1 (base case)'!AB36-AB36)</f>
        <v>252422.12435764074</v>
      </c>
      <c r="AC64" s="135">
        <f>(1-INDEX(Data!$C$9:$C$13, MATCH($A$3, options,0)))*('Option1 (base case)'!AC36-AC36)</f>
        <v>252422.12435765564</v>
      </c>
      <c r="AD64" s="135">
        <f>(1-INDEX(Data!$C$9:$C$13, MATCH($A$3, options,0)))*('Option1 (base case)'!AD36-AD36)</f>
        <v>252422.12435764074</v>
      </c>
      <c r="AE64" s="135">
        <f>(1-INDEX(Data!$C$9:$C$13, MATCH($A$3, options,0)))*('Option1 (base case)'!AE36-AE36)</f>
        <v>252422.12435764819</v>
      </c>
      <c r="AF64" s="135">
        <f>(1-INDEX(Data!$C$9:$C$13, MATCH($A$3, options,0)))*('Option1 (base case)'!AF36-AF36)</f>
        <v>252422.12435764819</v>
      </c>
      <c r="AG64" s="135">
        <f>(1-INDEX(Data!$C$9:$C$13, MATCH($A$3, options,0)))*('Option1 (base case)'!AG36-AG36)</f>
        <v>252422.12435764074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Cable replacement</v>
      </c>
      <c r="D67" s="38"/>
      <c r="F67" s="97"/>
      <c r="G67" s="214">
        <f>input_dollars</f>
        <v>45291</v>
      </c>
      <c r="H67" s="31"/>
      <c r="I67" s="119">
        <f t="shared" ref="I67:AG67" si="5">-I14</f>
        <v>-765966.17600000009</v>
      </c>
      <c r="J67" s="119">
        <f t="shared" si="5"/>
        <v>-765966.17600000009</v>
      </c>
      <c r="K67" s="119">
        <f t="shared" si="5"/>
        <v>-765966.17600000009</v>
      </c>
      <c r="L67" s="119">
        <f t="shared" si="5"/>
        <v>-765966.17600000009</v>
      </c>
      <c r="M67" s="119">
        <f t="shared" si="5"/>
        <v>-765966.17600000009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Cable replacement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-765966.17600000009</v>
      </c>
      <c r="J72" s="119" cm="1">
        <f t="array" ref="J72">SUMPRODUCT(($I67:J67))-SUMPRODUCT(($I67:J67)*($I$6:J$6&lt;=(J$6-$E14)))</f>
        <v>-1531932.3520000002</v>
      </c>
      <c r="K72" s="119" cm="1">
        <f t="array" ref="K72">SUMPRODUCT(($I67:K67))-SUMPRODUCT(($I67:K67)*($I$6:K$6&lt;=(K$6-$E14)))</f>
        <v>-2297898.5280000004</v>
      </c>
      <c r="L72" s="119" cm="1">
        <f t="array" ref="L72">SUMPRODUCT(($I67:L67))-SUMPRODUCT(($I67:L67)*($I$6:L$6&lt;=(L$6-$E14)))</f>
        <v>-3063864.7040000004</v>
      </c>
      <c r="M72" s="119" cm="1">
        <f t="array" ref="M72">SUMPRODUCT(($I67:M67))-SUMPRODUCT(($I67:M67)*($I$6:M$6&lt;=(M$6-$E14)))</f>
        <v>-3829830.8800000004</v>
      </c>
      <c r="N72" s="119" cm="1">
        <f t="array" ref="N72">SUMPRODUCT(($I67:N67))-SUMPRODUCT(($I67:N67)*($I$6:N$6&lt;=(N$6-$E14)))</f>
        <v>-3829830.8800000004</v>
      </c>
      <c r="O72" s="119" cm="1">
        <f t="array" ref="O72">SUMPRODUCT(($I67:O67))-SUMPRODUCT(($I67:O67)*($I$6:O$6&lt;=(O$6-$E14)))</f>
        <v>-3829830.8800000004</v>
      </c>
      <c r="P72" s="119" cm="1">
        <f t="array" ref="P72">SUMPRODUCT(($I67:P67))-SUMPRODUCT(($I67:P67)*($I$6:P$6&lt;=(P$6-$E14)))</f>
        <v>-3829830.8800000004</v>
      </c>
      <c r="Q72" s="119" cm="1">
        <f t="array" ref="Q72">SUMPRODUCT(($I67:Q67))-SUMPRODUCT(($I67:Q67)*($I$6:Q$6&lt;=(Q$6-$E14)))</f>
        <v>-3829830.8800000004</v>
      </c>
      <c r="R72" s="119" cm="1">
        <f t="array" ref="R72">SUMPRODUCT(($I67:R67))-SUMPRODUCT(($I67:R67)*($I$6:R$6&lt;=(R$6-$E14)))</f>
        <v>-3829830.8800000004</v>
      </c>
      <c r="S72" s="119" cm="1">
        <f t="array" ref="S72">SUMPRODUCT(($I67:S67))-SUMPRODUCT(($I67:S67)*($I$6:S$6&lt;=(S$6-$E14)))</f>
        <v>-3829830.8800000004</v>
      </c>
      <c r="T72" s="119" cm="1">
        <f t="array" ref="T72">SUMPRODUCT(($I67:T67))-SUMPRODUCT(($I67:T67)*($I$6:T$6&lt;=(T$6-$E14)))</f>
        <v>-3829830.8800000004</v>
      </c>
      <c r="U72" s="119" cm="1">
        <f t="array" ref="U72">SUMPRODUCT(($I67:U67))-SUMPRODUCT(($I67:U67)*($I$6:U$6&lt;=(U$6-$E14)))</f>
        <v>-3829830.8800000004</v>
      </c>
      <c r="V72" s="119" cm="1">
        <f t="array" ref="V72">SUMPRODUCT(($I67:V67))-SUMPRODUCT(($I67:V67)*($I$6:V$6&lt;=(V$6-$E14)))</f>
        <v>-3829830.8800000004</v>
      </c>
      <c r="W72" s="119" cm="1">
        <f t="array" ref="W72">SUMPRODUCT(($I67:W67))-SUMPRODUCT(($I67:W67)*($I$6:W$6&lt;=(W$6-$E14)))</f>
        <v>-3829830.8800000004</v>
      </c>
      <c r="X72" s="119" cm="1">
        <f t="array" ref="X72">SUMPRODUCT(($I67:X67))-SUMPRODUCT(($I67:X67)*($I$6:X$6&lt;=(X$6-$E14)))</f>
        <v>-3829830.8800000004</v>
      </c>
      <c r="Y72" s="119" cm="1">
        <f t="array" ref="Y72">SUMPRODUCT(($I67:Y67))-SUMPRODUCT(($I67:Y67)*($I$6:Y$6&lt;=(Y$6-$E14)))</f>
        <v>-3829830.8800000004</v>
      </c>
      <c r="Z72" s="119" cm="1">
        <f t="array" ref="Z72">SUMPRODUCT(($I67:Z67))-SUMPRODUCT(($I67:Z67)*($I$6:Z$6&lt;=(Z$6-$E14)))</f>
        <v>-3829830.8800000004</v>
      </c>
      <c r="AA72" s="119" cm="1">
        <f t="array" ref="AA72">SUMPRODUCT(($I67:AA67))-SUMPRODUCT(($I67:AA67)*($I$6:AA$6&lt;=(AA$6-$E14)))</f>
        <v>-3829830.8800000004</v>
      </c>
      <c r="AB72" s="119" cm="1">
        <f t="array" ref="AB72">SUMPRODUCT(($I67:AB67))-SUMPRODUCT(($I67:AB67)*($I$6:AB$6&lt;=(AB$6-$E14)))</f>
        <v>-3829830.8800000004</v>
      </c>
      <c r="AC72" s="119" cm="1">
        <f t="array" ref="AC72">SUMPRODUCT(($I67:AC67))-SUMPRODUCT(($I67:AC67)*($I$6:AC$6&lt;=(AC$6-$E14)))</f>
        <v>-3829830.8800000004</v>
      </c>
      <c r="AD72" s="119" cm="1">
        <f t="array" ref="AD72">SUMPRODUCT(($I67:AD67))-SUMPRODUCT(($I67:AD67)*($I$6:AD$6&lt;=(AD$6-$E14)))</f>
        <v>-3829830.8800000004</v>
      </c>
      <c r="AE72" s="119" cm="1">
        <f t="array" ref="AE72">SUMPRODUCT(($I67:AE67))-SUMPRODUCT(($I67:AE67)*($I$6:AE$6&lt;=(AE$6-$E14)))</f>
        <v>-3829830.8800000004</v>
      </c>
      <c r="AF72" s="119" cm="1">
        <f t="array" ref="AF72">SUMPRODUCT(($I67:AF67))-SUMPRODUCT(($I67:AF67)*($I$6:AF$6&lt;=(AF$6-$E14)))</f>
        <v>-3829830.8800000004</v>
      </c>
      <c r="AG72" s="119" cm="1">
        <f t="array" ref="AG72">SUMPRODUCT(($I67:AG67))-SUMPRODUCT(($I67:AG67)*($I$6:AG$6&lt;=(AG$6-$E14)))</f>
        <v>-3829830.8800000004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Cable replacement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-30706.527973759872</v>
      </c>
      <c r="K77" s="119">
        <f t="shared" si="8"/>
        <v>-61413.055947519744</v>
      </c>
      <c r="L77" s="119">
        <f t="shared" si="8"/>
        <v>-92119.583921279613</v>
      </c>
      <c r="M77" s="119">
        <f t="shared" si="8"/>
        <v>-122826.11189503949</v>
      </c>
      <c r="N77" s="119">
        <f t="shared" si="8"/>
        <v>-153532.63986879936</v>
      </c>
      <c r="O77" s="119">
        <f t="shared" si="8"/>
        <v>-153532.63986879936</v>
      </c>
      <c r="P77" s="119">
        <f t="shared" si="8"/>
        <v>-153532.63986879936</v>
      </c>
      <c r="Q77" s="119">
        <f t="shared" si="8"/>
        <v>-153532.63986879936</v>
      </c>
      <c r="R77" s="119">
        <f t="shared" si="8"/>
        <v>-153532.63986879936</v>
      </c>
      <c r="S77" s="119">
        <f t="shared" si="8"/>
        <v>-153532.63986879936</v>
      </c>
      <c r="T77" s="119">
        <f t="shared" si="8"/>
        <v>-153532.63986879936</v>
      </c>
      <c r="U77" s="119">
        <f t="shared" si="8"/>
        <v>-153532.63986879936</v>
      </c>
      <c r="V77" s="119">
        <f t="shared" si="8"/>
        <v>-153532.63986879936</v>
      </c>
      <c r="W77" s="119">
        <f t="shared" si="8"/>
        <v>-153532.63986879936</v>
      </c>
      <c r="X77" s="119">
        <f t="shared" si="8"/>
        <v>-153532.63986879936</v>
      </c>
      <c r="Y77" s="119">
        <f t="shared" si="8"/>
        <v>-153532.63986879936</v>
      </c>
      <c r="Z77" s="119">
        <f t="shared" si="8"/>
        <v>-153532.63986879936</v>
      </c>
      <c r="AA77" s="119">
        <f t="shared" si="8"/>
        <v>-153532.63986879936</v>
      </c>
      <c r="AB77" s="119">
        <f t="shared" si="8"/>
        <v>-153532.63986879936</v>
      </c>
      <c r="AC77" s="119">
        <f t="shared" si="8"/>
        <v>-153532.63986879936</v>
      </c>
      <c r="AD77" s="119">
        <f t="shared" si="8"/>
        <v>-153532.63986879936</v>
      </c>
      <c r="AE77" s="119">
        <f t="shared" si="8"/>
        <v>-153532.63986879936</v>
      </c>
      <c r="AF77" s="119">
        <f t="shared" si="8"/>
        <v>-153532.63986879936</v>
      </c>
      <c r="AG77" s="119">
        <f t="shared" si="8"/>
        <v>-153532.63986879936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-30706.527973759872</v>
      </c>
      <c r="K80" s="180">
        <f t="shared" si="11"/>
        <v>-61413.055947519744</v>
      </c>
      <c r="L80" s="180">
        <f t="shared" si="11"/>
        <v>-92119.583921279613</v>
      </c>
      <c r="M80" s="180">
        <f t="shared" si="11"/>
        <v>-122826.11189503949</v>
      </c>
      <c r="N80" s="180">
        <f t="shared" si="11"/>
        <v>-153532.63986879936</v>
      </c>
      <c r="O80" s="180">
        <f t="shared" si="11"/>
        <v>-153532.63986879936</v>
      </c>
      <c r="P80" s="180">
        <f t="shared" si="11"/>
        <v>-153532.63986879936</v>
      </c>
      <c r="Q80" s="180">
        <f t="shared" si="11"/>
        <v>-153532.63986879936</v>
      </c>
      <c r="R80" s="180">
        <f t="shared" si="11"/>
        <v>-153532.63986879936</v>
      </c>
      <c r="S80" s="180">
        <f t="shared" si="11"/>
        <v>-153532.63986879936</v>
      </c>
      <c r="T80" s="180">
        <f t="shared" si="11"/>
        <v>-153532.63986879936</v>
      </c>
      <c r="U80" s="180">
        <f t="shared" si="11"/>
        <v>-153532.63986879936</v>
      </c>
      <c r="V80" s="180">
        <f t="shared" si="11"/>
        <v>-153532.63986879936</v>
      </c>
      <c r="W80" s="180">
        <f t="shared" si="11"/>
        <v>-153532.63986879936</v>
      </c>
      <c r="X80" s="180">
        <f t="shared" si="11"/>
        <v>-153532.63986879936</v>
      </c>
      <c r="Y80" s="180">
        <f t="shared" si="11"/>
        <v>-153532.63986879936</v>
      </c>
      <c r="Z80" s="180">
        <f t="shared" si="11"/>
        <v>-153532.63986879936</v>
      </c>
      <c r="AA80" s="180">
        <f t="shared" si="11"/>
        <v>-153532.63986879936</v>
      </c>
      <c r="AB80" s="180">
        <f t="shared" si="11"/>
        <v>-153532.63986879936</v>
      </c>
      <c r="AC80" s="180">
        <f>SUM(AC77:AC79)</f>
        <v>-153532.63986879936</v>
      </c>
      <c r="AD80" s="180">
        <f>SUM(AD77:AD79)</f>
        <v>-153532.63986879936</v>
      </c>
      <c r="AE80" s="180">
        <f>SUM(AE77:AE79)</f>
        <v>-153532.63986879936</v>
      </c>
      <c r="AF80" s="180">
        <f>SUM(AF77:AF79)</f>
        <v>-153532.63986879936</v>
      </c>
      <c r="AG80" s="180">
        <f>SUM(AG77:AG79)</f>
        <v>-153532.63986879936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-30706.527973759872</v>
      </c>
      <c r="K82" s="119">
        <f t="shared" si="13"/>
        <v>-61413.055947519744</v>
      </c>
      <c r="L82" s="119">
        <f t="shared" si="13"/>
        <v>-92119.583921279613</v>
      </c>
      <c r="M82" s="119">
        <f t="shared" si="13"/>
        <v>-122826.11189503949</v>
      </c>
      <c r="N82" s="119">
        <f t="shared" si="13"/>
        <v>-153532.63986879936</v>
      </c>
      <c r="O82" s="119">
        <f t="shared" si="13"/>
        <v>-153532.63986879936</v>
      </c>
      <c r="P82" s="119">
        <f t="shared" si="13"/>
        <v>-153532.63986879936</v>
      </c>
      <c r="Q82" s="119">
        <f t="shared" si="13"/>
        <v>-153532.63986879936</v>
      </c>
      <c r="R82" s="119">
        <f t="shared" si="13"/>
        <v>-153532.63986879936</v>
      </c>
      <c r="S82" s="119">
        <f t="shared" si="13"/>
        <v>-153532.63986879936</v>
      </c>
      <c r="T82" s="119">
        <f t="shared" si="13"/>
        <v>-153532.63986879936</v>
      </c>
      <c r="U82" s="119">
        <f t="shared" si="13"/>
        <v>-153532.63986879936</v>
      </c>
      <c r="V82" s="119">
        <f t="shared" si="13"/>
        <v>-153532.63986879936</v>
      </c>
      <c r="W82" s="119">
        <f t="shared" si="13"/>
        <v>-153532.63986879936</v>
      </c>
      <c r="X82" s="119">
        <f t="shared" si="13"/>
        <v>-153532.63986879936</v>
      </c>
      <c r="Y82" s="119">
        <f t="shared" si="13"/>
        <v>-153532.63986879936</v>
      </c>
      <c r="Z82" s="119">
        <f t="shared" si="13"/>
        <v>-153532.63986879936</v>
      </c>
      <c r="AA82" s="119">
        <f t="shared" si="13"/>
        <v>-153532.63986879936</v>
      </c>
      <c r="AB82" s="119">
        <f t="shared" si="13"/>
        <v>-153532.63986879936</v>
      </c>
      <c r="AC82" s="119">
        <f>AC80</f>
        <v>-153532.63986879936</v>
      </c>
      <c r="AD82" s="119">
        <f>AD80</f>
        <v>-153532.63986879936</v>
      </c>
      <c r="AE82" s="119">
        <f>AE80</f>
        <v>-153532.63986879936</v>
      </c>
      <c r="AF82" s="119">
        <f>AF80</f>
        <v>-153532.63986879936</v>
      </c>
      <c r="AG82" s="119">
        <f>AG80</f>
        <v>-153532.63986879936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15995.730149973184</v>
      </c>
      <c r="K84" s="31">
        <f t="shared" si="15"/>
        <v>37304.954373734072</v>
      </c>
      <c r="L84" s="31">
        <f t="shared" si="15"/>
        <v>65279.582933736965</v>
      </c>
      <c r="M84" s="31">
        <f t="shared" si="15"/>
        <v>101607.3557783328</v>
      </c>
      <c r="N84" s="31">
        <f t="shared" si="15"/>
        <v>148395.65463838354</v>
      </c>
      <c r="O84" s="31">
        <f t="shared" si="15"/>
        <v>173563.64204178192</v>
      </c>
      <c r="P84" s="31">
        <f t="shared" si="15"/>
        <v>203240.80659499019</v>
      </c>
      <c r="Q84" s="31">
        <f t="shared" si="15"/>
        <v>220647.84906809777</v>
      </c>
      <c r="R84" s="31">
        <f t="shared" si="15"/>
        <v>228190.89285479859</v>
      </c>
      <c r="S84" s="31">
        <f t="shared" si="15"/>
        <v>233235.06112369522</v>
      </c>
      <c r="T84" s="31">
        <f t="shared" si="15"/>
        <v>238922.95483356714</v>
      </c>
      <c r="U84" s="31">
        <f t="shared" si="15"/>
        <v>245338.22632826865</v>
      </c>
      <c r="V84" s="31">
        <f t="shared" si="15"/>
        <v>252422.12435765192</v>
      </c>
      <c r="W84" s="31">
        <f t="shared" si="15"/>
        <v>252422.12435764447</v>
      </c>
      <c r="X84" s="31">
        <f t="shared" si="15"/>
        <v>252422.12435764819</v>
      </c>
      <c r="Y84" s="31">
        <f t="shared" si="15"/>
        <v>252422.12435764819</v>
      </c>
      <c r="Z84" s="31">
        <f t="shared" si="15"/>
        <v>252422.12435764074</v>
      </c>
      <c r="AA84" s="31">
        <f t="shared" si="15"/>
        <v>252422.12435765564</v>
      </c>
      <c r="AB84" s="31">
        <f t="shared" si="15"/>
        <v>252422.12435764074</v>
      </c>
      <c r="AC84" s="31">
        <f>AC64</f>
        <v>252422.12435765564</v>
      </c>
      <c r="AD84" s="31">
        <f>AD64</f>
        <v>252422.12435764074</v>
      </c>
      <c r="AE84" s="31">
        <f>AE64</f>
        <v>252422.12435764819</v>
      </c>
      <c r="AF84" s="31">
        <f>AF64</f>
        <v>252422.12435764819</v>
      </c>
      <c r="AG84" s="31">
        <f>AG64</f>
        <v>252422.12435764074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-14710.797823786688</v>
      </c>
      <c r="K87" s="183">
        <f t="shared" si="17"/>
        <v>-24108.101573785672</v>
      </c>
      <c r="L87" s="183">
        <f t="shared" si="17"/>
        <v>-26840.000987542648</v>
      </c>
      <c r="M87" s="183">
        <f t="shared" si="17"/>
        <v>-21218.756116706689</v>
      </c>
      <c r="N87" s="183">
        <f t="shared" si="17"/>
        <v>-5136.9852304158267</v>
      </c>
      <c r="O87" s="183">
        <f t="shared" si="17"/>
        <v>20031.002172982553</v>
      </c>
      <c r="P87" s="183">
        <f t="shared" si="17"/>
        <v>49708.16672619083</v>
      </c>
      <c r="Q87" s="183">
        <f t="shared" si="17"/>
        <v>67115.209199298406</v>
      </c>
      <c r="R87" s="183">
        <f t="shared" si="17"/>
        <v>74658.252985999221</v>
      </c>
      <c r="S87" s="183">
        <f t="shared" si="17"/>
        <v>79702.42125489586</v>
      </c>
      <c r="T87" s="183">
        <f t="shared" si="17"/>
        <v>85390.314964767778</v>
      </c>
      <c r="U87" s="183">
        <f t="shared" si="17"/>
        <v>91805.586459469283</v>
      </c>
      <c r="V87" s="183">
        <f t="shared" si="17"/>
        <v>98889.484488852555</v>
      </c>
      <c r="W87" s="183">
        <f t="shared" si="17"/>
        <v>98889.484488845104</v>
      </c>
      <c r="X87" s="183">
        <f t="shared" si="17"/>
        <v>98889.48448884883</v>
      </c>
      <c r="Y87" s="183">
        <f t="shared" si="17"/>
        <v>98889.48448884883</v>
      </c>
      <c r="Z87" s="183">
        <f t="shared" si="17"/>
        <v>98889.484488841379</v>
      </c>
      <c r="AA87" s="183">
        <f t="shared" si="17"/>
        <v>98889.48448885628</v>
      </c>
      <c r="AB87" s="183">
        <f t="shared" si="17"/>
        <v>98889.484488841379</v>
      </c>
      <c r="AC87" s="183">
        <f>SUM(AC82:AC86)</f>
        <v>98889.48448885628</v>
      </c>
      <c r="AD87" s="183">
        <f>SUM(AD82:AD86)</f>
        <v>98889.484488841379</v>
      </c>
      <c r="AE87" s="183">
        <f>SUM(AE82:AE86)</f>
        <v>98889.48448884883</v>
      </c>
      <c r="AF87" s="183">
        <f>SUM(AF82:AF86)</f>
        <v>98889.48448884883</v>
      </c>
      <c r="AG87" s="183">
        <f>SUM(AG82:AG86)</f>
        <v>98889.484488841379</v>
      </c>
    </row>
    <row r="88" spans="1:33" x14ac:dyDescent="0.2">
      <c r="A88" s="8"/>
      <c r="B88" s="8"/>
      <c r="C88" s="75"/>
      <c r="D88" s="141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8"/>
      <c r="E91" s="235"/>
      <c r="F91" s="236"/>
      <c r="G91" s="237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33" x14ac:dyDescent="0.2"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43" x14ac:dyDescent="0.2"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43" x14ac:dyDescent="0.2"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D105"/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-14710.797823786688</v>
      </c>
      <c r="K106" s="31">
        <f t="shared" si="18"/>
        <v>-24108.101573785672</v>
      </c>
      <c r="L106" s="31">
        <f t="shared" si="18"/>
        <v>-26840.000987542648</v>
      </c>
      <c r="M106" s="31">
        <f t="shared" si="18"/>
        <v>-21218.756116706689</v>
      </c>
      <c r="N106" s="31">
        <f t="shared" si="18"/>
        <v>-5136.9852304158267</v>
      </c>
      <c r="O106" s="31">
        <f t="shared" si="18"/>
        <v>20031.002172982553</v>
      </c>
      <c r="P106" s="31">
        <f t="shared" si="18"/>
        <v>49708.16672619083</v>
      </c>
      <c r="Q106" s="31">
        <f t="shared" si="18"/>
        <v>67115.209199298406</v>
      </c>
      <c r="R106" s="31">
        <f t="shared" si="18"/>
        <v>74658.252985999221</v>
      </c>
      <c r="S106" s="31">
        <f t="shared" si="18"/>
        <v>79702.42125489586</v>
      </c>
      <c r="T106" s="31">
        <f t="shared" si="18"/>
        <v>85390.314964767778</v>
      </c>
      <c r="U106" s="31">
        <f t="shared" si="18"/>
        <v>91805.586459469283</v>
      </c>
      <c r="V106" s="31">
        <f t="shared" si="18"/>
        <v>98889.484488852555</v>
      </c>
      <c r="W106" s="31">
        <f t="shared" si="18"/>
        <v>98889.484488845104</v>
      </c>
      <c r="X106" s="31">
        <f t="shared" si="18"/>
        <v>98889.48448884883</v>
      </c>
      <c r="Y106" s="31">
        <f t="shared" si="18"/>
        <v>98889.48448884883</v>
      </c>
      <c r="Z106" s="31">
        <f t="shared" si="18"/>
        <v>98889.484488841379</v>
      </c>
      <c r="AA106" s="31">
        <f t="shared" si="18"/>
        <v>98889.48448885628</v>
      </c>
      <c r="AB106" s="31">
        <f t="shared" si="18"/>
        <v>98889.484488841379</v>
      </c>
      <c r="AC106" s="31">
        <f t="shared" si="18"/>
        <v>98889.48448885628</v>
      </c>
      <c r="AD106" s="31">
        <f t="shared" si="18"/>
        <v>98889.484488841379</v>
      </c>
      <c r="AE106" s="31">
        <f t="shared" si="18"/>
        <v>98889.48448884883</v>
      </c>
      <c r="AF106" s="31">
        <f t="shared" si="18"/>
        <v>98889.48448884883</v>
      </c>
      <c r="AG106" s="31">
        <f t="shared" si="18"/>
        <v>98889.484488841379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-30706.527973759872</v>
      </c>
      <c r="K107" s="31">
        <f t="shared" si="19"/>
        <v>-61413.055947519744</v>
      </c>
      <c r="L107" s="31">
        <f t="shared" si="19"/>
        <v>-92119.583921279613</v>
      </c>
      <c r="M107" s="31">
        <f t="shared" si="19"/>
        <v>-122826.11189503949</v>
      </c>
      <c r="N107" s="31">
        <f t="shared" si="19"/>
        <v>-153532.63986879936</v>
      </c>
      <c r="O107" s="31">
        <f t="shared" si="19"/>
        <v>-153532.63986879936</v>
      </c>
      <c r="P107" s="31">
        <f t="shared" si="19"/>
        <v>-153532.63986879936</v>
      </c>
      <c r="Q107" s="31">
        <f t="shared" si="19"/>
        <v>-153532.63986879936</v>
      </c>
      <c r="R107" s="31">
        <f t="shared" si="19"/>
        <v>-153532.63986879936</v>
      </c>
      <c r="S107" s="31">
        <f t="shared" si="19"/>
        <v>-153532.63986879936</v>
      </c>
      <c r="T107" s="31">
        <f t="shared" si="19"/>
        <v>-153532.63986879936</v>
      </c>
      <c r="U107" s="31">
        <f t="shared" si="19"/>
        <v>-153532.63986879936</v>
      </c>
      <c r="V107" s="31">
        <f t="shared" si="19"/>
        <v>-153532.63986879936</v>
      </c>
      <c r="W107" s="31">
        <f t="shared" si="19"/>
        <v>-153532.63986879936</v>
      </c>
      <c r="X107" s="31">
        <f t="shared" si="19"/>
        <v>-153532.63986879936</v>
      </c>
      <c r="Y107" s="31">
        <f t="shared" si="19"/>
        <v>-153532.63986879936</v>
      </c>
      <c r="Z107" s="31">
        <f t="shared" si="19"/>
        <v>-153532.63986879936</v>
      </c>
      <c r="AA107" s="31">
        <f t="shared" si="19"/>
        <v>-153532.63986879936</v>
      </c>
      <c r="AB107" s="31">
        <f t="shared" si="19"/>
        <v>-153532.63986879936</v>
      </c>
      <c r="AC107" s="31">
        <f t="shared" si="19"/>
        <v>-153532.63986879936</v>
      </c>
      <c r="AD107" s="31">
        <f t="shared" si="19"/>
        <v>-153532.63986879936</v>
      </c>
      <c r="AE107" s="31">
        <f t="shared" si="19"/>
        <v>-153532.63986879936</v>
      </c>
      <c r="AF107" s="31">
        <f t="shared" si="19"/>
        <v>-153532.63986879936</v>
      </c>
      <c r="AG107" s="31">
        <f t="shared" si="19"/>
        <v>-153532.63986879936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0">SUM(J84:J85)</f>
        <v>15995.730149973184</v>
      </c>
      <c r="K108" s="31">
        <f t="shared" si="20"/>
        <v>37304.954373734072</v>
      </c>
      <c r="L108" s="31">
        <f t="shared" si="20"/>
        <v>65279.582933736965</v>
      </c>
      <c r="M108" s="31">
        <f t="shared" si="20"/>
        <v>101607.3557783328</v>
      </c>
      <c r="N108" s="31">
        <f t="shared" si="20"/>
        <v>148395.65463838354</v>
      </c>
      <c r="O108" s="31">
        <f t="shared" si="20"/>
        <v>173563.64204178192</v>
      </c>
      <c r="P108" s="31">
        <f t="shared" si="20"/>
        <v>203240.80659499019</v>
      </c>
      <c r="Q108" s="31">
        <f t="shared" si="20"/>
        <v>220647.84906809777</v>
      </c>
      <c r="R108" s="31">
        <f t="shared" si="20"/>
        <v>228190.89285479859</v>
      </c>
      <c r="S108" s="31">
        <f t="shared" si="20"/>
        <v>233235.06112369522</v>
      </c>
      <c r="T108" s="31">
        <f t="shared" si="20"/>
        <v>238922.95483356714</v>
      </c>
      <c r="U108" s="31">
        <f t="shared" si="20"/>
        <v>245338.22632826865</v>
      </c>
      <c r="V108" s="31">
        <f t="shared" si="20"/>
        <v>252422.12435765192</v>
      </c>
      <c r="W108" s="31">
        <f t="shared" si="20"/>
        <v>252422.12435764447</v>
      </c>
      <c r="X108" s="31">
        <f t="shared" si="20"/>
        <v>252422.12435764819</v>
      </c>
      <c r="Y108" s="31">
        <f t="shared" si="20"/>
        <v>252422.12435764819</v>
      </c>
      <c r="Z108" s="31">
        <f t="shared" si="20"/>
        <v>252422.12435764074</v>
      </c>
      <c r="AA108" s="31">
        <f t="shared" si="20"/>
        <v>252422.12435765564</v>
      </c>
      <c r="AB108" s="31">
        <f t="shared" si="20"/>
        <v>252422.12435764074</v>
      </c>
      <c r="AC108" s="31">
        <f t="shared" si="20"/>
        <v>252422.12435765564</v>
      </c>
      <c r="AD108" s="31">
        <f t="shared" si="20"/>
        <v>252422.12435764074</v>
      </c>
      <c r="AE108" s="31">
        <f t="shared" si="20"/>
        <v>252422.12435764819</v>
      </c>
      <c r="AF108" s="31">
        <f t="shared" si="20"/>
        <v>252422.12435764819</v>
      </c>
      <c r="AG108" s="31">
        <f t="shared" si="20"/>
        <v>252422.12435764074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-17781.450621162676</v>
      </c>
      <c r="K110" s="31" cm="1">
        <f t="array" ref="K110">K$106+IF($C110&lt;&gt;0,SUMPRODUCT((K$107:K$108)*TRANSPOSE(($D110:$E110))),0)</f>
        <v>-30249.407168537648</v>
      </c>
      <c r="L110" s="31" cm="1">
        <f t="array" ref="L110">L$106+IF($C110&lt;&gt;0,SUMPRODUCT((L$107:L$108)*TRANSPOSE(($D110:$E110))),0)</f>
        <v>-36051.95937967061</v>
      </c>
      <c r="M110" s="31" cm="1">
        <f t="array" ref="M110">M$106+IF($C110&lt;&gt;0,SUMPRODUCT((M$107:M$108)*TRANSPOSE(($D110:$E110))),0)</f>
        <v>-33501.367306210639</v>
      </c>
      <c r="N110" s="31" cm="1">
        <f t="array" ref="N110">N$106+IF($C110&lt;&gt;0,SUMPRODUCT((N$107:N$108)*TRANSPOSE(($D110:$E110))),0)</f>
        <v>-20490.249217295765</v>
      </c>
      <c r="O110" s="31" cm="1">
        <f t="array" ref="O110">O$106+IF($C110&lt;&gt;0,SUMPRODUCT((O$107:O$108)*TRANSPOSE(($D110:$E110))),0)</f>
        <v>4677.7381861026151</v>
      </c>
      <c r="P110" s="31" cm="1">
        <f t="array" ref="P110">P$106+IF($C110&lt;&gt;0,SUMPRODUCT((P$107:P$108)*TRANSPOSE(($D110:$E110))),0)</f>
        <v>34354.902739310892</v>
      </c>
      <c r="Q110" s="31" cm="1">
        <f t="array" ref="Q110">Q$106+IF($C110&lt;&gt;0,SUMPRODUCT((Q$107:Q$108)*TRANSPOSE(($D110:$E110))),0)</f>
        <v>51761.945212418468</v>
      </c>
      <c r="R110" s="31" cm="1">
        <f t="array" ref="R110">R$106+IF($C110&lt;&gt;0,SUMPRODUCT((R$107:R$108)*TRANSPOSE(($D110:$E110))),0)</f>
        <v>59304.988999119283</v>
      </c>
      <c r="S110" s="31" cm="1">
        <f t="array" ref="S110">S$106+IF($C110&lt;&gt;0,SUMPRODUCT((S$107:S$108)*TRANSPOSE(($D110:$E110))),0)</f>
        <v>64349.157268015922</v>
      </c>
      <c r="T110" s="31" cm="1">
        <f t="array" ref="T110">T$106+IF($C110&lt;&gt;0,SUMPRODUCT((T$107:T$108)*TRANSPOSE(($D110:$E110))),0)</f>
        <v>70037.050977887848</v>
      </c>
      <c r="U110" s="31" cm="1">
        <f t="array" ref="U110">U$106+IF($C110&lt;&gt;0,SUMPRODUCT((U$107:U$108)*TRANSPOSE(($D110:$E110))),0)</f>
        <v>76452.322472589352</v>
      </c>
      <c r="V110" s="31" cm="1">
        <f t="array" ref="V110">V$106+IF($C110&lt;&gt;0,SUMPRODUCT((V$107:V$108)*TRANSPOSE(($D110:$E110))),0)</f>
        <v>83536.220501972624</v>
      </c>
      <c r="W110" s="31" cm="1">
        <f t="array" ref="W110">W$106+IF($C110&lt;&gt;0,SUMPRODUCT((W$107:W$108)*TRANSPOSE(($D110:$E110))),0)</f>
        <v>83536.220501965174</v>
      </c>
      <c r="X110" s="31" cm="1">
        <f t="array" ref="X110">X$106+IF($C110&lt;&gt;0,SUMPRODUCT((X$107:X$108)*TRANSPOSE(($D110:$E110))),0)</f>
        <v>83536.220501968899</v>
      </c>
      <c r="Y110" s="31" cm="1">
        <f t="array" ref="Y110">Y$106+IF($C110&lt;&gt;0,SUMPRODUCT((Y$107:Y$108)*TRANSPOSE(($D110:$E110))),0)</f>
        <v>83536.220501968899</v>
      </c>
      <c r="Z110" s="31" cm="1">
        <f t="array" ref="Z110">Z$106+IF($C110&lt;&gt;0,SUMPRODUCT((Z$107:Z$108)*TRANSPOSE(($D110:$E110))),0)</f>
        <v>83536.220501961448</v>
      </c>
      <c r="AA110" s="31" cm="1">
        <f t="array" ref="AA110">AA$106+IF($C110&lt;&gt;0,SUMPRODUCT((AA$107:AA$108)*TRANSPOSE(($D110:$E110))),0)</f>
        <v>83536.22050197635</v>
      </c>
      <c r="AB110" s="31" cm="1">
        <f t="array" ref="AB110">AB$106+IF($C110&lt;&gt;0,SUMPRODUCT((AB$107:AB$108)*TRANSPOSE(($D110:$E110))),0)</f>
        <v>83536.220501961448</v>
      </c>
      <c r="AC110" s="31" cm="1">
        <f t="array" ref="AC110">AC$106+IF($C110&lt;&gt;0,SUMPRODUCT((AC$107:AC$108)*TRANSPOSE(($D110:$E110))),0)</f>
        <v>83536.22050197635</v>
      </c>
      <c r="AD110" s="31" cm="1">
        <f t="array" ref="AD110">AD$106+IF($C110&lt;&gt;0,SUMPRODUCT((AD$107:AD$108)*TRANSPOSE(($D110:$E110))),0)</f>
        <v>83536.220501961448</v>
      </c>
      <c r="AE110" s="31" cm="1">
        <f t="array" ref="AE110">AE$106+IF($C110&lt;&gt;0,SUMPRODUCT((AE$107:AE$108)*TRANSPOSE(($D110:$E110))),0)</f>
        <v>83536.220501968899</v>
      </c>
      <c r="AF110" s="31" cm="1">
        <f t="array" ref="AF110">AF$106+IF($C110&lt;&gt;0,SUMPRODUCT((AF$107:AF$108)*TRANSPOSE(($D110:$E110))),0)</f>
        <v>83536.220501968899</v>
      </c>
      <c r="AG110" s="31" cm="1">
        <f t="array" ref="AG110">AG$106+IF($C110&lt;&gt;0,SUMPRODUCT((AG$107:AG$108)*TRANSPOSE(($D110:$E110))),0)</f>
        <v>83536.220501961448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-11640.145026410701</v>
      </c>
      <c r="K111" s="31" cm="1">
        <f t="array" ref="K111">K$106+IF($C111&lt;&gt;0,SUMPRODUCT((K$107:K$108)*TRANSPOSE(($D111:$E111))),0)</f>
        <v>-17966.795979033697</v>
      </c>
      <c r="L111" s="31" cm="1">
        <f t="array" ref="L111">L$106+IF($C111&lt;&gt;0,SUMPRODUCT((L$107:L$108)*TRANSPOSE(($D111:$E111))),0)</f>
        <v>-17628.042595414685</v>
      </c>
      <c r="M111" s="31" cm="1">
        <f t="array" ref="M111">M$106+IF($C111&lt;&gt;0,SUMPRODUCT((M$107:M$108)*TRANSPOSE(($D111:$E111))),0)</f>
        <v>-8936.1449272027385</v>
      </c>
      <c r="N111" s="31" cm="1">
        <f t="array" ref="N111">N$106+IF($C111&lt;&gt;0,SUMPRODUCT((N$107:N$108)*TRANSPOSE(($D111:$E111))),0)</f>
        <v>10216.278756464111</v>
      </c>
      <c r="O111" s="31" cm="1">
        <f t="array" ref="O111">O$106+IF($C111&lt;&gt;0,SUMPRODUCT((O$107:O$108)*TRANSPOSE(($D111:$E111))),0)</f>
        <v>35384.266159862491</v>
      </c>
      <c r="P111" s="31" cm="1">
        <f t="array" ref="P111">P$106+IF($C111&lt;&gt;0,SUMPRODUCT((P$107:P$108)*TRANSPOSE(($D111:$E111))),0)</f>
        <v>65061.430713070768</v>
      </c>
      <c r="Q111" s="31" cm="1">
        <f t="array" ref="Q111">Q$106+IF($C111&lt;&gt;0,SUMPRODUCT((Q$107:Q$108)*TRANSPOSE(($D111:$E111))),0)</f>
        <v>82468.473186178337</v>
      </c>
      <c r="R111" s="31" cm="1">
        <f t="array" ref="R111">R$106+IF($C111&lt;&gt;0,SUMPRODUCT((R$107:R$108)*TRANSPOSE(($D111:$E111))),0)</f>
        <v>90011.516972879152</v>
      </c>
      <c r="S111" s="31" cm="1">
        <f t="array" ref="S111">S$106+IF($C111&lt;&gt;0,SUMPRODUCT((S$107:S$108)*TRANSPOSE(($D111:$E111))),0)</f>
        <v>95055.685241775791</v>
      </c>
      <c r="T111" s="31" cm="1">
        <f t="array" ref="T111">T$106+IF($C111&lt;&gt;0,SUMPRODUCT((T$107:T$108)*TRANSPOSE(($D111:$E111))),0)</f>
        <v>100743.57895164771</v>
      </c>
      <c r="U111" s="31" cm="1">
        <f t="array" ref="U111">U$106+IF($C111&lt;&gt;0,SUMPRODUCT((U$107:U$108)*TRANSPOSE(($D111:$E111))),0)</f>
        <v>107158.85044634921</v>
      </c>
      <c r="V111" s="31" cm="1">
        <f t="array" ref="V111">V$106+IF($C111&lt;&gt;0,SUMPRODUCT((V$107:V$108)*TRANSPOSE(($D111:$E111))),0)</f>
        <v>114242.74847573249</v>
      </c>
      <c r="W111" s="31" cm="1">
        <f t="array" ref="W111">W$106+IF($C111&lt;&gt;0,SUMPRODUCT((W$107:W$108)*TRANSPOSE(($D111:$E111))),0)</f>
        <v>114242.74847572503</v>
      </c>
      <c r="X111" s="31" cm="1">
        <f t="array" ref="X111">X$106+IF($C111&lt;&gt;0,SUMPRODUCT((X$107:X$108)*TRANSPOSE(($D111:$E111))),0)</f>
        <v>114242.74847572876</v>
      </c>
      <c r="Y111" s="31" cm="1">
        <f t="array" ref="Y111">Y$106+IF($C111&lt;&gt;0,SUMPRODUCT((Y$107:Y$108)*TRANSPOSE(($D111:$E111))),0)</f>
        <v>114242.74847572876</v>
      </c>
      <c r="Z111" s="31" cm="1">
        <f t="array" ref="Z111">Z$106+IF($C111&lt;&gt;0,SUMPRODUCT((Z$107:Z$108)*TRANSPOSE(($D111:$E111))),0)</f>
        <v>114242.74847572131</v>
      </c>
      <c r="AA111" s="31" cm="1">
        <f t="array" ref="AA111">AA$106+IF($C111&lt;&gt;0,SUMPRODUCT((AA$107:AA$108)*TRANSPOSE(($D111:$E111))),0)</f>
        <v>114242.74847573621</v>
      </c>
      <c r="AB111" s="31" cm="1">
        <f t="array" ref="AB111">AB$106+IF($C111&lt;&gt;0,SUMPRODUCT((AB$107:AB$108)*TRANSPOSE(($D111:$E111))),0)</f>
        <v>114242.74847572131</v>
      </c>
      <c r="AC111" s="31" cm="1">
        <f t="array" ref="AC111">AC$106+IF($C111&lt;&gt;0,SUMPRODUCT((AC$107:AC$108)*TRANSPOSE(($D111:$E111))),0)</f>
        <v>114242.74847573621</v>
      </c>
      <c r="AD111" s="31" cm="1">
        <f t="array" ref="AD111">AD$106+IF($C111&lt;&gt;0,SUMPRODUCT((AD$107:AD$108)*TRANSPOSE(($D111:$E111))),0)</f>
        <v>114242.74847572131</v>
      </c>
      <c r="AE111" s="31" cm="1">
        <f t="array" ref="AE111">AE$106+IF($C111&lt;&gt;0,SUMPRODUCT((AE$107:AE$108)*TRANSPOSE(($D111:$E111))),0)</f>
        <v>114242.74847572876</v>
      </c>
      <c r="AF111" s="31" cm="1">
        <f t="array" ref="AF111">AF$106+IF($C111&lt;&gt;0,SUMPRODUCT((AF$107:AF$108)*TRANSPOSE(($D111:$E111))),0)</f>
        <v>114242.74847572876</v>
      </c>
      <c r="AG111" s="31" cm="1">
        <f t="array" ref="AG111">AG$106+IF($C111&lt;&gt;0,SUMPRODUCT((AG$107:AG$108)*TRANSPOSE(($D111:$E111))),0)</f>
        <v>114242.74847572131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-13111.224808789369</v>
      </c>
      <c r="K112" s="31" cm="1">
        <f t="array" ref="K112">K$106+IF($C112&lt;&gt;0,SUMPRODUCT((K$107:K$108)*TRANSPOSE(($D112:$E112))),0)</f>
        <v>-20377.606136412265</v>
      </c>
      <c r="L112" s="31" cm="1">
        <f t="array" ref="L112">L$106+IF($C112&lt;&gt;0,SUMPRODUCT((L$107:L$108)*TRANSPOSE(($D112:$E112))),0)</f>
        <v>-20312.042694168951</v>
      </c>
      <c r="M112" s="31" cm="1">
        <f t="array" ref="M112">M$106+IF($C112&lt;&gt;0,SUMPRODUCT((M$107:M$108)*TRANSPOSE(($D112:$E112))),0)</f>
        <v>-11058.020538873408</v>
      </c>
      <c r="N112" s="31" cm="1">
        <f t="array" ref="N112">N$106+IF($C112&lt;&gt;0,SUMPRODUCT((N$107:N$108)*TRANSPOSE(($D112:$E112))),0)</f>
        <v>9702.5802334225282</v>
      </c>
      <c r="O112" s="31" cm="1">
        <f t="array" ref="O112">O$106+IF($C112&lt;&gt;0,SUMPRODUCT((O$107:O$108)*TRANSPOSE(($D112:$E112))),0)</f>
        <v>37387.366377160746</v>
      </c>
      <c r="P112" s="31" cm="1">
        <f t="array" ref="P112">P$106+IF($C112&lt;&gt;0,SUMPRODUCT((P$107:P$108)*TRANSPOSE(($D112:$E112))),0)</f>
        <v>70032.247385689843</v>
      </c>
      <c r="Q112" s="31" cm="1">
        <f t="array" ref="Q112">Q$106+IF($C112&lt;&gt;0,SUMPRODUCT((Q$107:Q$108)*TRANSPOSE(($D112:$E112))),0)</f>
        <v>89179.994106108177</v>
      </c>
      <c r="R112" s="31" cm="1">
        <f t="array" ref="R112">R$106+IF($C112&lt;&gt;0,SUMPRODUCT((R$107:R$108)*TRANSPOSE(($D112:$E112))),0)</f>
        <v>97477.342271479079</v>
      </c>
      <c r="S112" s="31" cm="1">
        <f t="array" ref="S112">S$106+IF($C112&lt;&gt;0,SUMPRODUCT((S$107:S$108)*TRANSPOSE(($D112:$E112))),0)</f>
        <v>103025.92736726538</v>
      </c>
      <c r="T112" s="31" cm="1">
        <f t="array" ref="T112">T$106+IF($C112&lt;&gt;0,SUMPRODUCT((T$107:T$108)*TRANSPOSE(($D112:$E112))),0)</f>
        <v>109282.6104481245</v>
      </c>
      <c r="U112" s="31" cm="1">
        <f t="array" ref="U112">U$106+IF($C112&lt;&gt;0,SUMPRODUCT((U$107:U$108)*TRANSPOSE(($D112:$E112))),0)</f>
        <v>116339.40909229615</v>
      </c>
      <c r="V112" s="31" cm="1">
        <f t="array" ref="V112">V$106+IF($C112&lt;&gt;0,SUMPRODUCT((V$107:V$108)*TRANSPOSE(($D112:$E112))),0)</f>
        <v>124131.69692461775</v>
      </c>
      <c r="W112" s="31" cm="1">
        <f t="array" ref="W112">W$106+IF($C112&lt;&gt;0,SUMPRODUCT((W$107:W$108)*TRANSPOSE(($D112:$E112))),0)</f>
        <v>124131.69692460955</v>
      </c>
      <c r="X112" s="31" cm="1">
        <f t="array" ref="X112">X$106+IF($C112&lt;&gt;0,SUMPRODUCT((X$107:X$108)*TRANSPOSE(($D112:$E112))),0)</f>
        <v>124131.69692461364</v>
      </c>
      <c r="Y112" s="31" cm="1">
        <f t="array" ref="Y112">Y$106+IF($C112&lt;&gt;0,SUMPRODUCT((Y$107:Y$108)*TRANSPOSE(($D112:$E112))),0)</f>
        <v>124131.69692461364</v>
      </c>
      <c r="Z112" s="31" cm="1">
        <f t="array" ref="Z112">Z$106+IF($C112&lt;&gt;0,SUMPRODUCT((Z$107:Z$108)*TRANSPOSE(($D112:$E112))),0)</f>
        <v>124131.69692460545</v>
      </c>
      <c r="AA112" s="31" cm="1">
        <f t="array" ref="AA112">AA$106+IF($C112&lt;&gt;0,SUMPRODUCT((AA$107:AA$108)*TRANSPOSE(($D112:$E112))),0)</f>
        <v>124131.69692462185</v>
      </c>
      <c r="AB112" s="31" cm="1">
        <f t="array" ref="AB112">AB$106+IF($C112&lt;&gt;0,SUMPRODUCT((AB$107:AB$108)*TRANSPOSE(($D112:$E112))),0)</f>
        <v>124131.69692460545</v>
      </c>
      <c r="AC112" s="31" cm="1">
        <f t="array" ref="AC112">AC$106+IF($C112&lt;&gt;0,SUMPRODUCT((AC$107:AC$108)*TRANSPOSE(($D112:$E112))),0)</f>
        <v>124131.69692462185</v>
      </c>
      <c r="AD112" s="31" cm="1">
        <f t="array" ref="AD112">AD$106+IF($C112&lt;&gt;0,SUMPRODUCT((AD$107:AD$108)*TRANSPOSE(($D112:$E112))),0)</f>
        <v>124131.69692460545</v>
      </c>
      <c r="AE112" s="31" cm="1">
        <f t="array" ref="AE112">AE$106+IF($C112&lt;&gt;0,SUMPRODUCT((AE$107:AE$108)*TRANSPOSE(($D112:$E112))),0)</f>
        <v>124131.69692461364</v>
      </c>
      <c r="AF112" s="31" cm="1">
        <f t="array" ref="AF112">AF$106+IF($C112&lt;&gt;0,SUMPRODUCT((AF$107:AF$108)*TRANSPOSE(($D112:$E112))),0)</f>
        <v>124131.69692461364</v>
      </c>
      <c r="AG112" s="31" cm="1">
        <f t="array" ref="AG112">AG$106+IF($C112&lt;&gt;0,SUMPRODUCT((AG$107:AG$108)*TRANSPOSE(($D112:$E112))),0)</f>
        <v>124131.69692460545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-16310.370838784007</v>
      </c>
      <c r="K113" s="31" cm="1">
        <f t="array" ref="K113">K$106+IF($C113&lt;&gt;0,SUMPRODUCT((K$107:K$108)*TRANSPOSE(($D113:$E113))),0)</f>
        <v>-27838.59701115908</v>
      </c>
      <c r="L113" s="31" cm="1">
        <f t="array" ref="L113">L$106+IF($C113&lt;&gt;0,SUMPRODUCT((L$107:L$108)*TRANSPOSE(($D113:$E113))),0)</f>
        <v>-33367.959280916344</v>
      </c>
      <c r="M113" s="31" cm="1">
        <f t="array" ref="M113">M$106+IF($C113&lt;&gt;0,SUMPRODUCT((M$107:M$108)*TRANSPOSE(($D113:$E113))),0)</f>
        <v>-31379.491694539967</v>
      </c>
      <c r="N113" s="31" cm="1">
        <f t="array" ref="N113">N$106+IF($C113&lt;&gt;0,SUMPRODUCT((N$107:N$108)*TRANSPOSE(($D113:$E113))),0)</f>
        <v>-19976.550694254183</v>
      </c>
      <c r="O113" s="31" cm="1">
        <f t="array" ref="O113">O$106+IF($C113&lt;&gt;0,SUMPRODUCT((O$107:O$108)*TRANSPOSE(($D113:$E113))),0)</f>
        <v>2674.6379688043598</v>
      </c>
      <c r="P113" s="31" cm="1">
        <f t="array" ref="P113">P$106+IF($C113&lt;&gt;0,SUMPRODUCT((P$107:P$108)*TRANSPOSE(($D113:$E113))),0)</f>
        <v>29384.086066691809</v>
      </c>
      <c r="Q113" s="31" cm="1">
        <f t="array" ref="Q113">Q$106+IF($C113&lt;&gt;0,SUMPRODUCT((Q$107:Q$108)*TRANSPOSE(($D113:$E113))),0)</f>
        <v>45050.424292488628</v>
      </c>
      <c r="R113" s="31" cm="1">
        <f t="array" ref="R113">R$106+IF($C113&lt;&gt;0,SUMPRODUCT((R$107:R$108)*TRANSPOSE(($D113:$E113))),0)</f>
        <v>51839.163700519362</v>
      </c>
      <c r="S113" s="31" cm="1">
        <f t="array" ref="S113">S$106+IF($C113&lt;&gt;0,SUMPRODUCT((S$107:S$108)*TRANSPOSE(($D113:$E113))),0)</f>
        <v>56378.915142526341</v>
      </c>
      <c r="T113" s="31" cm="1">
        <f t="array" ref="T113">T$106+IF($C113&lt;&gt;0,SUMPRODUCT((T$107:T$108)*TRANSPOSE(($D113:$E113))),0)</f>
        <v>61498.019481411058</v>
      </c>
      <c r="U113" s="31" cm="1">
        <f t="array" ref="U113">U$106+IF($C113&lt;&gt;0,SUMPRODUCT((U$107:U$108)*TRANSPOSE(($D113:$E113))),0)</f>
        <v>67271.763826642418</v>
      </c>
      <c r="V113" s="31" cm="1">
        <f t="array" ref="V113">V$106+IF($C113&lt;&gt;0,SUMPRODUCT((V$107:V$108)*TRANSPOSE(($D113:$E113))),0)</f>
        <v>73647.272053087363</v>
      </c>
      <c r="W113" s="31" cm="1">
        <f t="array" ref="W113">W$106+IF($C113&lt;&gt;0,SUMPRODUCT((W$107:W$108)*TRANSPOSE(($D113:$E113))),0)</f>
        <v>73647.272053080655</v>
      </c>
      <c r="X113" s="31" cm="1">
        <f t="array" ref="X113">X$106+IF($C113&lt;&gt;0,SUMPRODUCT((X$107:X$108)*TRANSPOSE(($D113:$E113))),0)</f>
        <v>73647.272053084016</v>
      </c>
      <c r="Y113" s="31" cm="1">
        <f t="array" ref="Y113">Y$106+IF($C113&lt;&gt;0,SUMPRODUCT((Y$107:Y$108)*TRANSPOSE(($D113:$E113))),0)</f>
        <v>73647.272053084016</v>
      </c>
      <c r="Z113" s="31" cm="1">
        <f t="array" ref="Z113">Z$106+IF($C113&lt;&gt;0,SUMPRODUCT((Z$107:Z$108)*TRANSPOSE(($D113:$E113))),0)</f>
        <v>73647.272053077308</v>
      </c>
      <c r="AA113" s="31" cm="1">
        <f t="array" ref="AA113">AA$106+IF($C113&lt;&gt;0,SUMPRODUCT((AA$107:AA$108)*TRANSPOSE(($D113:$E113))),0)</f>
        <v>73647.27205309071</v>
      </c>
      <c r="AB113" s="31" cm="1">
        <f t="array" ref="AB113">AB$106+IF($C113&lt;&gt;0,SUMPRODUCT((AB$107:AB$108)*TRANSPOSE(($D113:$E113))),0)</f>
        <v>73647.272053077308</v>
      </c>
      <c r="AC113" s="31" cm="1">
        <f t="array" ref="AC113">AC$106+IF($C113&lt;&gt;0,SUMPRODUCT((AC$107:AC$108)*TRANSPOSE(($D113:$E113))),0)</f>
        <v>73647.27205309071</v>
      </c>
      <c r="AD113" s="31" cm="1">
        <f t="array" ref="AD113">AD$106+IF($C113&lt;&gt;0,SUMPRODUCT((AD$107:AD$108)*TRANSPOSE(($D113:$E113))),0)</f>
        <v>73647.272053077308</v>
      </c>
      <c r="AE113" s="31" cm="1">
        <f t="array" ref="AE113">AE$106+IF($C113&lt;&gt;0,SUMPRODUCT((AE$107:AE$108)*TRANSPOSE(($D113:$E113))),0)</f>
        <v>73647.272053084016</v>
      </c>
      <c r="AF113" s="31" cm="1">
        <f t="array" ref="AF113">AF$106+IF($C113&lt;&gt;0,SUMPRODUCT((AF$107:AF$108)*TRANSPOSE(($D113:$E113))),0)</f>
        <v>73647.272053084016</v>
      </c>
      <c r="AG113" s="31" cm="1">
        <f t="array" ref="AG113">AG$106+IF($C113&lt;&gt;0,SUMPRODUCT((AG$107:AG$108)*TRANSPOSE(($D113:$E113))),0)</f>
        <v>73647.272053077308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-19381.023636159996</v>
      </c>
      <c r="K114" s="31" cm="1">
        <f t="array" ref="K114">K$106+IF($C114&lt;&gt;0,SUMPRODUCT((K$107:K$108)*TRANSPOSE(($D114:$E114))),0)</f>
        <v>-33979.902605911055</v>
      </c>
      <c r="L114" s="31" cm="1">
        <f t="array" ref="L114">L$106+IF($C114&lt;&gt;0,SUMPRODUCT((L$107:L$108)*TRANSPOSE(($D114:$E114))),0)</f>
        <v>-42579.917673044307</v>
      </c>
      <c r="M114" s="31" cm="1">
        <f t="array" ref="M114">M$106+IF($C114&lt;&gt;0,SUMPRODUCT((M$107:M$108)*TRANSPOSE(($D114:$E114))),0)</f>
        <v>-43662.102884043918</v>
      </c>
      <c r="N114" s="31" cm="1">
        <f t="array" ref="N114">N$106+IF($C114&lt;&gt;0,SUMPRODUCT((N$107:N$108)*TRANSPOSE(($D114:$E114))),0)</f>
        <v>-35329.814681134121</v>
      </c>
      <c r="O114" s="31" cm="1">
        <f t="array" ref="O114">O$106+IF($C114&lt;&gt;0,SUMPRODUCT((O$107:O$108)*TRANSPOSE(($D114:$E114))),0)</f>
        <v>-12678.626018075578</v>
      </c>
      <c r="P114" s="31" cm="1">
        <f t="array" ref="P114">P$106+IF($C114&lt;&gt;0,SUMPRODUCT((P$107:P$108)*TRANSPOSE(($D114:$E114))),0)</f>
        <v>14030.822079811871</v>
      </c>
      <c r="Q114" s="31" cm="1">
        <f t="array" ref="Q114">Q$106+IF($C114&lt;&gt;0,SUMPRODUCT((Q$107:Q$108)*TRANSPOSE(($D114:$E114))),0)</f>
        <v>29697.16030560869</v>
      </c>
      <c r="R114" s="31" cm="1">
        <f t="array" ref="R114">R$106+IF($C114&lt;&gt;0,SUMPRODUCT((R$107:R$108)*TRANSPOSE(($D114:$E114))),0)</f>
        <v>36485.899713639425</v>
      </c>
      <c r="S114" s="31" cm="1">
        <f t="array" ref="S114">S$106+IF($C114&lt;&gt;0,SUMPRODUCT((S$107:S$108)*TRANSPOSE(($D114:$E114))),0)</f>
        <v>41025.651155646396</v>
      </c>
      <c r="T114" s="31" cm="1">
        <f t="array" ref="T114">T$106+IF($C114&lt;&gt;0,SUMPRODUCT((T$107:T$108)*TRANSPOSE(($D114:$E114))),0)</f>
        <v>46144.755494531128</v>
      </c>
      <c r="U114" s="31" cm="1">
        <f t="array" ref="U114">U$106+IF($C114&lt;&gt;0,SUMPRODUCT((U$107:U$108)*TRANSPOSE(($D114:$E114))),0)</f>
        <v>51918.49983976248</v>
      </c>
      <c r="V114" s="31" cm="1">
        <f t="array" ref="V114">V$106+IF($C114&lt;&gt;0,SUMPRODUCT((V$107:V$108)*TRANSPOSE(($D114:$E114))),0)</f>
        <v>58294.008066207425</v>
      </c>
      <c r="W114" s="31" cm="1">
        <f t="array" ref="W114">W$106+IF($C114&lt;&gt;0,SUMPRODUCT((W$107:W$108)*TRANSPOSE(($D114:$E114))),0)</f>
        <v>58294.008066200717</v>
      </c>
      <c r="X114" s="31" cm="1">
        <f t="array" ref="X114">X$106+IF($C114&lt;&gt;0,SUMPRODUCT((X$107:X$108)*TRANSPOSE(($D114:$E114))),0)</f>
        <v>58294.008066204071</v>
      </c>
      <c r="Y114" s="31" cm="1">
        <f t="array" ref="Y114">Y$106+IF($C114&lt;&gt;0,SUMPRODUCT((Y$107:Y$108)*TRANSPOSE(($D114:$E114))),0)</f>
        <v>58294.008066204071</v>
      </c>
      <c r="Z114" s="31" cm="1">
        <f t="array" ref="Z114">Z$106+IF($C114&lt;&gt;0,SUMPRODUCT((Z$107:Z$108)*TRANSPOSE(($D114:$E114))),0)</f>
        <v>58294.008066197362</v>
      </c>
      <c r="AA114" s="31" cm="1">
        <f t="array" ref="AA114">AA$106+IF($C114&lt;&gt;0,SUMPRODUCT((AA$107:AA$108)*TRANSPOSE(($D114:$E114))),0)</f>
        <v>58294.008066210779</v>
      </c>
      <c r="AB114" s="31" cm="1">
        <f t="array" ref="AB114">AB$106+IF($C114&lt;&gt;0,SUMPRODUCT((AB$107:AB$108)*TRANSPOSE(($D114:$E114))),0)</f>
        <v>58294.008066197362</v>
      </c>
      <c r="AC114" s="31" cm="1">
        <f t="array" ref="AC114">AC$106+IF($C114&lt;&gt;0,SUMPRODUCT((AC$107:AC$108)*TRANSPOSE(($D114:$E114))),0)</f>
        <v>58294.008066210779</v>
      </c>
      <c r="AD114" s="31" cm="1">
        <f t="array" ref="AD114">AD$106+IF($C114&lt;&gt;0,SUMPRODUCT((AD$107:AD$108)*TRANSPOSE(($D114:$E114))),0)</f>
        <v>58294.008066197362</v>
      </c>
      <c r="AE114" s="31" cm="1">
        <f t="array" ref="AE114">AE$106+IF($C114&lt;&gt;0,SUMPRODUCT((AE$107:AE$108)*TRANSPOSE(($D114:$E114))),0)</f>
        <v>58294.008066204071</v>
      </c>
      <c r="AF114" s="31" cm="1">
        <f t="array" ref="AF114">AF$106+IF($C114&lt;&gt;0,SUMPRODUCT((AF$107:AF$108)*TRANSPOSE(($D114:$E114))),0)</f>
        <v>58294.008066204071</v>
      </c>
      <c r="AG114" s="31" cm="1">
        <f t="array" ref="AG114">AG$106+IF($C114&lt;&gt;0,SUMPRODUCT((AG$107:AG$108)*TRANSPOSE(($D114:$E114))),0)</f>
        <v>58294.008066197362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-14710.797823786688</v>
      </c>
      <c r="K115" s="31" cm="1">
        <f t="array" ref="K115">K$106+IF($C115&lt;&gt;0,SUMPRODUCT((K$107:K$108)*TRANSPOSE(($D115:$E115))),0)</f>
        <v>-24108.101573785672</v>
      </c>
      <c r="L115" s="31" cm="1">
        <f t="array" ref="L115">L$106+IF($C115&lt;&gt;0,SUMPRODUCT((L$107:L$108)*TRANSPOSE(($D115:$E115))),0)</f>
        <v>-26840.000987542648</v>
      </c>
      <c r="M115" s="31" cm="1">
        <f t="array" ref="M115">M$106+IF($C115&lt;&gt;0,SUMPRODUCT((M$107:M$108)*TRANSPOSE(($D115:$E115))),0)</f>
        <v>-21218.756116706689</v>
      </c>
      <c r="N115" s="31" cm="1">
        <f t="array" ref="N115">N$106+IF($C115&lt;&gt;0,SUMPRODUCT((N$107:N$108)*TRANSPOSE(($D115:$E115))),0)</f>
        <v>-5136.9852304158267</v>
      </c>
      <c r="O115" s="31" cm="1">
        <f t="array" ref="O115">O$106+IF($C115&lt;&gt;0,SUMPRODUCT((O$107:O$108)*TRANSPOSE(($D115:$E115))),0)</f>
        <v>20031.002172982553</v>
      </c>
      <c r="P115" s="31" cm="1">
        <f t="array" ref="P115">P$106+IF($C115&lt;&gt;0,SUMPRODUCT((P$107:P$108)*TRANSPOSE(($D115:$E115))),0)</f>
        <v>49708.16672619083</v>
      </c>
      <c r="Q115" s="31" cm="1">
        <f t="array" ref="Q115">Q$106+IF($C115&lt;&gt;0,SUMPRODUCT((Q$107:Q$108)*TRANSPOSE(($D115:$E115))),0)</f>
        <v>67115.209199298406</v>
      </c>
      <c r="R115" s="31" cm="1">
        <f t="array" ref="R115">R$106+IF($C115&lt;&gt;0,SUMPRODUCT((R$107:R$108)*TRANSPOSE(($D115:$E115))),0)</f>
        <v>74658.252985999221</v>
      </c>
      <c r="S115" s="31" cm="1">
        <f t="array" ref="S115">S$106+IF($C115&lt;&gt;0,SUMPRODUCT((S$107:S$108)*TRANSPOSE(($D115:$E115))),0)</f>
        <v>79702.42125489586</v>
      </c>
      <c r="T115" s="31" cm="1">
        <f t="array" ref="T115">T$106+IF($C115&lt;&gt;0,SUMPRODUCT((T$107:T$108)*TRANSPOSE(($D115:$E115))),0)</f>
        <v>85390.314964767778</v>
      </c>
      <c r="U115" s="31" cm="1">
        <f t="array" ref="U115">U$106+IF($C115&lt;&gt;0,SUMPRODUCT((U$107:U$108)*TRANSPOSE(($D115:$E115))),0)</f>
        <v>91805.586459469283</v>
      </c>
      <c r="V115" s="31" cm="1">
        <f t="array" ref="V115">V$106+IF($C115&lt;&gt;0,SUMPRODUCT((V$107:V$108)*TRANSPOSE(($D115:$E115))),0)</f>
        <v>98889.484488852555</v>
      </c>
      <c r="W115" s="31" cm="1">
        <f t="array" ref="W115">W$106+IF($C115&lt;&gt;0,SUMPRODUCT((W$107:W$108)*TRANSPOSE(($D115:$E115))),0)</f>
        <v>98889.484488845104</v>
      </c>
      <c r="X115" s="31" cm="1">
        <f t="array" ref="X115">X$106+IF($C115&lt;&gt;0,SUMPRODUCT((X$107:X$108)*TRANSPOSE(($D115:$E115))),0)</f>
        <v>98889.48448884883</v>
      </c>
      <c r="Y115" s="31" cm="1">
        <f t="array" ref="Y115">Y$106+IF($C115&lt;&gt;0,SUMPRODUCT((Y$107:Y$108)*TRANSPOSE(($D115:$E115))),0)</f>
        <v>98889.48448884883</v>
      </c>
      <c r="Z115" s="31" cm="1">
        <f t="array" ref="Z115">Z$106+IF($C115&lt;&gt;0,SUMPRODUCT((Z$107:Z$108)*TRANSPOSE(($D115:$E115))),0)</f>
        <v>98889.484488841379</v>
      </c>
      <c r="AA115" s="31" cm="1">
        <f t="array" ref="AA115">AA$106+IF($C115&lt;&gt;0,SUMPRODUCT((AA$107:AA$108)*TRANSPOSE(($D115:$E115))),0)</f>
        <v>98889.48448885628</v>
      </c>
      <c r="AB115" s="31" cm="1">
        <f t="array" ref="AB115">AB$106+IF($C115&lt;&gt;0,SUMPRODUCT((AB$107:AB$108)*TRANSPOSE(($D115:$E115))),0)</f>
        <v>98889.484488841379</v>
      </c>
      <c r="AC115" s="31" cm="1">
        <f t="array" ref="AC115">AC$106+IF($C115&lt;&gt;0,SUMPRODUCT((AC$107:AC$108)*TRANSPOSE(($D115:$E115))),0)</f>
        <v>98889.48448885628</v>
      </c>
      <c r="AD115" s="31" cm="1">
        <f t="array" ref="AD115">AD$106+IF($C115&lt;&gt;0,SUMPRODUCT((AD$107:AD$108)*TRANSPOSE(($D115:$E115))),0)</f>
        <v>98889.484488841379</v>
      </c>
      <c r="AE115" s="31" cm="1">
        <f t="array" ref="AE115">AE$106+IF($C115&lt;&gt;0,SUMPRODUCT((AE$107:AE$108)*TRANSPOSE(($D115:$E115))),0)</f>
        <v>98889.48448884883</v>
      </c>
      <c r="AF115" s="31" cm="1">
        <f t="array" ref="AF115">AF$106+IF($C115&lt;&gt;0,SUMPRODUCT((AF$107:AF$108)*TRANSPOSE(($D115:$E115))),0)</f>
        <v>98889.48448884883</v>
      </c>
      <c r="AG115" s="31" cm="1">
        <f t="array" ref="AG115">AG$106+IF($C115&lt;&gt;0,SUMPRODUCT((AG$107:AG$108)*TRANSPOSE(($D115:$E115))),0)</f>
        <v>98889.484488841379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-14710.797823786688</v>
      </c>
      <c r="K116" s="31" cm="1">
        <f t="array" ref="K116">K$106+IF($C116&lt;&gt;0,SUMPRODUCT((K$107:K$108)*TRANSPOSE(($D116:$E116))),0)</f>
        <v>-24108.101573785672</v>
      </c>
      <c r="L116" s="31" cm="1">
        <f t="array" ref="L116">L$106+IF($C116&lt;&gt;0,SUMPRODUCT((L$107:L$108)*TRANSPOSE(($D116:$E116))),0)</f>
        <v>-26840.000987542648</v>
      </c>
      <c r="M116" s="31" cm="1">
        <f t="array" ref="M116">M$106+IF($C116&lt;&gt;0,SUMPRODUCT((M$107:M$108)*TRANSPOSE(($D116:$E116))),0)</f>
        <v>-21218.756116706689</v>
      </c>
      <c r="N116" s="31" cm="1">
        <f t="array" ref="N116">N$106+IF($C116&lt;&gt;0,SUMPRODUCT((N$107:N$108)*TRANSPOSE(($D116:$E116))),0)</f>
        <v>-5136.9852304158267</v>
      </c>
      <c r="O116" s="31" cm="1">
        <f t="array" ref="O116">O$106+IF($C116&lt;&gt;0,SUMPRODUCT((O$107:O$108)*TRANSPOSE(($D116:$E116))),0)</f>
        <v>20031.002172982553</v>
      </c>
      <c r="P116" s="31" cm="1">
        <f t="array" ref="P116">P$106+IF($C116&lt;&gt;0,SUMPRODUCT((P$107:P$108)*TRANSPOSE(($D116:$E116))),0)</f>
        <v>49708.16672619083</v>
      </c>
      <c r="Q116" s="31" cm="1">
        <f t="array" ref="Q116">Q$106+IF($C116&lt;&gt;0,SUMPRODUCT((Q$107:Q$108)*TRANSPOSE(($D116:$E116))),0)</f>
        <v>67115.209199298406</v>
      </c>
      <c r="R116" s="31" cm="1">
        <f t="array" ref="R116">R$106+IF($C116&lt;&gt;0,SUMPRODUCT((R$107:R$108)*TRANSPOSE(($D116:$E116))),0)</f>
        <v>74658.252985999221</v>
      </c>
      <c r="S116" s="31" cm="1">
        <f t="array" ref="S116">S$106+IF($C116&lt;&gt;0,SUMPRODUCT((S$107:S$108)*TRANSPOSE(($D116:$E116))),0)</f>
        <v>79702.42125489586</v>
      </c>
      <c r="T116" s="31" cm="1">
        <f t="array" ref="T116">T$106+IF($C116&lt;&gt;0,SUMPRODUCT((T$107:T$108)*TRANSPOSE(($D116:$E116))),0)</f>
        <v>85390.314964767778</v>
      </c>
      <c r="U116" s="31" cm="1">
        <f t="array" ref="U116">U$106+IF($C116&lt;&gt;0,SUMPRODUCT((U$107:U$108)*TRANSPOSE(($D116:$E116))),0)</f>
        <v>91805.586459469283</v>
      </c>
      <c r="V116" s="31" cm="1">
        <f t="array" ref="V116">V$106+IF($C116&lt;&gt;0,SUMPRODUCT((V$107:V$108)*TRANSPOSE(($D116:$E116))),0)</f>
        <v>98889.484488852555</v>
      </c>
      <c r="W116" s="31" cm="1">
        <f t="array" ref="W116">W$106+IF($C116&lt;&gt;0,SUMPRODUCT((W$107:W$108)*TRANSPOSE(($D116:$E116))),0)</f>
        <v>98889.484488845104</v>
      </c>
      <c r="X116" s="31" cm="1">
        <f t="array" ref="X116">X$106+IF($C116&lt;&gt;0,SUMPRODUCT((X$107:X$108)*TRANSPOSE(($D116:$E116))),0)</f>
        <v>98889.48448884883</v>
      </c>
      <c r="Y116" s="31" cm="1">
        <f t="array" ref="Y116">Y$106+IF($C116&lt;&gt;0,SUMPRODUCT((Y$107:Y$108)*TRANSPOSE(($D116:$E116))),0)</f>
        <v>98889.48448884883</v>
      </c>
      <c r="Z116" s="31" cm="1">
        <f t="array" ref="Z116">Z$106+IF($C116&lt;&gt;0,SUMPRODUCT((Z$107:Z$108)*TRANSPOSE(($D116:$E116))),0)</f>
        <v>98889.484488841379</v>
      </c>
      <c r="AA116" s="31" cm="1">
        <f t="array" ref="AA116">AA$106+IF($C116&lt;&gt;0,SUMPRODUCT((AA$107:AA$108)*TRANSPOSE(($D116:$E116))),0)</f>
        <v>98889.48448885628</v>
      </c>
      <c r="AB116" s="31" cm="1">
        <f t="array" ref="AB116">AB$106+IF($C116&lt;&gt;0,SUMPRODUCT((AB$107:AB$108)*TRANSPOSE(($D116:$E116))),0)</f>
        <v>98889.484488841379</v>
      </c>
      <c r="AC116" s="31" cm="1">
        <f t="array" ref="AC116">AC$106+IF($C116&lt;&gt;0,SUMPRODUCT((AC$107:AC$108)*TRANSPOSE(($D116:$E116))),0)</f>
        <v>98889.48448885628</v>
      </c>
      <c r="AD116" s="31" cm="1">
        <f t="array" ref="AD116">AD$106+IF($C116&lt;&gt;0,SUMPRODUCT((AD$107:AD$108)*TRANSPOSE(($D116:$E116))),0)</f>
        <v>98889.484488841379</v>
      </c>
      <c r="AE116" s="31" cm="1">
        <f t="array" ref="AE116">AE$106+IF($C116&lt;&gt;0,SUMPRODUCT((AE$107:AE$108)*TRANSPOSE(($D116:$E116))),0)</f>
        <v>98889.48448884883</v>
      </c>
      <c r="AF116" s="31" cm="1">
        <f t="array" ref="AF116">AF$106+IF($C116&lt;&gt;0,SUMPRODUCT((AF$107:AF$108)*TRANSPOSE(($D116:$E116))),0)</f>
        <v>98889.48448884883</v>
      </c>
      <c r="AG116" s="31" cm="1">
        <f t="array" ref="AG116">AG$106+IF($C116&lt;&gt;0,SUMPRODUCT((AG$107:AG$108)*TRANSPOSE(($D116:$E116))),0)</f>
        <v>98889.484488841379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-14710.797823786688</v>
      </c>
      <c r="K117" s="31" cm="1">
        <f t="array" ref="K117">K$106+IF($C117&lt;&gt;0,SUMPRODUCT((K$107:K$108)*TRANSPOSE(($D117:$E117))),0)</f>
        <v>-24108.101573785672</v>
      </c>
      <c r="L117" s="31" cm="1">
        <f t="array" ref="L117">L$106+IF($C117&lt;&gt;0,SUMPRODUCT((L$107:L$108)*TRANSPOSE(($D117:$E117))),0)</f>
        <v>-26840.000987542648</v>
      </c>
      <c r="M117" s="31" cm="1">
        <f t="array" ref="M117">M$106+IF($C117&lt;&gt;0,SUMPRODUCT((M$107:M$108)*TRANSPOSE(($D117:$E117))),0)</f>
        <v>-21218.756116706689</v>
      </c>
      <c r="N117" s="31" cm="1">
        <f t="array" ref="N117">N$106+IF($C117&lt;&gt;0,SUMPRODUCT((N$107:N$108)*TRANSPOSE(($D117:$E117))),0)</f>
        <v>-5136.9852304158267</v>
      </c>
      <c r="O117" s="31" cm="1">
        <f t="array" ref="O117">O$106+IF($C117&lt;&gt;0,SUMPRODUCT((O$107:O$108)*TRANSPOSE(($D117:$E117))),0)</f>
        <v>20031.002172982553</v>
      </c>
      <c r="P117" s="31" cm="1">
        <f t="array" ref="P117">P$106+IF($C117&lt;&gt;0,SUMPRODUCT((P$107:P$108)*TRANSPOSE(($D117:$E117))),0)</f>
        <v>49708.16672619083</v>
      </c>
      <c r="Q117" s="31" cm="1">
        <f t="array" ref="Q117">Q$106+IF($C117&lt;&gt;0,SUMPRODUCT((Q$107:Q$108)*TRANSPOSE(($D117:$E117))),0)</f>
        <v>67115.209199298406</v>
      </c>
      <c r="R117" s="31" cm="1">
        <f t="array" ref="R117">R$106+IF($C117&lt;&gt;0,SUMPRODUCT((R$107:R$108)*TRANSPOSE(($D117:$E117))),0)</f>
        <v>74658.252985999221</v>
      </c>
      <c r="S117" s="31" cm="1">
        <f t="array" ref="S117">S$106+IF($C117&lt;&gt;0,SUMPRODUCT((S$107:S$108)*TRANSPOSE(($D117:$E117))),0)</f>
        <v>79702.42125489586</v>
      </c>
      <c r="T117" s="31" cm="1">
        <f t="array" ref="T117">T$106+IF($C117&lt;&gt;0,SUMPRODUCT((T$107:T$108)*TRANSPOSE(($D117:$E117))),0)</f>
        <v>85390.314964767778</v>
      </c>
      <c r="U117" s="31" cm="1">
        <f t="array" ref="U117">U$106+IF($C117&lt;&gt;0,SUMPRODUCT((U$107:U$108)*TRANSPOSE(($D117:$E117))),0)</f>
        <v>91805.586459469283</v>
      </c>
      <c r="V117" s="31" cm="1">
        <f t="array" ref="V117">V$106+IF($C117&lt;&gt;0,SUMPRODUCT((V$107:V$108)*TRANSPOSE(($D117:$E117))),0)</f>
        <v>98889.484488852555</v>
      </c>
      <c r="W117" s="31" cm="1">
        <f t="array" ref="W117">W$106+IF($C117&lt;&gt;0,SUMPRODUCT((W$107:W$108)*TRANSPOSE(($D117:$E117))),0)</f>
        <v>98889.484488845104</v>
      </c>
      <c r="X117" s="31" cm="1">
        <f t="array" ref="X117">X$106+IF($C117&lt;&gt;0,SUMPRODUCT((X$107:X$108)*TRANSPOSE(($D117:$E117))),0)</f>
        <v>98889.48448884883</v>
      </c>
      <c r="Y117" s="31" cm="1">
        <f t="array" ref="Y117">Y$106+IF($C117&lt;&gt;0,SUMPRODUCT((Y$107:Y$108)*TRANSPOSE(($D117:$E117))),0)</f>
        <v>98889.48448884883</v>
      </c>
      <c r="Z117" s="31" cm="1">
        <f t="array" ref="Z117">Z$106+IF($C117&lt;&gt;0,SUMPRODUCT((Z$107:Z$108)*TRANSPOSE(($D117:$E117))),0)</f>
        <v>98889.484488841379</v>
      </c>
      <c r="AA117" s="31" cm="1">
        <f t="array" ref="AA117">AA$106+IF($C117&lt;&gt;0,SUMPRODUCT((AA$107:AA$108)*TRANSPOSE(($D117:$E117))),0)</f>
        <v>98889.48448885628</v>
      </c>
      <c r="AB117" s="31" cm="1">
        <f t="array" ref="AB117">AB$106+IF($C117&lt;&gt;0,SUMPRODUCT((AB$107:AB$108)*TRANSPOSE(($D117:$E117))),0)</f>
        <v>98889.484488841379</v>
      </c>
      <c r="AC117" s="31" cm="1">
        <f t="array" ref="AC117">AC$106+IF($C117&lt;&gt;0,SUMPRODUCT((AC$107:AC$108)*TRANSPOSE(($D117:$E117))),0)</f>
        <v>98889.48448885628</v>
      </c>
      <c r="AD117" s="31" cm="1">
        <f t="array" ref="AD117">AD$106+IF($C117&lt;&gt;0,SUMPRODUCT((AD$107:AD$108)*TRANSPOSE(($D117:$E117))),0)</f>
        <v>98889.484488841379</v>
      </c>
      <c r="AE117" s="31" cm="1">
        <f t="array" ref="AE117">AE$106+IF($C117&lt;&gt;0,SUMPRODUCT((AE$107:AE$108)*TRANSPOSE(($D117:$E117))),0)</f>
        <v>98889.48448884883</v>
      </c>
      <c r="AF117" s="31" cm="1">
        <f t="array" ref="AF117">AF$106+IF($C117&lt;&gt;0,SUMPRODUCT((AF$107:AF$108)*TRANSPOSE(($D117:$E117))),0)</f>
        <v>98889.48448884883</v>
      </c>
      <c r="AG117" s="31" cm="1">
        <f t="array" ref="AG117">AG$106+IF($C117&lt;&gt;0,SUMPRODUCT((AG$107:AG$108)*TRANSPOSE(($D117:$E117))),0)</f>
        <v>98889.484488841379</v>
      </c>
    </row>
    <row r="118" spans="1:33" x14ac:dyDescent="0.2">
      <c r="E118" s="2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3"/>
      <c r="J129" s="253"/>
      <c r="K129" s="253"/>
      <c r="L129" s="253"/>
    </row>
    <row r="130" spans="9:12" x14ac:dyDescent="0.2">
      <c r="I130" s="253"/>
      <c r="J130" s="253"/>
      <c r="K130" s="253"/>
      <c r="L130" s="253"/>
    </row>
    <row r="131" spans="9:12" x14ac:dyDescent="0.2">
      <c r="I131" s="253"/>
      <c r="J131" s="253"/>
      <c r="K131" s="253"/>
      <c r="L131" s="253"/>
    </row>
    <row r="132" spans="9:12" x14ac:dyDescent="0.2">
      <c r="I132" s="253"/>
      <c r="J132" s="253"/>
      <c r="K132" s="253"/>
      <c r="L132" s="253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Replace highest 10 delta risk cable sections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IF(INDEX(Misc_calcs!$D$45:$D$63, MATCH(A3, Misc_calcs!$B$45:$B$63,0)), Misc_calcs!$B$66,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51">
        <v>60</v>
      </c>
      <c r="G14" s="211">
        <f>input_dollars</f>
        <v>45291</v>
      </c>
      <c r="H14" s="152"/>
      <c r="I14" s="32">
        <f>Workings_costs!E45</f>
        <v>1460007.3759999999</v>
      </c>
      <c r="J14" s="32">
        <f>Workings_costs!F45</f>
        <v>1460007.3759999999</v>
      </c>
      <c r="K14" s="32">
        <f>Workings_costs!G45</f>
        <v>1460007.3759999999</v>
      </c>
      <c r="L14" s="32">
        <f>Workings_costs!H45</f>
        <v>1460007.3759999999</v>
      </c>
      <c r="M14" s="32">
        <f>Workings_costs!I45</f>
        <v>1460007.3759999999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1460007.3759999999</v>
      </c>
      <c r="J17" s="106">
        <f t="shared" si="0"/>
        <v>1460007.3759999999</v>
      </c>
      <c r="K17" s="106">
        <f t="shared" si="0"/>
        <v>1460007.3759999999</v>
      </c>
      <c r="L17" s="106">
        <f t="shared" si="0"/>
        <v>1460007.3759999999</v>
      </c>
      <c r="M17" s="106">
        <f t="shared" si="0"/>
        <v>1460007.3759999999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9"/>
      <c r="AH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81.482802725768195</v>
      </c>
      <c r="J27" s="172">
        <f>INDEX(Workings_risks!I$47:I$51, MATCH($A$3, Workings_risks!$C$47:$C$51,0))</f>
        <v>89.644050315271471</v>
      </c>
      <c r="K27" s="172">
        <f>INDEX(Workings_risks!J$47:J$51, MATCH($A$3, Workings_risks!$C$47:$C$51,0))</f>
        <v>99.1080231077608</v>
      </c>
      <c r="L27" s="172">
        <f>INDEX(Workings_risks!K$47:K$51, MATCH($A$3, Workings_risks!$C$47:$C$51,0))</f>
        <v>109.95977602385965</v>
      </c>
      <c r="M27" s="172">
        <f>INDEX(Workings_risks!L$47:L$51, MATCH($A$3, Workings_risks!$C$47:$C$51,0))</f>
        <v>122.38782599405533</v>
      </c>
      <c r="N27" s="172">
        <f>INDEX(Workings_risks!M$47:M$51, MATCH($A$3, Workings_risks!$C$47:$C$51,0))</f>
        <v>136.64288744526723</v>
      </c>
      <c r="O27" s="172">
        <f>INDEX(Workings_risks!N$47:N$51, MATCH($A$3, Workings_risks!$C$47:$C$51,0))</f>
        <v>153.21782194975995</v>
      </c>
      <c r="P27" s="172">
        <f>INDEX(Workings_risks!O$47:O$51, MATCH($A$3, Workings_risks!$C$47:$C$51,0))</f>
        <v>172.18783293655162</v>
      </c>
      <c r="Q27" s="172">
        <f>INDEX(Workings_risks!P$47:P$51, MATCH($A$3, Workings_risks!$C$47:$C$51,0))</f>
        <v>193.06401834260814</v>
      </c>
      <c r="R27" s="172">
        <f>INDEX(Workings_risks!Q$47:Q$51, MATCH($A$3, Workings_risks!$C$47:$C$51,0))</f>
        <v>215.31900121495363</v>
      </c>
      <c r="S27" s="172">
        <f>INDEX(Workings_risks!R$47:R$51, MATCH($A$3, Workings_risks!$C$47:$C$51,0))</f>
        <v>238.83137227366581</v>
      </c>
      <c r="T27" s="172">
        <f>INDEX(Workings_risks!S$47:S$51, MATCH($A$3, Workings_risks!$C$47:$C$51,0))</f>
        <v>264.87658874022588</v>
      </c>
      <c r="U27" s="172">
        <f>INDEX(Workings_risks!T$47:T$51, MATCH($A$3, Workings_risks!$C$47:$C$51,0))</f>
        <v>293.2020183913977</v>
      </c>
      <c r="V27" s="172">
        <f>INDEX(Workings_risks!U$47:U$51, MATCH($A$3, Workings_risks!$C$47:$C$51,0))</f>
        <v>322.35200147747059</v>
      </c>
      <c r="W27" s="172">
        <f>INDEX(Workings_risks!V$47:V$51, MATCH($A$3, Workings_risks!$C$47:$C$51,0))</f>
        <v>350.09646035713115</v>
      </c>
      <c r="X27" s="172">
        <f>INDEX(Workings_risks!W$47:W$51, MATCH($A$3, Workings_risks!$C$47:$C$51,0))</f>
        <v>376.82252667241994</v>
      </c>
      <c r="Y27" s="172">
        <f>INDEX(Workings_risks!X$47:X$51, MATCH($A$3, Workings_risks!$C$47:$C$51,0))</f>
        <v>402.99066020008888</v>
      </c>
      <c r="Z27" s="172">
        <f>INDEX(Workings_risks!Y$47:Y$51, MATCH($A$3, Workings_risks!$C$47:$C$51,0))</f>
        <v>427.62279134900336</v>
      </c>
      <c r="AA27" s="172">
        <f>INDEX(Workings_risks!Z$47:Z$51, MATCH($A$3, Workings_risks!$C$47:$C$51,0))</f>
        <v>450.17484232150417</v>
      </c>
      <c r="AB27" s="172">
        <f>INDEX(Workings_risks!AA$47:AA$51, MATCH($A$3, Workings_risks!$C$47:$C$51,0))</f>
        <v>469.84597347708137</v>
      </c>
      <c r="AC27" s="172">
        <f>INDEX(Workings_risks!AB$47:AB$51, MATCH($A$3, Workings_risks!$C$47:$C$51,0))</f>
        <v>489.68613855014667</v>
      </c>
      <c r="AD27" s="172">
        <f>INDEX(Workings_risks!AC$47:AC$51, MATCH($A$3, Workings_risks!$C$47:$C$51,0))</f>
        <v>509.93238262682189</v>
      </c>
      <c r="AE27" s="172">
        <f>INDEX(Workings_risks!AD$47:AD$51, MATCH($A$3, Workings_risks!$C$47:$C$51,0))</f>
        <v>530.23234504310801</v>
      </c>
      <c r="AF27" s="172">
        <f>INDEX(Workings_risks!AE$47:AE$51, MATCH($A$3, Workings_risks!$C$47:$C$51,0))</f>
        <v>550.95981084831976</v>
      </c>
      <c r="AG27" s="172">
        <f>INDEX(Workings_risks!AF$47:AF$51, MATCH($A$3, Workings_risks!$C$47:$C$51,0))</f>
        <v>571.78534559428329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3896490.5458144434</v>
      </c>
      <c r="J28" s="302">
        <f t="shared" ref="J28:AG28" si="2">J27*$E$28</f>
        <v>4286759.6947730845</v>
      </c>
      <c r="K28" s="302">
        <f t="shared" si="2"/>
        <v>4739324.8898595562</v>
      </c>
      <c r="L28" s="302">
        <f t="shared" si="2"/>
        <v>5258253.4395487495</v>
      </c>
      <c r="M28" s="302">
        <f t="shared" si="2"/>
        <v>5852560.1839394001</v>
      </c>
      <c r="N28" s="302">
        <f t="shared" si="2"/>
        <v>6534234.2343717078</v>
      </c>
      <c r="O28" s="302">
        <f t="shared" si="2"/>
        <v>7326844.1279170774</v>
      </c>
      <c r="P28" s="302">
        <f t="shared" si="2"/>
        <v>8233986.0767869148</v>
      </c>
      <c r="Q28" s="302">
        <f t="shared" si="2"/>
        <v>9232280.8868112192</v>
      </c>
      <c r="R28" s="302">
        <f t="shared" si="2"/>
        <v>10296509.502648134</v>
      </c>
      <c r="S28" s="302">
        <f t="shared" si="2"/>
        <v>11420866.157981744</v>
      </c>
      <c r="T28" s="302">
        <f t="shared" si="2"/>
        <v>12666342.94978027</v>
      </c>
      <c r="U28" s="302">
        <f t="shared" si="2"/>
        <v>14020859.058085658</v>
      </c>
      <c r="V28" s="302">
        <f t="shared" si="2"/>
        <v>15414805.138804043</v>
      </c>
      <c r="W28" s="302">
        <f t="shared" si="2"/>
        <v>16741539.346599614</v>
      </c>
      <c r="X28" s="302">
        <f t="shared" si="2"/>
        <v>18019574.235443711</v>
      </c>
      <c r="Y28" s="302">
        <f t="shared" si="2"/>
        <v>19270928.895338427</v>
      </c>
      <c r="Z28" s="302">
        <f t="shared" si="2"/>
        <v>20448832.243459936</v>
      </c>
      <c r="AA28" s="302">
        <f t="shared" si="2"/>
        <v>21527266.593574472</v>
      </c>
      <c r="AB28" s="302">
        <f t="shared" si="2"/>
        <v>22467935.961945906</v>
      </c>
      <c r="AC28" s="302">
        <f t="shared" si="2"/>
        <v>23416688.496818509</v>
      </c>
      <c r="AD28" s="302">
        <f t="shared" si="2"/>
        <v>24384859.644520927</v>
      </c>
      <c r="AE28" s="302">
        <f t="shared" si="2"/>
        <v>25355599.59196303</v>
      </c>
      <c r="AF28" s="302">
        <f t="shared" si="2"/>
        <v>26346782.661849737</v>
      </c>
      <c r="AG28" s="302">
        <f t="shared" si="2"/>
        <v>27342655.367925853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937071.22949347389</v>
      </c>
      <c r="J30" s="32">
        <f>INDEX(Workings_risks!I$62:I$160, MATCH($A$3&amp;$C30, Workings_risks!$E$62:$E$160,0))</f>
        <v>1030816.6214474919</v>
      </c>
      <c r="K30" s="32">
        <f>INDEX(Workings_risks!J$62:J$160, MATCH($A$3&amp;$C30, Workings_risks!$E$62:$E$160,0))</f>
        <v>1139507.690485745</v>
      </c>
      <c r="L30" s="32">
        <f>INDEX(Workings_risks!K$62:K$160, MATCH($A$3&amp;$C30, Workings_risks!$E$62:$E$160,0))</f>
        <v>1264113.7417185998</v>
      </c>
      <c r="M30" s="32">
        <f>INDEX(Workings_risks!L$62:L$160, MATCH($A$3&amp;$C30, Workings_risks!$E$62:$E$160,0))</f>
        <v>1406791.7930459362</v>
      </c>
      <c r="N30" s="32">
        <f>INDEX(Workings_risks!M$62:M$160, MATCH($A$3&amp;$C30, Workings_risks!$E$62:$E$160,0))</f>
        <v>1570411.509200237</v>
      </c>
      <c r="O30" s="32">
        <f>INDEX(Workings_risks!N$62:N$160, MATCH($A$3&amp;$C30, Workings_risks!$E$62:$E$160,0))</f>
        <v>1760860.1327871857</v>
      </c>
      <c r="P30" s="32">
        <f>INDEX(Workings_risks!O$62:O$160, MATCH($A$3&amp;$C30, Workings_risks!$E$62:$E$160,0))</f>
        <v>1978823.7991447183</v>
      </c>
      <c r="Q30" s="32">
        <f>INDEX(Workings_risks!P$62:P$160, MATCH($A$3&amp;$C30, Workings_risks!$E$62:$E$160,0))</f>
        <v>2218770.147914012</v>
      </c>
      <c r="R30" s="32">
        <f>INDEX(Workings_risks!Q$62:Q$160, MATCH($A$3&amp;$C30, Workings_risks!$E$62:$E$160,0))</f>
        <v>2474608.7265124484</v>
      </c>
      <c r="S30" s="32">
        <f>INDEX(Workings_risks!R$62:R$160, MATCH($A$3&amp;$C30, Workings_risks!$E$62:$E$160,0))</f>
        <v>2744952.2931257742</v>
      </c>
      <c r="T30" s="32">
        <f>INDEX(Workings_risks!S$62:S$160, MATCH($A$3&amp;$C30, Workings_risks!$E$62:$E$160,0))</f>
        <v>3044417.2578143347</v>
      </c>
      <c r="U30" s="32">
        <f>INDEX(Workings_risks!T$62:T$160, MATCH($A$3&amp;$C30, Workings_risks!$E$62:$E$160,0))</f>
        <v>3370097.3925457359</v>
      </c>
      <c r="V30" s="32">
        <f>INDEX(Workings_risks!U$62:U$160, MATCH($A$3&amp;$C30, Workings_risks!$E$62:$E$160,0))</f>
        <v>3705252.9018877903</v>
      </c>
      <c r="W30" s="32">
        <f>INDEX(Workings_risks!V$62:V$160, MATCH($A$3&amp;$C30, Workings_risks!$E$62:$E$160,0))</f>
        <v>4024320.6477714609</v>
      </c>
      <c r="X30" s="32">
        <f>INDEX(Workings_risks!W$62:W$160, MATCH($A$3&amp;$C30, Workings_risks!$E$62:$E$160,0))</f>
        <v>4331676.6417212347</v>
      </c>
      <c r="Y30" s="32">
        <f>INDEX(Workings_risks!X$62:X$160, MATCH($A$3&amp;$C30, Workings_risks!$E$62:$E$160,0))</f>
        <v>4632616.2785283942</v>
      </c>
      <c r="Z30" s="32">
        <f>INDEX(Workings_risks!Y$62:Y$160, MATCH($A$3&amp;$C30, Workings_risks!$E$62:$E$160,0))</f>
        <v>4915891.5298527852</v>
      </c>
      <c r="AA30" s="32">
        <f>INDEX(Workings_risks!Z$62:Z$160, MATCH($A$3&amp;$C30, Workings_risks!$E$62:$E$160,0))</f>
        <v>5175245.3741667056</v>
      </c>
      <c r="AB30" s="32">
        <f>INDEX(Workings_risks!AA$62:AA$160, MATCH($A$3&amp;$C30, Workings_risks!$E$62:$E$160,0))</f>
        <v>5401467.9688842883</v>
      </c>
      <c r="AC30" s="32">
        <f>INDEX(Workings_risks!AB$62:AB$160, MATCH($A$3&amp;$C30, Workings_risks!$E$62:$E$160,0))</f>
        <v>5629634.4930641362</v>
      </c>
      <c r="AD30" s="32">
        <f>INDEX(Workings_risks!AC$62:AC$160, MATCH($A$3&amp;$C30, Workings_risks!$E$62:$E$160,0))</f>
        <v>5862471.0204649698</v>
      </c>
      <c r="AE30" s="32">
        <f>INDEX(Workings_risks!AD$62:AD$160, MATCH($A$3&amp;$C30, Workings_risks!$E$62:$E$160,0))</f>
        <v>6095925.3212960428</v>
      </c>
      <c r="AF30" s="32">
        <f>INDEX(Workings_risks!AE$62:AE$160, MATCH($A$3&amp;$C30, Workings_risks!$E$62:$E$160,0))</f>
        <v>6334296.0107744411</v>
      </c>
      <c r="AG30" s="32">
        <f>INDEX(Workings_risks!AF$62:AF$160, MATCH($A$3&amp;$C30, Workings_risks!$E$62:$E$160,0))</f>
        <v>6573794.5159367779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2159114.732966444</v>
      </c>
      <c r="J31" s="32">
        <f>INDEX(Workings_risks!I$62:I$160, MATCH($A$3&amp;$C31, Workings_risks!$E$62:$E$160,0))</f>
        <v>2356572.1841598442</v>
      </c>
      <c r="K31" s="32">
        <f>INDEX(Workings_risks!J$62:J$160, MATCH($A$3&amp;$C31, Workings_risks!$E$62:$E$160,0))</f>
        <v>2582450.3373915534</v>
      </c>
      <c r="L31" s="32">
        <f>INDEX(Workings_risks!K$62:K$160, MATCH($A$3&amp;$C31, Workings_risks!$E$62:$E$160,0))</f>
        <v>2837502.9394202856</v>
      </c>
      <c r="M31" s="32">
        <f>INDEX(Workings_risks!L$62:L$160, MATCH($A$3&amp;$C31, Workings_risks!$E$62:$E$160,0))</f>
        <v>3124865.0212142728</v>
      </c>
      <c r="N31" s="32">
        <f>INDEX(Workings_risks!M$62:M$160, MATCH($A$3&amp;$C31, Workings_risks!$E$62:$E$160,0))</f>
        <v>3448872.2498776913</v>
      </c>
      <c r="O31" s="32">
        <f>INDEX(Workings_risks!N$62:N$160, MATCH($A$3&amp;$C31, Workings_risks!$E$62:$E$160,0))</f>
        <v>3859756.2712487816</v>
      </c>
      <c r="P31" s="32">
        <f>INDEX(Workings_risks!O$62:O$160, MATCH($A$3&amp;$C31, Workings_risks!$E$62:$E$160,0))</f>
        <v>4329204.9370491784</v>
      </c>
      <c r="Q31" s="32">
        <f>INDEX(Workings_risks!P$62:P$160, MATCH($A$3&amp;$C31, Workings_risks!$E$62:$E$160,0))</f>
        <v>4859545.8348887684</v>
      </c>
      <c r="R31" s="32">
        <f>INDEX(Workings_risks!Q$62:Q$160, MATCH($A$3&amp;$C31, Workings_risks!$E$62:$E$160,0))</f>
        <v>5432481.6435806649</v>
      </c>
      <c r="S31" s="32">
        <f>INDEX(Workings_risks!R$62:R$160, MATCH($A$3&amp;$C31, Workings_risks!$E$62:$E$160,0))</f>
        <v>6046320.2157199597</v>
      </c>
      <c r="T31" s="32">
        <f>INDEX(Workings_risks!S$62:S$160, MATCH($A$3&amp;$C31, Workings_risks!$E$62:$E$160,0))</f>
        <v>6726101.1280537779</v>
      </c>
      <c r="U31" s="32">
        <f>INDEX(Workings_risks!T$62:T$160, MATCH($A$3&amp;$C31, Workings_risks!$E$62:$E$160,0))</f>
        <v>7464977.8188435072</v>
      </c>
      <c r="V31" s="32">
        <f>INDEX(Workings_risks!U$62:U$160, MATCH($A$3&amp;$C31, Workings_risks!$E$62:$E$160,0))</f>
        <v>8224485.5217164624</v>
      </c>
      <c r="W31" s="32">
        <f>INDEX(Workings_risks!V$62:V$160, MATCH($A$3&amp;$C31, Workings_risks!$E$62:$E$160,0))</f>
        <v>8959652.549866721</v>
      </c>
      <c r="X31" s="32">
        <f>INDEX(Workings_risks!W$62:W$160, MATCH($A$3&amp;$C31, Workings_risks!$E$62:$E$160,0))</f>
        <v>9667834.4189880416</v>
      </c>
      <c r="Y31" s="32">
        <f>INDEX(Workings_risks!X$62:X$160, MATCH($A$3&amp;$C31, Workings_risks!$E$62:$E$160,0))</f>
        <v>10361232.298586942</v>
      </c>
      <c r="Z31" s="32">
        <f>INDEX(Workings_risks!Y$62:Y$160, MATCH($A$3&amp;$C31, Workings_risks!$E$62:$E$160,0))</f>
        <v>11013929.499577599</v>
      </c>
      <c r="AA31" s="32">
        <f>INDEX(Workings_risks!Z$62:Z$160, MATCH($A$3&amp;$C31, Workings_risks!$E$62:$E$160,0))</f>
        <v>11611509.159143459</v>
      </c>
      <c r="AB31" s="32">
        <f>INDEX(Workings_risks!AA$62:AA$160, MATCH($A$3&amp;$C31, Workings_risks!$E$62:$E$160,0))</f>
        <v>12132750.791381652</v>
      </c>
      <c r="AC31" s="32">
        <f>INDEX(Workings_risks!AB$62:AB$160, MATCH($A$3&amp;$C31, Workings_risks!$E$62:$E$160,0))</f>
        <v>12658471.449983822</v>
      </c>
      <c r="AD31" s="32">
        <f>INDEX(Workings_risks!AC$62:AC$160, MATCH($A$3&amp;$C31, Workings_risks!$E$62:$E$160,0))</f>
        <v>13194952.307426885</v>
      </c>
      <c r="AE31" s="32">
        <f>INDEX(Workings_risks!AD$62:AD$160, MATCH($A$3&amp;$C31, Workings_risks!$E$62:$E$160,0))</f>
        <v>13732856.582506608</v>
      </c>
      <c r="AF31" s="32">
        <f>INDEX(Workings_risks!AE$62:AE$160, MATCH($A$3&amp;$C31, Workings_risks!$E$62:$E$160,0))</f>
        <v>14282088.755431583</v>
      </c>
      <c r="AG31" s="32">
        <f>INDEX(Workings_risks!AF$62:AF$160, MATCH($A$3&amp;$C31, Workings_risks!$E$62:$E$160,0))</f>
        <v>14833919.539201306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128429.59922776051</v>
      </c>
      <c r="J32" s="32">
        <f>INDEX(Workings_risks!I$62:I$160, MATCH($A$3&amp;$C32, Workings_risks!$E$62:$E$160,0))</f>
        <v>141269.65624905957</v>
      </c>
      <c r="K32" s="32">
        <f>INDEX(Workings_risks!J$62:J$160, MATCH($A$3&amp;$C32, Workings_risks!$E$62:$E$160,0))</f>
        <v>156155.43845062362</v>
      </c>
      <c r="L32" s="32">
        <f>INDEX(Workings_risks!K$62:K$160, MATCH($A$3&amp;$C32, Workings_risks!$E$62:$E$160,0))</f>
        <v>173219.14303802417</v>
      </c>
      <c r="M32" s="32">
        <f>INDEX(Workings_risks!L$62:L$160, MATCH($A$3&amp;$C32, Workings_risks!$E$62:$E$160,0))</f>
        <v>192755.59216617869</v>
      </c>
      <c r="N32" s="32">
        <f>INDEX(Workings_risks!M$62:M$160, MATCH($A$3&amp;$C32, Workings_risks!$E$62:$E$160,0))</f>
        <v>215157.08531897835</v>
      </c>
      <c r="O32" s="32">
        <f>INDEX(Workings_risks!N$62:N$160, MATCH($A$3&amp;$C32, Workings_risks!$E$62:$E$160,0))</f>
        <v>241246.60630537767</v>
      </c>
      <c r="P32" s="32">
        <f>INDEX(Workings_risks!O$62:O$160, MATCH($A$3&amp;$C32, Workings_risks!$E$62:$E$160,0))</f>
        <v>271105.05724587862</v>
      </c>
      <c r="Q32" s="32">
        <f>INDEX(Workings_risks!P$62:P$160, MATCH($A$3&amp;$C32, Workings_risks!$E$62:$E$160,0))</f>
        <v>303980.82877581153</v>
      </c>
      <c r="R32" s="32">
        <f>INDEX(Workings_risks!Q$62:Q$160, MATCH($A$3&amp;$C32, Workings_risks!$E$62:$E$160,0))</f>
        <v>339037.32465225097</v>
      </c>
      <c r="S32" s="32">
        <f>INDEX(Workings_risks!R$62:R$160, MATCH($A$3&amp;$C32, Workings_risks!$E$62:$E$160,0))</f>
        <v>376085.07846318302</v>
      </c>
      <c r="T32" s="32">
        <f>INDEX(Workings_risks!S$62:S$160, MATCH($A$3&amp;$C32, Workings_risks!$E$62:$E$160,0))</f>
        <v>417123.53557907534</v>
      </c>
      <c r="U32" s="32">
        <f>INDEX(Workings_risks!T$62:T$160, MATCH($A$3&amp;$C32, Workings_risks!$E$62:$E$160,0))</f>
        <v>461754.31903974753</v>
      </c>
      <c r="V32" s="32">
        <f>INDEX(Workings_risks!U$62:U$160, MATCH($A$3&amp;$C32, Workings_risks!$E$62:$E$160,0))</f>
        <v>507683.21503691725</v>
      </c>
      <c r="W32" s="32">
        <f>INDEX(Workings_risks!V$62:V$160, MATCH($A$3&amp;$C32, Workings_risks!$E$62:$E$160,0))</f>
        <v>551412.80723931035</v>
      </c>
      <c r="X32" s="32">
        <f>INDEX(Workings_risks!W$62:W$160, MATCH($A$3&amp;$C32, Workings_risks!$E$62:$E$160,0))</f>
        <v>593537.25400581339</v>
      </c>
      <c r="Y32" s="32">
        <f>INDEX(Workings_risks!X$62:X$160, MATCH($A$3&amp;$C32, Workings_risks!$E$62:$E$160,0))</f>
        <v>634782.31172440655</v>
      </c>
      <c r="Z32" s="32">
        <f>INDEX(Workings_risks!Y$62:Y$160, MATCH($A$3&amp;$C32, Workings_risks!$E$62:$E$160,0))</f>
        <v>673606.39025085967</v>
      </c>
      <c r="AA32" s="32">
        <f>INDEX(Workings_risks!Z$62:Z$160, MATCH($A$3&amp;$C32, Workings_risks!$E$62:$E$160,0))</f>
        <v>709151.93816125765</v>
      </c>
      <c r="AB32" s="32">
        <f>INDEX(Workings_risks!AA$62:AA$160, MATCH($A$3&amp;$C32, Workings_risks!$E$62:$E$160,0))</f>
        <v>740156.70734144887</v>
      </c>
      <c r="AC32" s="32">
        <f>INDEX(Workings_risks!AB$62:AB$160, MATCH($A$3&amp;$C32, Workings_risks!$E$62:$E$160,0))</f>
        <v>771427.90032583789</v>
      </c>
      <c r="AD32" s="32">
        <f>INDEX(Workings_risks!AC$62:AC$160, MATCH($A$3&amp;$C32, Workings_risks!$E$62:$E$160,0))</f>
        <v>803339.13712246472</v>
      </c>
      <c r="AE32" s="32">
        <f>INDEX(Workings_risks!AD$62:AD$160, MATCH($A$3&amp;$C32, Workings_risks!$E$62:$E$160,0))</f>
        <v>835335.04239632376</v>
      </c>
      <c r="AF32" s="32">
        <f>INDEX(Workings_risks!AE$62:AE$160, MATCH($A$3&amp;$C32, Workings_risks!$E$62:$E$160,0))</f>
        <v>868004.75965346722</v>
      </c>
      <c r="AG32" s="32">
        <f>INDEX(Workings_risks!AF$62:AF$160, MATCH($A$3&amp;$C32, Workings_risks!$E$62:$E$160,0))</f>
        <v>900829.0488489354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400238.05280161236</v>
      </c>
      <c r="J33" s="32">
        <f>INDEX(Workings_risks!I$62:I$160, MATCH($A$3&amp;$C33, Workings_risks!$E$62:$E$160,0))</f>
        <v>440768.11402370041</v>
      </c>
      <c r="K33" s="32">
        <f>INDEX(Workings_risks!J$62:J$160, MATCH($A$3&amp;$C33, Workings_risks!$E$62:$E$160,0))</f>
        <v>487840.65719024383</v>
      </c>
      <c r="L33" s="32">
        <f>INDEX(Workings_risks!K$62:K$160, MATCH($A$3&amp;$C33, Workings_risks!$E$62:$E$160,0))</f>
        <v>541908.78205994715</v>
      </c>
      <c r="M33" s="32">
        <f>INDEX(Workings_risks!L$62:L$160, MATCH($A$3&amp;$C33, Workings_risks!$E$62:$E$160,0))</f>
        <v>603942.26792239666</v>
      </c>
      <c r="N33" s="32">
        <f>INDEX(Workings_risks!M$62:M$160, MATCH($A$3&amp;$C33, Workings_risks!$E$62:$E$160,0))</f>
        <v>675226.93876273069</v>
      </c>
      <c r="O33" s="32">
        <f>INDEX(Workings_risks!N$62:N$160, MATCH($A$3&amp;$C33, Workings_risks!$E$62:$E$160,0))</f>
        <v>757308.54204616952</v>
      </c>
      <c r="P33" s="32">
        <f>INDEX(Workings_risks!O$62:O$160, MATCH($A$3&amp;$C33, Workings_risks!$E$62:$E$160,0))</f>
        <v>851269.95380203647</v>
      </c>
      <c r="Q33" s="32">
        <f>INDEX(Workings_risks!P$62:P$160, MATCH($A$3&amp;$C33, Workings_risks!$E$62:$E$160,0))</f>
        <v>954349.91888273379</v>
      </c>
      <c r="R33" s="32">
        <f>INDEX(Workings_risks!Q$62:Q$160, MATCH($A$3&amp;$C33, Workings_risks!$E$62:$E$160,0))</f>
        <v>1064059.7753982807</v>
      </c>
      <c r="S33" s="32">
        <f>INDEX(Workings_risks!R$62:R$160, MATCH($A$3&amp;$C33, Workings_risks!$E$62:$E$160,0))</f>
        <v>1179767.2669570234</v>
      </c>
      <c r="T33" s="32">
        <f>INDEX(Workings_risks!S$62:S$160, MATCH($A$3&amp;$C33, Workings_risks!$E$62:$E$160,0))</f>
        <v>1307943.5292960713</v>
      </c>
      <c r="U33" s="32">
        <f>INDEX(Workings_risks!T$62:T$160, MATCH($A$3&amp;$C33, Workings_risks!$E$62:$E$160,0))</f>
        <v>1447351.2370954489</v>
      </c>
      <c r="V33" s="32">
        <f>INDEX(Workings_risks!U$62:U$160, MATCH($A$3&amp;$C33, Workings_risks!$E$62:$E$160,0))</f>
        <v>1590837.7680818874</v>
      </c>
      <c r="W33" s="32">
        <f>INDEX(Workings_risks!V$62:V$160, MATCH($A$3&amp;$C33, Workings_risks!$E$62:$E$160,0))</f>
        <v>1727116.686167238</v>
      </c>
      <c r="X33" s="32">
        <f>INDEX(Workings_risks!W$62:W$160, MATCH($A$3&amp;$C33, Workings_risks!$E$62:$E$160,0))</f>
        <v>1858393.3283941653</v>
      </c>
      <c r="Y33" s="32">
        <f>INDEX(Workings_risks!X$62:X$160, MATCH($A$3&amp;$C33, Workings_risks!$E$62:$E$160,0))</f>
        <v>1986929.4422514106</v>
      </c>
      <c r="Z33" s="32">
        <f>INDEX(Workings_risks!Y$62:Y$160, MATCH($A$3&amp;$C33, Workings_risks!$E$62:$E$160,0))</f>
        <v>2107920.8156161089</v>
      </c>
      <c r="AA33" s="32">
        <f>INDEX(Workings_risks!Z$62:Z$160, MATCH($A$3&amp;$C33, Workings_risks!$E$62:$E$160,0))</f>
        <v>2218694.9748984575</v>
      </c>
      <c r="AB33" s="32">
        <f>INDEX(Workings_risks!AA$62:AA$160, MATCH($A$3&amp;$C33, Workings_risks!$E$62:$E$160,0))</f>
        <v>2315318.2495863759</v>
      </c>
      <c r="AC33" s="32">
        <f>INDEX(Workings_risks!AB$62:AB$160, MATCH($A$3&amp;$C33, Workings_risks!$E$62:$E$160,0))</f>
        <v>2412771.807520939</v>
      </c>
      <c r="AD33" s="32">
        <f>INDEX(Workings_risks!AC$62:AC$160, MATCH($A$3&amp;$C33, Workings_risks!$E$62:$E$160,0))</f>
        <v>2512219.9982399857</v>
      </c>
      <c r="AE33" s="32">
        <f>INDEX(Workings_risks!AD$62:AD$160, MATCH($A$3&amp;$C33, Workings_risks!$E$62:$E$160,0))</f>
        <v>2611932.0498342891</v>
      </c>
      <c r="AF33" s="32">
        <f>INDEX(Workings_risks!AE$62:AE$160, MATCH($A$3&amp;$C33, Workings_risks!$E$62:$E$160,0))</f>
        <v>2713743.9693544121</v>
      </c>
      <c r="AG33" s="32">
        <f>INDEX(Workings_risks!AF$62:AF$160, MATCH($A$3&amp;$C33, Workings_risks!$E$62:$E$160,0))</f>
        <v>2816037.5969230281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7521344.1603037352</v>
      </c>
      <c r="J36" s="108">
        <f t="shared" ref="J36:AB36" si="3">SUM(J28:J34)</f>
        <v>8256186.2706531798</v>
      </c>
      <c r="K36" s="108">
        <f t="shared" si="3"/>
        <v>9105279.0133777224</v>
      </c>
      <c r="L36" s="108">
        <f t="shared" si="3"/>
        <v>10074998.045785604</v>
      </c>
      <c r="M36" s="108">
        <f t="shared" si="3"/>
        <v>11180914.858288182</v>
      </c>
      <c r="N36" s="108">
        <f t="shared" si="3"/>
        <v>12443902.017531345</v>
      </c>
      <c r="O36" s="108">
        <f t="shared" si="3"/>
        <v>13946015.680304592</v>
      </c>
      <c r="P36" s="108">
        <f t="shared" si="3"/>
        <v>15664389.824028727</v>
      </c>
      <c r="Q36" s="108">
        <f t="shared" si="3"/>
        <v>17568927.617272545</v>
      </c>
      <c r="R36" s="108">
        <f t="shared" si="3"/>
        <v>19606696.97279178</v>
      </c>
      <c r="S36" s="108">
        <f t="shared" si="3"/>
        <v>21767991.012247682</v>
      </c>
      <c r="T36" s="108">
        <f t="shared" si="3"/>
        <v>24161928.400523528</v>
      </c>
      <c r="U36" s="108">
        <f t="shared" si="3"/>
        <v>26765039.825610097</v>
      </c>
      <c r="V36" s="108">
        <f t="shared" si="3"/>
        <v>29443064.545527104</v>
      </c>
      <c r="W36" s="108">
        <f t="shared" si="3"/>
        <v>32004042.037644342</v>
      </c>
      <c r="X36" s="108">
        <f t="shared" si="3"/>
        <v>34471015.878552966</v>
      </c>
      <c r="Y36" s="108">
        <f t="shared" si="3"/>
        <v>36886489.226429589</v>
      </c>
      <c r="Z36" s="108">
        <f t="shared" si="3"/>
        <v>39160180.478757292</v>
      </c>
      <c r="AA36" s="108">
        <f t="shared" si="3"/>
        <v>41241868.039944351</v>
      </c>
      <c r="AB36" s="108">
        <f t="shared" si="3"/>
        <v>43057629.679139666</v>
      </c>
      <c r="AC36" s="108">
        <f>SUM(AC28:AC34)</f>
        <v>44888994.147713244</v>
      </c>
      <c r="AD36" s="108">
        <f>SUM(AD28:AD34)</f>
        <v>46757842.107775234</v>
      </c>
      <c r="AE36" s="108">
        <f>SUM(AE28:AE34)</f>
        <v>48631648.587996297</v>
      </c>
      <c r="AF36" s="108">
        <f>SUM(AF28:AF34)</f>
        <v>50544916.157063641</v>
      </c>
      <c r="AG36" s="108">
        <f>SUM(AG28:AG34)</f>
        <v>52467236.068835899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9"/>
      <c r="G56" s="209"/>
      <c r="AH56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  <c r="AH57"/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28022.906444258988</v>
      </c>
      <c r="K64" s="135">
        <f>(1-INDEX(Data!$C$9:$C$13, MATCH($A$3, options,0)))*('Option1 (base case)'!K36-K36)</f>
        <v>65137.479937769473</v>
      </c>
      <c r="L64" s="135">
        <f>(1-INDEX(Data!$C$9:$C$13, MATCH($A$3, options,0)))*('Option1 (base case)'!L36-L36)</f>
        <v>113579.90452486835</v>
      </c>
      <c r="M64" s="135">
        <f>(1-INDEX(Data!$C$9:$C$13, MATCH($A$3, options,0)))*('Option1 (base case)'!M36-M36)</f>
        <v>176123.38531766273</v>
      </c>
      <c r="N64" s="135">
        <f>(1-INDEX(Data!$C$9:$C$13, MATCH($A$3, options,0)))*('Option1 (base case)'!N36-N36)</f>
        <v>256208.18730235472</v>
      </c>
      <c r="O64" s="135">
        <f>(1-INDEX(Data!$C$9:$C$13, MATCH($A$3, options,0)))*('Option1 (base case)'!O36-O36)</f>
        <v>298419.62136387825</v>
      </c>
      <c r="P64" s="135">
        <f>(1-INDEX(Data!$C$9:$C$13, MATCH($A$3, options,0)))*('Option1 (base case)'!P36-P36)</f>
        <v>347935.23113151453</v>
      </c>
      <c r="Q64" s="135">
        <f>(1-INDEX(Data!$C$9:$C$13, MATCH($A$3, options,0)))*('Option1 (base case)'!Q36-Q36)</f>
        <v>381972.47724918649</v>
      </c>
      <c r="R64" s="135">
        <f>(1-INDEX(Data!$C$9:$C$13, MATCH($A$3, options,0)))*('Option1 (base case)'!R36-R36)</f>
        <v>406975.94191939756</v>
      </c>
      <c r="S64" s="135">
        <f>(1-INDEX(Data!$C$9:$C$13, MATCH($A$3, options,0)))*('Option1 (base case)'!S36-S36)</f>
        <v>420672.30640022084</v>
      </c>
      <c r="T64" s="135">
        <f>(1-INDEX(Data!$C$9:$C$13, MATCH($A$3, options,0)))*('Option1 (base case)'!T36-T36)</f>
        <v>436116.57019670308</v>
      </c>
      <c r="U64" s="135">
        <f>(1-INDEX(Data!$C$9:$C$13, MATCH($A$3, options,0)))*('Option1 (base case)'!U36-U36)</f>
        <v>453535.87342984602</v>
      </c>
      <c r="V64" s="135">
        <f>(1-INDEX(Data!$C$9:$C$13, MATCH($A$3, options,0)))*('Option1 (base case)'!V36-V36)</f>
        <v>472770.68959442154</v>
      </c>
      <c r="W64" s="135">
        <f>(1-INDEX(Data!$C$9:$C$13, MATCH($A$3, options,0)))*('Option1 (base case)'!W36-W36)</f>
        <v>472770.68959442154</v>
      </c>
      <c r="X64" s="135">
        <f>(1-INDEX(Data!$C$9:$C$13, MATCH($A$3, options,0)))*('Option1 (base case)'!X36-X36)</f>
        <v>472770.68959442526</v>
      </c>
      <c r="Y64" s="135">
        <f>(1-INDEX(Data!$C$9:$C$13, MATCH($A$3, options,0)))*('Option1 (base case)'!Y36-Y36)</f>
        <v>472770.68959441781</v>
      </c>
      <c r="Z64" s="135">
        <f>(1-INDEX(Data!$C$9:$C$13, MATCH($A$3, options,0)))*('Option1 (base case)'!Z36-Z36)</f>
        <v>472770.68959441036</v>
      </c>
      <c r="AA64" s="135">
        <f>(1-INDEX(Data!$C$9:$C$13, MATCH($A$3, options,0)))*('Option1 (base case)'!AA36-AA36)</f>
        <v>472770.68959442526</v>
      </c>
      <c r="AB64" s="135">
        <f>(1-INDEX(Data!$C$9:$C$13, MATCH($A$3, options,0)))*('Option1 (base case)'!AB36-AB36)</f>
        <v>472770.68959442526</v>
      </c>
      <c r="AC64" s="135">
        <f>(1-INDEX(Data!$C$9:$C$13, MATCH($A$3, options,0)))*('Option1 (base case)'!AC36-AC36)</f>
        <v>472770.68959442526</v>
      </c>
      <c r="AD64" s="135">
        <f>(1-INDEX(Data!$C$9:$C$13, MATCH($A$3, options,0)))*('Option1 (base case)'!AD36-AD36)</f>
        <v>472770.68959441781</v>
      </c>
      <c r="AE64" s="135">
        <f>(1-INDEX(Data!$C$9:$C$13, MATCH($A$3, options,0)))*('Option1 (base case)'!AE36-AE36)</f>
        <v>472770.68959441781</v>
      </c>
      <c r="AF64" s="135">
        <f>(1-INDEX(Data!$C$9:$C$13, MATCH($A$3, options,0)))*('Option1 (base case)'!AF36-AF36)</f>
        <v>472770.68959441781</v>
      </c>
      <c r="AG64" s="135">
        <f>(1-INDEX(Data!$C$9:$C$13, MATCH($A$3, options,0)))*('Option1 (base case)'!AG36-AG36)</f>
        <v>472770.68959441781</v>
      </c>
      <c r="AH64"/>
    </row>
    <row r="65" spans="1:34" x14ac:dyDescent="0.2">
      <c r="G65" s="216"/>
      <c r="AH65"/>
    </row>
    <row r="66" spans="1:34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Cable replacement</v>
      </c>
      <c r="D67" s="38"/>
      <c r="F67" s="97"/>
      <c r="G67" s="214">
        <f>input_dollars</f>
        <v>45291</v>
      </c>
      <c r="H67" s="31"/>
      <c r="I67" s="119">
        <f t="shared" ref="I67:AG67" si="5">-I14</f>
        <v>-1460007.3759999999</v>
      </c>
      <c r="J67" s="119">
        <f t="shared" si="5"/>
        <v>-1460007.3759999999</v>
      </c>
      <c r="K67" s="119">
        <f t="shared" si="5"/>
        <v>-1460007.3759999999</v>
      </c>
      <c r="L67" s="119">
        <f t="shared" si="5"/>
        <v>-1460007.3759999999</v>
      </c>
      <c r="M67" s="119">
        <f t="shared" si="5"/>
        <v>-1460007.3759999999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Cable replacement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-1460007.3759999999</v>
      </c>
      <c r="J72" s="119" cm="1">
        <f t="array" ref="J72">SUMPRODUCT(($I67:J67))-SUMPRODUCT(($I67:J67)*($I$6:J$6&lt;=(J$6-$E14)))</f>
        <v>-2920014.7519999999</v>
      </c>
      <c r="K72" s="119" cm="1">
        <f t="array" ref="K72">SUMPRODUCT(($I67:K67))-SUMPRODUCT(($I67:K67)*($I$6:K$6&lt;=(K$6-$E14)))</f>
        <v>-4380022.1279999996</v>
      </c>
      <c r="L72" s="119" cm="1">
        <f t="array" ref="L72">SUMPRODUCT(($I67:L67))-SUMPRODUCT(($I67:L67)*($I$6:L$6&lt;=(L$6-$E14)))</f>
        <v>-5840029.5039999997</v>
      </c>
      <c r="M72" s="119" cm="1">
        <f t="array" ref="M72">SUMPRODUCT(($I67:M67))-SUMPRODUCT(($I67:M67)*($I$6:M$6&lt;=(M$6-$E14)))</f>
        <v>-7300036.8799999999</v>
      </c>
      <c r="N72" s="119" cm="1">
        <f t="array" ref="N72">SUMPRODUCT(($I67:N67))-SUMPRODUCT(($I67:N67)*($I$6:N$6&lt;=(N$6-$E14)))</f>
        <v>-7300036.8799999999</v>
      </c>
      <c r="O72" s="119" cm="1">
        <f t="array" ref="O72">SUMPRODUCT(($I67:O67))-SUMPRODUCT(($I67:O67)*($I$6:O$6&lt;=(O$6-$E14)))</f>
        <v>-7300036.8799999999</v>
      </c>
      <c r="P72" s="119" cm="1">
        <f t="array" ref="P72">SUMPRODUCT(($I67:P67))-SUMPRODUCT(($I67:P67)*($I$6:P$6&lt;=(P$6-$E14)))</f>
        <v>-7300036.8799999999</v>
      </c>
      <c r="Q72" s="119" cm="1">
        <f t="array" ref="Q72">SUMPRODUCT(($I67:Q67))-SUMPRODUCT(($I67:Q67)*($I$6:Q$6&lt;=(Q$6-$E14)))</f>
        <v>-7300036.8799999999</v>
      </c>
      <c r="R72" s="119" cm="1">
        <f t="array" ref="R72">SUMPRODUCT(($I67:R67))-SUMPRODUCT(($I67:R67)*($I$6:R$6&lt;=(R$6-$E14)))</f>
        <v>-7300036.8799999999</v>
      </c>
      <c r="S72" s="119" cm="1">
        <f t="array" ref="S72">SUMPRODUCT(($I67:S67))-SUMPRODUCT(($I67:S67)*($I$6:S$6&lt;=(S$6-$E14)))</f>
        <v>-7300036.8799999999</v>
      </c>
      <c r="T72" s="119" cm="1">
        <f t="array" ref="T72">SUMPRODUCT(($I67:T67))-SUMPRODUCT(($I67:T67)*($I$6:T$6&lt;=(T$6-$E14)))</f>
        <v>-7300036.8799999999</v>
      </c>
      <c r="U72" s="119" cm="1">
        <f t="array" ref="U72">SUMPRODUCT(($I67:U67))-SUMPRODUCT(($I67:U67)*($I$6:U$6&lt;=(U$6-$E14)))</f>
        <v>-7300036.8799999999</v>
      </c>
      <c r="V72" s="119" cm="1">
        <f t="array" ref="V72">SUMPRODUCT(($I67:V67))-SUMPRODUCT(($I67:V67)*($I$6:V$6&lt;=(V$6-$E14)))</f>
        <v>-7300036.8799999999</v>
      </c>
      <c r="W72" s="119" cm="1">
        <f t="array" ref="W72">SUMPRODUCT(($I67:W67))-SUMPRODUCT(($I67:W67)*($I$6:W$6&lt;=(W$6-$E14)))</f>
        <v>-7300036.8799999999</v>
      </c>
      <c r="X72" s="119" cm="1">
        <f t="array" ref="X72">SUMPRODUCT(($I67:X67))-SUMPRODUCT(($I67:X67)*($I$6:X$6&lt;=(X$6-$E14)))</f>
        <v>-7300036.8799999999</v>
      </c>
      <c r="Y72" s="119" cm="1">
        <f t="array" ref="Y72">SUMPRODUCT(($I67:Y67))-SUMPRODUCT(($I67:Y67)*($I$6:Y$6&lt;=(Y$6-$E14)))</f>
        <v>-7300036.8799999999</v>
      </c>
      <c r="Z72" s="119" cm="1">
        <f t="array" ref="Z72">SUMPRODUCT(($I67:Z67))-SUMPRODUCT(($I67:Z67)*($I$6:Z$6&lt;=(Z$6-$E14)))</f>
        <v>-7300036.8799999999</v>
      </c>
      <c r="AA72" s="119" cm="1">
        <f t="array" ref="AA72">SUMPRODUCT(($I67:AA67))-SUMPRODUCT(($I67:AA67)*($I$6:AA$6&lt;=(AA$6-$E14)))</f>
        <v>-7300036.8799999999</v>
      </c>
      <c r="AB72" s="119" cm="1">
        <f t="array" ref="AB72">SUMPRODUCT(($I67:AB67))-SUMPRODUCT(($I67:AB67)*($I$6:AB$6&lt;=(AB$6-$E14)))</f>
        <v>-7300036.8799999999</v>
      </c>
      <c r="AC72" s="119" cm="1">
        <f t="array" ref="AC72">SUMPRODUCT(($I67:AC67))-SUMPRODUCT(($I67:AC67)*($I$6:AC$6&lt;=(AC$6-$E14)))</f>
        <v>-7300036.8799999999</v>
      </c>
      <c r="AD72" s="119" cm="1">
        <f t="array" ref="AD72">SUMPRODUCT(($I67:AD67))-SUMPRODUCT(($I67:AD67)*($I$6:AD$6&lt;=(AD$6-$E14)))</f>
        <v>-7300036.8799999999</v>
      </c>
      <c r="AE72" s="119" cm="1">
        <f t="array" ref="AE72">SUMPRODUCT(($I67:AE67))-SUMPRODUCT(($I67:AE67)*($I$6:AE$6&lt;=(AE$6-$E14)))</f>
        <v>-7300036.8799999999</v>
      </c>
      <c r="AF72" s="119" cm="1">
        <f t="array" ref="AF72">SUMPRODUCT(($I67:AF67))-SUMPRODUCT(($I67:AF67)*($I$6:AF$6&lt;=(AF$6-$E14)))</f>
        <v>-7300036.8799999999</v>
      </c>
      <c r="AG72" s="119" cm="1">
        <f t="array" ref="AG72">SUMPRODUCT(($I67:AG67))-SUMPRODUCT(($I67:AG67)*($I$6:AG$6&lt;=(AG$6-$E14)))</f>
        <v>-7300036.8799999999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50" t="s">
        <v>91</v>
      </c>
      <c r="D76" s="38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Cable replacement</v>
      </c>
      <c r="D77" s="38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-58529.682821189926</v>
      </c>
      <c r="K77" s="119">
        <f t="shared" si="8"/>
        <v>-117059.36564237985</v>
      </c>
      <c r="L77" s="119">
        <f t="shared" si="8"/>
        <v>-175589.04846356978</v>
      </c>
      <c r="M77" s="119">
        <f t="shared" si="8"/>
        <v>-234118.73128475971</v>
      </c>
      <c r="N77" s="119">
        <f t="shared" si="8"/>
        <v>-292648.41410594963</v>
      </c>
      <c r="O77" s="119">
        <f t="shared" si="8"/>
        <v>-292648.41410594963</v>
      </c>
      <c r="P77" s="119">
        <f t="shared" si="8"/>
        <v>-292648.41410594963</v>
      </c>
      <c r="Q77" s="119">
        <f t="shared" si="8"/>
        <v>-292648.41410594963</v>
      </c>
      <c r="R77" s="119">
        <f t="shared" si="8"/>
        <v>-292648.41410594963</v>
      </c>
      <c r="S77" s="119">
        <f t="shared" si="8"/>
        <v>-292648.41410594963</v>
      </c>
      <c r="T77" s="119">
        <f t="shared" si="8"/>
        <v>-292648.41410594963</v>
      </c>
      <c r="U77" s="119">
        <f t="shared" si="8"/>
        <v>-292648.41410594963</v>
      </c>
      <c r="V77" s="119">
        <f t="shared" si="8"/>
        <v>-292648.41410594963</v>
      </c>
      <c r="W77" s="119">
        <f t="shared" si="8"/>
        <v>-292648.41410594963</v>
      </c>
      <c r="X77" s="119">
        <f t="shared" si="8"/>
        <v>-292648.41410594963</v>
      </c>
      <c r="Y77" s="119">
        <f t="shared" si="8"/>
        <v>-292648.41410594963</v>
      </c>
      <c r="Z77" s="119">
        <f t="shared" si="8"/>
        <v>-292648.41410594963</v>
      </c>
      <c r="AA77" s="119">
        <f t="shared" si="8"/>
        <v>-292648.41410594963</v>
      </c>
      <c r="AB77" s="119">
        <f t="shared" si="8"/>
        <v>-292648.41410594963</v>
      </c>
      <c r="AC77" s="119">
        <f t="shared" si="8"/>
        <v>-292648.41410594963</v>
      </c>
      <c r="AD77" s="119">
        <f t="shared" si="8"/>
        <v>-292648.41410594963</v>
      </c>
      <c r="AE77" s="119">
        <f t="shared" si="8"/>
        <v>-292648.41410594963</v>
      </c>
      <c r="AF77" s="119">
        <f t="shared" si="8"/>
        <v>-292648.41410594963</v>
      </c>
      <c r="AG77" s="119">
        <f t="shared" si="8"/>
        <v>-292648.41410594963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-58529.682821189926</v>
      </c>
      <c r="K80" s="180">
        <f t="shared" si="11"/>
        <v>-117059.36564237985</v>
      </c>
      <c r="L80" s="180">
        <f t="shared" si="11"/>
        <v>-175589.04846356978</v>
      </c>
      <c r="M80" s="180">
        <f t="shared" si="11"/>
        <v>-234118.73128475971</v>
      </c>
      <c r="N80" s="180">
        <f t="shared" si="11"/>
        <v>-292648.41410594963</v>
      </c>
      <c r="O80" s="180">
        <f t="shared" si="11"/>
        <v>-292648.41410594963</v>
      </c>
      <c r="P80" s="180">
        <f t="shared" si="11"/>
        <v>-292648.41410594963</v>
      </c>
      <c r="Q80" s="180">
        <f t="shared" si="11"/>
        <v>-292648.41410594963</v>
      </c>
      <c r="R80" s="180">
        <f t="shared" si="11"/>
        <v>-292648.41410594963</v>
      </c>
      <c r="S80" s="180">
        <f t="shared" si="11"/>
        <v>-292648.41410594963</v>
      </c>
      <c r="T80" s="180">
        <f t="shared" si="11"/>
        <v>-292648.41410594963</v>
      </c>
      <c r="U80" s="180">
        <f t="shared" si="11"/>
        <v>-292648.41410594963</v>
      </c>
      <c r="V80" s="180">
        <f t="shared" si="11"/>
        <v>-292648.41410594963</v>
      </c>
      <c r="W80" s="180">
        <f t="shared" si="11"/>
        <v>-292648.41410594963</v>
      </c>
      <c r="X80" s="180">
        <f t="shared" si="11"/>
        <v>-292648.41410594963</v>
      </c>
      <c r="Y80" s="180">
        <f t="shared" si="11"/>
        <v>-292648.41410594963</v>
      </c>
      <c r="Z80" s="180">
        <f t="shared" si="11"/>
        <v>-292648.41410594963</v>
      </c>
      <c r="AA80" s="180">
        <f t="shared" si="11"/>
        <v>-292648.41410594963</v>
      </c>
      <c r="AB80" s="180">
        <f t="shared" si="11"/>
        <v>-292648.41410594963</v>
      </c>
      <c r="AC80" s="180">
        <f>SUM(AC77:AC79)</f>
        <v>-292648.41410594963</v>
      </c>
      <c r="AD80" s="180">
        <f>SUM(AD77:AD79)</f>
        <v>-292648.41410594963</v>
      </c>
      <c r="AE80" s="180">
        <f>SUM(AE77:AE79)</f>
        <v>-292648.41410594963</v>
      </c>
      <c r="AF80" s="180">
        <f>SUM(AF77:AF79)</f>
        <v>-292648.41410594963</v>
      </c>
      <c r="AG80" s="180">
        <f>SUM(AG77:AG79)</f>
        <v>-292648.41410594963</v>
      </c>
      <c r="AH80"/>
    </row>
    <row r="81" spans="1:34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-58529.682821189926</v>
      </c>
      <c r="K82" s="119">
        <f t="shared" si="13"/>
        <v>-117059.36564237985</v>
      </c>
      <c r="L82" s="119">
        <f t="shared" si="13"/>
        <v>-175589.04846356978</v>
      </c>
      <c r="M82" s="119">
        <f t="shared" si="13"/>
        <v>-234118.73128475971</v>
      </c>
      <c r="N82" s="119">
        <f t="shared" si="13"/>
        <v>-292648.41410594963</v>
      </c>
      <c r="O82" s="119">
        <f t="shared" si="13"/>
        <v>-292648.41410594963</v>
      </c>
      <c r="P82" s="119">
        <f t="shared" si="13"/>
        <v>-292648.41410594963</v>
      </c>
      <c r="Q82" s="119">
        <f t="shared" si="13"/>
        <v>-292648.41410594963</v>
      </c>
      <c r="R82" s="119">
        <f t="shared" si="13"/>
        <v>-292648.41410594963</v>
      </c>
      <c r="S82" s="119">
        <f t="shared" si="13"/>
        <v>-292648.41410594963</v>
      </c>
      <c r="T82" s="119">
        <f t="shared" si="13"/>
        <v>-292648.41410594963</v>
      </c>
      <c r="U82" s="119">
        <f t="shared" si="13"/>
        <v>-292648.41410594963</v>
      </c>
      <c r="V82" s="119">
        <f t="shared" si="13"/>
        <v>-292648.41410594963</v>
      </c>
      <c r="W82" s="119">
        <f t="shared" si="13"/>
        <v>-292648.41410594963</v>
      </c>
      <c r="X82" s="119">
        <f t="shared" si="13"/>
        <v>-292648.41410594963</v>
      </c>
      <c r="Y82" s="119">
        <f t="shared" si="13"/>
        <v>-292648.41410594963</v>
      </c>
      <c r="Z82" s="119">
        <f t="shared" si="13"/>
        <v>-292648.41410594963</v>
      </c>
      <c r="AA82" s="119">
        <f t="shared" si="13"/>
        <v>-292648.41410594963</v>
      </c>
      <c r="AB82" s="119">
        <f t="shared" si="13"/>
        <v>-292648.41410594963</v>
      </c>
      <c r="AC82" s="119">
        <f>AC80</f>
        <v>-292648.41410594963</v>
      </c>
      <c r="AD82" s="119">
        <f>AD80</f>
        <v>-292648.41410594963</v>
      </c>
      <c r="AE82" s="119">
        <f>AE80</f>
        <v>-292648.41410594963</v>
      </c>
      <c r="AF82" s="119">
        <f>AF80</f>
        <v>-292648.41410594963</v>
      </c>
      <c r="AG82" s="119">
        <f>AG80</f>
        <v>-292648.41410594963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 t="shared" ref="I84:AG84" si="15">I64</f>
        <v>0</v>
      </c>
      <c r="J84" s="31">
        <f t="shared" si="15"/>
        <v>28022.906444258988</v>
      </c>
      <c r="K84" s="31">
        <f t="shared" si="15"/>
        <v>65137.479937769473</v>
      </c>
      <c r="L84" s="31">
        <f t="shared" si="15"/>
        <v>113579.90452486835</v>
      </c>
      <c r="M84" s="31">
        <f t="shared" si="15"/>
        <v>176123.38531766273</v>
      </c>
      <c r="N84" s="31">
        <f t="shared" si="15"/>
        <v>256208.18730235472</v>
      </c>
      <c r="O84" s="31">
        <f t="shared" si="15"/>
        <v>298419.62136387825</v>
      </c>
      <c r="P84" s="31">
        <f t="shared" si="15"/>
        <v>347935.23113151453</v>
      </c>
      <c r="Q84" s="31">
        <f t="shared" si="15"/>
        <v>381972.47724918649</v>
      </c>
      <c r="R84" s="31">
        <f t="shared" si="15"/>
        <v>406975.94191939756</v>
      </c>
      <c r="S84" s="31">
        <f t="shared" si="15"/>
        <v>420672.30640022084</v>
      </c>
      <c r="T84" s="31">
        <f t="shared" si="15"/>
        <v>436116.57019670308</v>
      </c>
      <c r="U84" s="31">
        <f t="shared" si="15"/>
        <v>453535.87342984602</v>
      </c>
      <c r="V84" s="31">
        <f t="shared" si="15"/>
        <v>472770.68959442154</v>
      </c>
      <c r="W84" s="31">
        <f t="shared" si="15"/>
        <v>472770.68959442154</v>
      </c>
      <c r="X84" s="31">
        <f t="shared" si="15"/>
        <v>472770.68959442526</v>
      </c>
      <c r="Y84" s="31">
        <f t="shared" si="15"/>
        <v>472770.68959441781</v>
      </c>
      <c r="Z84" s="31">
        <f t="shared" si="15"/>
        <v>472770.68959441036</v>
      </c>
      <c r="AA84" s="31">
        <f t="shared" si="15"/>
        <v>472770.68959442526</v>
      </c>
      <c r="AB84" s="31">
        <f t="shared" si="15"/>
        <v>472770.68959442526</v>
      </c>
      <c r="AC84" s="31">
        <f t="shared" si="15"/>
        <v>472770.68959442526</v>
      </c>
      <c r="AD84" s="31">
        <f t="shared" si="15"/>
        <v>472770.68959441781</v>
      </c>
      <c r="AE84" s="31">
        <f t="shared" si="15"/>
        <v>472770.68959441781</v>
      </c>
      <c r="AF84" s="31">
        <f t="shared" si="15"/>
        <v>472770.68959441781</v>
      </c>
      <c r="AG84" s="31">
        <f t="shared" si="15"/>
        <v>472770.68959441781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-30506.776376930939</v>
      </c>
      <c r="K87" s="183">
        <f t="shared" si="17"/>
        <v>-51921.88570461038</v>
      </c>
      <c r="L87" s="183">
        <f t="shared" si="17"/>
        <v>-62009.143938701425</v>
      </c>
      <c r="M87" s="183">
        <f t="shared" si="17"/>
        <v>-57995.345967096975</v>
      </c>
      <c r="N87" s="183">
        <f t="shared" si="17"/>
        <v>-36440.226803594909</v>
      </c>
      <c r="O87" s="183">
        <f t="shared" si="17"/>
        <v>5771.2072579286178</v>
      </c>
      <c r="P87" s="183">
        <f t="shared" si="17"/>
        <v>55286.817025564902</v>
      </c>
      <c r="Q87" s="183">
        <f t="shared" si="17"/>
        <v>89324.063143236854</v>
      </c>
      <c r="R87" s="183">
        <f t="shared" si="17"/>
        <v>114327.52781344793</v>
      </c>
      <c r="S87" s="183">
        <f t="shared" si="17"/>
        <v>128023.89229427121</v>
      </c>
      <c r="T87" s="183">
        <f t="shared" si="17"/>
        <v>143468.15609075344</v>
      </c>
      <c r="U87" s="183">
        <f t="shared" si="17"/>
        <v>160887.45932389639</v>
      </c>
      <c r="V87" s="183">
        <f t="shared" si="17"/>
        <v>180122.2754884719</v>
      </c>
      <c r="W87" s="183">
        <f t="shared" si="17"/>
        <v>180122.2754884719</v>
      </c>
      <c r="X87" s="183">
        <f t="shared" si="17"/>
        <v>180122.27548847563</v>
      </c>
      <c r="Y87" s="183">
        <f t="shared" si="17"/>
        <v>180122.27548846818</v>
      </c>
      <c r="Z87" s="183">
        <f t="shared" si="17"/>
        <v>180122.27548846073</v>
      </c>
      <c r="AA87" s="183">
        <f t="shared" si="17"/>
        <v>180122.27548847563</v>
      </c>
      <c r="AB87" s="183">
        <f t="shared" si="17"/>
        <v>180122.27548847563</v>
      </c>
      <c r="AC87" s="183">
        <f>SUM(AC82:AC86)</f>
        <v>180122.27548847563</v>
      </c>
      <c r="AD87" s="183">
        <f>SUM(AD82:AD86)</f>
        <v>180122.27548846818</v>
      </c>
      <c r="AE87" s="183">
        <f>SUM(AE82:AE86)</f>
        <v>180122.27548846818</v>
      </c>
      <c r="AF87" s="183">
        <f>SUM(AF82:AF86)</f>
        <v>180122.27548846818</v>
      </c>
      <c r="AG87" s="183">
        <f>SUM(AG82:AG86)</f>
        <v>180122.27548846818</v>
      </c>
      <c r="AH87"/>
    </row>
    <row r="88" spans="1:34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8"/>
      <c r="E91" s="235"/>
      <c r="F91" s="235"/>
      <c r="G91" s="237"/>
    </row>
    <row r="92" spans="1:34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-30506.776376930939</v>
      </c>
      <c r="K106" s="31">
        <f t="shared" si="18"/>
        <v>-51921.88570461038</v>
      </c>
      <c r="L106" s="31">
        <f t="shared" si="18"/>
        <v>-62009.143938701425</v>
      </c>
      <c r="M106" s="31">
        <f t="shared" si="18"/>
        <v>-57995.345967096975</v>
      </c>
      <c r="N106" s="31">
        <f t="shared" si="18"/>
        <v>-36440.226803594909</v>
      </c>
      <c r="O106" s="31">
        <f t="shared" si="18"/>
        <v>5771.2072579286178</v>
      </c>
      <c r="P106" s="31">
        <f t="shared" si="18"/>
        <v>55286.817025564902</v>
      </c>
      <c r="Q106" s="31">
        <f t="shared" si="18"/>
        <v>89324.063143236854</v>
      </c>
      <c r="R106" s="31">
        <f t="shared" si="18"/>
        <v>114327.52781344793</v>
      </c>
      <c r="S106" s="31">
        <f t="shared" si="18"/>
        <v>128023.89229427121</v>
      </c>
      <c r="T106" s="31">
        <f t="shared" si="18"/>
        <v>143468.15609075344</v>
      </c>
      <c r="U106" s="31">
        <f t="shared" si="18"/>
        <v>160887.45932389639</v>
      </c>
      <c r="V106" s="31">
        <f t="shared" si="18"/>
        <v>180122.2754884719</v>
      </c>
      <c r="W106" s="31">
        <f t="shared" si="18"/>
        <v>180122.2754884719</v>
      </c>
      <c r="X106" s="31">
        <f t="shared" si="18"/>
        <v>180122.27548847563</v>
      </c>
      <c r="Y106" s="31">
        <f t="shared" si="18"/>
        <v>180122.27548846818</v>
      </c>
      <c r="Z106" s="31">
        <f t="shared" si="18"/>
        <v>180122.27548846073</v>
      </c>
      <c r="AA106" s="31">
        <f t="shared" si="18"/>
        <v>180122.27548847563</v>
      </c>
      <c r="AB106" s="31">
        <f t="shared" si="18"/>
        <v>180122.27548847563</v>
      </c>
      <c r="AC106" s="31">
        <f t="shared" si="18"/>
        <v>180122.27548847563</v>
      </c>
      <c r="AD106" s="31">
        <f t="shared" si="18"/>
        <v>180122.27548846818</v>
      </c>
      <c r="AE106" s="31">
        <f t="shared" si="18"/>
        <v>180122.27548846818</v>
      </c>
      <c r="AF106" s="31">
        <f t="shared" si="18"/>
        <v>180122.27548846818</v>
      </c>
      <c r="AG106" s="31">
        <f t="shared" si="18"/>
        <v>180122.27548846818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-58529.682821189926</v>
      </c>
      <c r="K107" s="31">
        <f t="shared" si="19"/>
        <v>-117059.36564237985</v>
      </c>
      <c r="L107" s="31">
        <f t="shared" si="19"/>
        <v>-175589.04846356978</v>
      </c>
      <c r="M107" s="31">
        <f t="shared" si="19"/>
        <v>-234118.73128475971</v>
      </c>
      <c r="N107" s="31">
        <f t="shared" si="19"/>
        <v>-292648.41410594963</v>
      </c>
      <c r="O107" s="31">
        <f t="shared" si="19"/>
        <v>-292648.41410594963</v>
      </c>
      <c r="P107" s="31">
        <f t="shared" si="19"/>
        <v>-292648.41410594963</v>
      </c>
      <c r="Q107" s="31">
        <f t="shared" si="19"/>
        <v>-292648.41410594963</v>
      </c>
      <c r="R107" s="31">
        <f t="shared" si="19"/>
        <v>-292648.41410594963</v>
      </c>
      <c r="S107" s="31">
        <f t="shared" si="19"/>
        <v>-292648.41410594963</v>
      </c>
      <c r="T107" s="31">
        <f t="shared" si="19"/>
        <v>-292648.41410594963</v>
      </c>
      <c r="U107" s="31">
        <f t="shared" si="19"/>
        <v>-292648.41410594963</v>
      </c>
      <c r="V107" s="31">
        <f t="shared" si="19"/>
        <v>-292648.41410594963</v>
      </c>
      <c r="W107" s="31">
        <f t="shared" si="19"/>
        <v>-292648.41410594963</v>
      </c>
      <c r="X107" s="31">
        <f t="shared" si="19"/>
        <v>-292648.41410594963</v>
      </c>
      <c r="Y107" s="31">
        <f t="shared" si="19"/>
        <v>-292648.41410594963</v>
      </c>
      <c r="Z107" s="31">
        <f t="shared" si="19"/>
        <v>-292648.41410594963</v>
      </c>
      <c r="AA107" s="31">
        <f t="shared" si="19"/>
        <v>-292648.41410594963</v>
      </c>
      <c r="AB107" s="31">
        <f t="shared" si="19"/>
        <v>-292648.41410594963</v>
      </c>
      <c r="AC107" s="31">
        <f t="shared" si="19"/>
        <v>-292648.41410594963</v>
      </c>
      <c r="AD107" s="31">
        <f t="shared" si="19"/>
        <v>-292648.41410594963</v>
      </c>
      <c r="AE107" s="31">
        <f t="shared" si="19"/>
        <v>-292648.41410594963</v>
      </c>
      <c r="AF107" s="31">
        <f t="shared" si="19"/>
        <v>-292648.41410594963</v>
      </c>
      <c r="AG107" s="31">
        <f t="shared" si="19"/>
        <v>-292648.41410594963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28022.906444258988</v>
      </c>
      <c r="K108" s="31">
        <f t="shared" si="20"/>
        <v>65137.479937769473</v>
      </c>
      <c r="L108" s="31">
        <f t="shared" si="20"/>
        <v>113579.90452486835</v>
      </c>
      <c r="M108" s="31">
        <f t="shared" si="20"/>
        <v>176123.38531766273</v>
      </c>
      <c r="N108" s="31">
        <f t="shared" si="20"/>
        <v>256208.18730235472</v>
      </c>
      <c r="O108" s="31">
        <f t="shared" si="20"/>
        <v>298419.62136387825</v>
      </c>
      <c r="P108" s="31">
        <f t="shared" si="20"/>
        <v>347935.23113151453</v>
      </c>
      <c r="Q108" s="31">
        <f t="shared" si="20"/>
        <v>381972.47724918649</v>
      </c>
      <c r="R108" s="31">
        <f t="shared" si="20"/>
        <v>406975.94191939756</v>
      </c>
      <c r="S108" s="31">
        <f t="shared" si="20"/>
        <v>420672.30640022084</v>
      </c>
      <c r="T108" s="31">
        <f t="shared" si="20"/>
        <v>436116.57019670308</v>
      </c>
      <c r="U108" s="31">
        <f t="shared" si="20"/>
        <v>453535.87342984602</v>
      </c>
      <c r="V108" s="31">
        <f t="shared" si="20"/>
        <v>472770.68959442154</v>
      </c>
      <c r="W108" s="31">
        <f t="shared" si="20"/>
        <v>472770.68959442154</v>
      </c>
      <c r="X108" s="31">
        <f t="shared" si="20"/>
        <v>472770.68959442526</v>
      </c>
      <c r="Y108" s="31">
        <f t="shared" si="20"/>
        <v>472770.68959441781</v>
      </c>
      <c r="Z108" s="31">
        <f t="shared" si="20"/>
        <v>472770.68959441036</v>
      </c>
      <c r="AA108" s="31">
        <f t="shared" si="20"/>
        <v>472770.68959442526</v>
      </c>
      <c r="AB108" s="31">
        <f t="shared" si="20"/>
        <v>472770.68959442526</v>
      </c>
      <c r="AC108" s="31">
        <f t="shared" si="20"/>
        <v>472770.68959442526</v>
      </c>
      <c r="AD108" s="31">
        <f t="shared" si="20"/>
        <v>472770.68959441781</v>
      </c>
      <c r="AE108" s="31">
        <f t="shared" si="20"/>
        <v>472770.68959441781</v>
      </c>
      <c r="AF108" s="31">
        <f t="shared" si="20"/>
        <v>472770.68959441781</v>
      </c>
      <c r="AG108" s="31">
        <f t="shared" si="20"/>
        <v>472770.68959441781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-36359.744659049931</v>
      </c>
      <c r="K110" s="31" cm="1">
        <f t="array" ref="K110">K$106+IF($C110&lt;&gt;0,SUMPRODUCT((K$107:K$108)*TRANSPOSE(($D110:$E110))),0)</f>
        <v>-63627.822268848366</v>
      </c>
      <c r="L110" s="31" cm="1">
        <f t="array" ref="L110">L$106+IF($C110&lt;&gt;0,SUMPRODUCT((L$107:L$108)*TRANSPOSE(($D110:$E110))),0)</f>
        <v>-79568.048785058403</v>
      </c>
      <c r="M110" s="31" cm="1">
        <f t="array" ref="M110">M$106+IF($C110&lt;&gt;0,SUMPRODUCT((M$107:M$108)*TRANSPOSE(($D110:$E110))),0)</f>
        <v>-81407.219095572946</v>
      </c>
      <c r="N110" s="31" cm="1">
        <f t="array" ref="N110">N$106+IF($C110&lt;&gt;0,SUMPRODUCT((N$107:N$108)*TRANSPOSE(($D110:$E110))),0)</f>
        <v>-65705.068214189872</v>
      </c>
      <c r="O110" s="31" cm="1">
        <f t="array" ref="O110">O$106+IF($C110&lt;&gt;0,SUMPRODUCT((O$107:O$108)*TRANSPOSE(($D110:$E110))),0)</f>
        <v>-23493.634152666345</v>
      </c>
      <c r="P110" s="31" cm="1">
        <f t="array" ref="P110">P$106+IF($C110&lt;&gt;0,SUMPRODUCT((P$107:P$108)*TRANSPOSE(($D110:$E110))),0)</f>
        <v>26021.975614969939</v>
      </c>
      <c r="Q110" s="31" cm="1">
        <f t="array" ref="Q110">Q$106+IF($C110&lt;&gt;0,SUMPRODUCT((Q$107:Q$108)*TRANSPOSE(($D110:$E110))),0)</f>
        <v>60059.22173264189</v>
      </c>
      <c r="R110" s="31" cm="1">
        <f t="array" ref="R110">R$106+IF($C110&lt;&gt;0,SUMPRODUCT((R$107:R$108)*TRANSPOSE(($D110:$E110))),0)</f>
        <v>85062.686402852967</v>
      </c>
      <c r="S110" s="31" cm="1">
        <f t="array" ref="S110">S$106+IF($C110&lt;&gt;0,SUMPRODUCT((S$107:S$108)*TRANSPOSE(($D110:$E110))),0)</f>
        <v>98759.050883676246</v>
      </c>
      <c r="T110" s="31" cm="1">
        <f t="array" ref="T110">T$106+IF($C110&lt;&gt;0,SUMPRODUCT((T$107:T$108)*TRANSPOSE(($D110:$E110))),0)</f>
        <v>114203.31468015848</v>
      </c>
      <c r="U110" s="31" cm="1">
        <f t="array" ref="U110">U$106+IF($C110&lt;&gt;0,SUMPRODUCT((U$107:U$108)*TRANSPOSE(($D110:$E110))),0)</f>
        <v>131622.61791330142</v>
      </c>
      <c r="V110" s="31" cm="1">
        <f t="array" ref="V110">V$106+IF($C110&lt;&gt;0,SUMPRODUCT((V$107:V$108)*TRANSPOSE(($D110:$E110))),0)</f>
        <v>150857.43407787694</v>
      </c>
      <c r="W110" s="31" cm="1">
        <f t="array" ref="W110">W$106+IF($C110&lt;&gt;0,SUMPRODUCT((W$107:W$108)*TRANSPOSE(($D110:$E110))),0)</f>
        <v>150857.43407787694</v>
      </c>
      <c r="X110" s="31" cm="1">
        <f t="array" ref="X110">X$106+IF($C110&lt;&gt;0,SUMPRODUCT((X$107:X$108)*TRANSPOSE(($D110:$E110))),0)</f>
        <v>150857.43407788067</v>
      </c>
      <c r="Y110" s="31" cm="1">
        <f t="array" ref="Y110">Y$106+IF($C110&lt;&gt;0,SUMPRODUCT((Y$107:Y$108)*TRANSPOSE(($D110:$E110))),0)</f>
        <v>150857.43407787321</v>
      </c>
      <c r="Z110" s="31" cm="1">
        <f t="array" ref="Z110">Z$106+IF($C110&lt;&gt;0,SUMPRODUCT((Z$107:Z$108)*TRANSPOSE(($D110:$E110))),0)</f>
        <v>150857.43407786576</v>
      </c>
      <c r="AA110" s="31" cm="1">
        <f t="array" ref="AA110">AA$106+IF($C110&lt;&gt;0,SUMPRODUCT((AA$107:AA$108)*TRANSPOSE(($D110:$E110))),0)</f>
        <v>150857.43407788067</v>
      </c>
      <c r="AB110" s="31" cm="1">
        <f t="array" ref="AB110">AB$106+IF($C110&lt;&gt;0,SUMPRODUCT((AB$107:AB$108)*TRANSPOSE(($D110:$E110))),0)</f>
        <v>150857.43407788067</v>
      </c>
      <c r="AC110" s="31" cm="1">
        <f t="array" ref="AC110">AC$106+IF($C110&lt;&gt;0,SUMPRODUCT((AC$107:AC$108)*TRANSPOSE(($D110:$E110))),0)</f>
        <v>150857.43407788067</v>
      </c>
      <c r="AD110" s="31" cm="1">
        <f t="array" ref="AD110">AD$106+IF($C110&lt;&gt;0,SUMPRODUCT((AD$107:AD$108)*TRANSPOSE(($D110:$E110))),0)</f>
        <v>150857.43407787321</v>
      </c>
      <c r="AE110" s="31" cm="1">
        <f t="array" ref="AE110">AE$106+IF($C110&lt;&gt;0,SUMPRODUCT((AE$107:AE$108)*TRANSPOSE(($D110:$E110))),0)</f>
        <v>150857.43407787321</v>
      </c>
      <c r="AF110" s="31" cm="1">
        <f t="array" ref="AF110">AF$106+IF($C110&lt;&gt;0,SUMPRODUCT((AF$107:AF$108)*TRANSPOSE(($D110:$E110))),0)</f>
        <v>150857.43407787321</v>
      </c>
      <c r="AG110" s="31" cm="1">
        <f t="array" ref="AG110">AG$106+IF($C110&lt;&gt;0,SUMPRODUCT((AG$107:AG$108)*TRANSPOSE(($D110:$E110))),0)</f>
        <v>150857.43407787321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-24653.808094811946</v>
      </c>
      <c r="K111" s="31" cm="1">
        <f t="array" ref="K111">K$106+IF($C111&lt;&gt;0,SUMPRODUCT((K$107:K$108)*TRANSPOSE(($D111:$E111))),0)</f>
        <v>-40215.949140372395</v>
      </c>
      <c r="L111" s="31" cm="1">
        <f t="array" ref="L111">L$106+IF($C111&lt;&gt;0,SUMPRODUCT((L$107:L$108)*TRANSPOSE(($D111:$E111))),0)</f>
        <v>-44450.239092344447</v>
      </c>
      <c r="M111" s="31" cm="1">
        <f t="array" ref="M111">M$106+IF($C111&lt;&gt;0,SUMPRODUCT((M$107:M$108)*TRANSPOSE(($D111:$E111))),0)</f>
        <v>-34583.472838621004</v>
      </c>
      <c r="N111" s="31" cm="1">
        <f t="array" ref="N111">N$106+IF($C111&lt;&gt;0,SUMPRODUCT((N$107:N$108)*TRANSPOSE(($D111:$E111))),0)</f>
        <v>-7175.3853929999459</v>
      </c>
      <c r="O111" s="31" cm="1">
        <f t="array" ref="O111">O$106+IF($C111&lt;&gt;0,SUMPRODUCT((O$107:O$108)*TRANSPOSE(($D111:$E111))),0)</f>
        <v>35036.048668523581</v>
      </c>
      <c r="P111" s="31" cm="1">
        <f t="array" ref="P111">P$106+IF($C111&lt;&gt;0,SUMPRODUCT((P$107:P$108)*TRANSPOSE(($D111:$E111))),0)</f>
        <v>84551.658436159865</v>
      </c>
      <c r="Q111" s="31" cm="1">
        <f t="array" ref="Q111">Q$106+IF($C111&lt;&gt;0,SUMPRODUCT((Q$107:Q$108)*TRANSPOSE(($D111:$E111))),0)</f>
        <v>118588.90455383182</v>
      </c>
      <c r="R111" s="31" cm="1">
        <f t="array" ref="R111">R$106+IF($C111&lt;&gt;0,SUMPRODUCT((R$107:R$108)*TRANSPOSE(($D111:$E111))),0)</f>
        <v>143592.36922404289</v>
      </c>
      <c r="S111" s="31" cm="1">
        <f t="array" ref="S111">S$106+IF($C111&lt;&gt;0,SUMPRODUCT((S$107:S$108)*TRANSPOSE(($D111:$E111))),0)</f>
        <v>157288.73370486617</v>
      </c>
      <c r="T111" s="31" cm="1">
        <f t="array" ref="T111">T$106+IF($C111&lt;&gt;0,SUMPRODUCT((T$107:T$108)*TRANSPOSE(($D111:$E111))),0)</f>
        <v>172732.99750134841</v>
      </c>
      <c r="U111" s="31" cm="1">
        <f t="array" ref="U111">U$106+IF($C111&lt;&gt;0,SUMPRODUCT((U$107:U$108)*TRANSPOSE(($D111:$E111))),0)</f>
        <v>190152.30073449135</v>
      </c>
      <c r="V111" s="31" cm="1">
        <f t="array" ref="V111">V$106+IF($C111&lt;&gt;0,SUMPRODUCT((V$107:V$108)*TRANSPOSE(($D111:$E111))),0)</f>
        <v>209387.11689906687</v>
      </c>
      <c r="W111" s="31" cm="1">
        <f t="array" ref="W111">W$106+IF($C111&lt;&gt;0,SUMPRODUCT((W$107:W$108)*TRANSPOSE(($D111:$E111))),0)</f>
        <v>209387.11689906687</v>
      </c>
      <c r="X111" s="31" cm="1">
        <f t="array" ref="X111">X$106+IF($C111&lt;&gt;0,SUMPRODUCT((X$107:X$108)*TRANSPOSE(($D111:$E111))),0)</f>
        <v>209387.11689907059</v>
      </c>
      <c r="Y111" s="31" cm="1">
        <f t="array" ref="Y111">Y$106+IF($C111&lt;&gt;0,SUMPRODUCT((Y$107:Y$108)*TRANSPOSE(($D111:$E111))),0)</f>
        <v>209387.11689906314</v>
      </c>
      <c r="Z111" s="31" cm="1">
        <f t="array" ref="Z111">Z$106+IF($C111&lt;&gt;0,SUMPRODUCT((Z$107:Z$108)*TRANSPOSE(($D111:$E111))),0)</f>
        <v>209387.11689905569</v>
      </c>
      <c r="AA111" s="31" cm="1">
        <f t="array" ref="AA111">AA$106+IF($C111&lt;&gt;0,SUMPRODUCT((AA$107:AA$108)*TRANSPOSE(($D111:$E111))),0)</f>
        <v>209387.11689907059</v>
      </c>
      <c r="AB111" s="31" cm="1">
        <f t="array" ref="AB111">AB$106+IF($C111&lt;&gt;0,SUMPRODUCT((AB$107:AB$108)*TRANSPOSE(($D111:$E111))),0)</f>
        <v>209387.11689907059</v>
      </c>
      <c r="AC111" s="31" cm="1">
        <f t="array" ref="AC111">AC$106+IF($C111&lt;&gt;0,SUMPRODUCT((AC$107:AC$108)*TRANSPOSE(($D111:$E111))),0)</f>
        <v>209387.11689907059</v>
      </c>
      <c r="AD111" s="31" cm="1">
        <f t="array" ref="AD111">AD$106+IF($C111&lt;&gt;0,SUMPRODUCT((AD$107:AD$108)*TRANSPOSE(($D111:$E111))),0)</f>
        <v>209387.11689906314</v>
      </c>
      <c r="AE111" s="31" cm="1">
        <f t="array" ref="AE111">AE$106+IF($C111&lt;&gt;0,SUMPRODUCT((AE$107:AE$108)*TRANSPOSE(($D111:$E111))),0)</f>
        <v>209387.11689906314</v>
      </c>
      <c r="AF111" s="31" cm="1">
        <f t="array" ref="AF111">AF$106+IF($C111&lt;&gt;0,SUMPRODUCT((AF$107:AF$108)*TRANSPOSE(($D111:$E111))),0)</f>
        <v>209387.11689906314</v>
      </c>
      <c r="AG111" s="31" cm="1">
        <f t="array" ref="AG111">AG$106+IF($C111&lt;&gt;0,SUMPRODUCT((AG$107:AG$108)*TRANSPOSE(($D111:$E111))),0)</f>
        <v>209387.11689906314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-27704.48573250504</v>
      </c>
      <c r="K112" s="31" cm="1">
        <f t="array" ref="K112">K$106+IF($C112&lt;&gt;0,SUMPRODUCT((K$107:K$108)*TRANSPOSE(($D112:$E112))),0)</f>
        <v>-45408.137710833435</v>
      </c>
      <c r="L112" s="31" cm="1">
        <f t="array" ref="L112">L$106+IF($C112&lt;&gt;0,SUMPRODUCT((L$107:L$108)*TRANSPOSE(($D112:$E112))),0)</f>
        <v>-50651.153486214593</v>
      </c>
      <c r="M112" s="31" cm="1">
        <f t="array" ref="M112">M$106+IF($C112&lt;&gt;0,SUMPRODUCT((M$107:M$108)*TRANSPOSE(($D112:$E112))),0)</f>
        <v>-40383.007435330699</v>
      </c>
      <c r="N112" s="31" cm="1">
        <f t="array" ref="N112">N$106+IF($C112&lt;&gt;0,SUMPRODUCT((N$107:N$108)*TRANSPOSE(($D112:$E112))),0)</f>
        <v>-10819.408073359435</v>
      </c>
      <c r="O112" s="31" cm="1">
        <f t="array" ref="O112">O$106+IF($C112&lt;&gt;0,SUMPRODUCT((O$107:O$108)*TRANSPOSE(($D112:$E112))),0)</f>
        <v>35613.169394316443</v>
      </c>
      <c r="P112" s="31" cm="1">
        <f t="array" ref="P112">P$106+IF($C112&lt;&gt;0,SUMPRODUCT((P$107:P$108)*TRANSPOSE(($D112:$E112))),0)</f>
        <v>90080.340138716361</v>
      </c>
      <c r="Q112" s="31" cm="1">
        <f t="array" ref="Q112">Q$106+IF($C112&lt;&gt;0,SUMPRODUCT((Q$107:Q$108)*TRANSPOSE(($D112:$E112))),0)</f>
        <v>127521.3108681555</v>
      </c>
      <c r="R112" s="31" cm="1">
        <f t="array" ref="R112">R$106+IF($C112&lt;&gt;0,SUMPRODUCT((R$107:R$108)*TRANSPOSE(($D112:$E112))),0)</f>
        <v>155025.12200538768</v>
      </c>
      <c r="S112" s="31" cm="1">
        <f t="array" ref="S112">S$106+IF($C112&lt;&gt;0,SUMPRODUCT((S$107:S$108)*TRANSPOSE(($D112:$E112))),0)</f>
        <v>170091.12293429329</v>
      </c>
      <c r="T112" s="31" cm="1">
        <f t="array" ref="T112">T$106+IF($C112&lt;&gt;0,SUMPRODUCT((T$107:T$108)*TRANSPOSE(($D112:$E112))),0)</f>
        <v>187079.81311042374</v>
      </c>
      <c r="U112" s="31" cm="1">
        <f t="array" ref="U112">U$106+IF($C112&lt;&gt;0,SUMPRODUCT((U$107:U$108)*TRANSPOSE(($D112:$E112))),0)</f>
        <v>206241.04666688098</v>
      </c>
      <c r="V112" s="31" cm="1">
        <f t="array" ref="V112">V$106+IF($C112&lt;&gt;0,SUMPRODUCT((V$107:V$108)*TRANSPOSE(($D112:$E112))),0)</f>
        <v>227399.34444791405</v>
      </c>
      <c r="W112" s="31" cm="1">
        <f t="array" ref="W112">W$106+IF($C112&lt;&gt;0,SUMPRODUCT((W$107:W$108)*TRANSPOSE(($D112:$E112))),0)</f>
        <v>227399.34444791405</v>
      </c>
      <c r="X112" s="31" cm="1">
        <f t="array" ref="X112">X$106+IF($C112&lt;&gt;0,SUMPRODUCT((X$107:X$108)*TRANSPOSE(($D112:$E112))),0)</f>
        <v>227399.34444791815</v>
      </c>
      <c r="Y112" s="31" cm="1">
        <f t="array" ref="Y112">Y$106+IF($C112&lt;&gt;0,SUMPRODUCT((Y$107:Y$108)*TRANSPOSE(($D112:$E112))),0)</f>
        <v>227399.34444790997</v>
      </c>
      <c r="Z112" s="31" cm="1">
        <f t="array" ref="Z112">Z$106+IF($C112&lt;&gt;0,SUMPRODUCT((Z$107:Z$108)*TRANSPOSE(($D112:$E112))),0)</f>
        <v>227399.34444790176</v>
      </c>
      <c r="AA112" s="31" cm="1">
        <f t="array" ref="AA112">AA$106+IF($C112&lt;&gt;0,SUMPRODUCT((AA$107:AA$108)*TRANSPOSE(($D112:$E112))),0)</f>
        <v>227399.34444791815</v>
      </c>
      <c r="AB112" s="31" cm="1">
        <f t="array" ref="AB112">AB$106+IF($C112&lt;&gt;0,SUMPRODUCT((AB$107:AB$108)*TRANSPOSE(($D112:$E112))),0)</f>
        <v>227399.34444791815</v>
      </c>
      <c r="AC112" s="31" cm="1">
        <f t="array" ref="AC112">AC$106+IF($C112&lt;&gt;0,SUMPRODUCT((AC$107:AC$108)*TRANSPOSE(($D112:$E112))),0)</f>
        <v>227399.34444791815</v>
      </c>
      <c r="AD112" s="31" cm="1">
        <f t="array" ref="AD112">AD$106+IF($C112&lt;&gt;0,SUMPRODUCT((AD$107:AD$108)*TRANSPOSE(($D112:$E112))),0)</f>
        <v>227399.34444790997</v>
      </c>
      <c r="AE112" s="31" cm="1">
        <f t="array" ref="AE112">AE$106+IF($C112&lt;&gt;0,SUMPRODUCT((AE$107:AE$108)*TRANSPOSE(($D112:$E112))),0)</f>
        <v>227399.34444790997</v>
      </c>
      <c r="AF112" s="31" cm="1">
        <f t="array" ref="AF112">AF$106+IF($C112&lt;&gt;0,SUMPRODUCT((AF$107:AF$108)*TRANSPOSE(($D112:$E112))),0)</f>
        <v>227399.34444790997</v>
      </c>
      <c r="AG112" s="31" cm="1">
        <f t="array" ref="AG112">AG$106+IF($C112&lt;&gt;0,SUMPRODUCT((AG$107:AG$108)*TRANSPOSE(($D112:$E112))),0)</f>
        <v>227399.34444790997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-33309.067021356837</v>
      </c>
      <c r="K113" s="31" cm="1">
        <f t="array" ref="K113">K$106+IF($C113&lt;&gt;0,SUMPRODUCT((K$107:K$108)*TRANSPOSE(($D113:$E113))),0)</f>
        <v>-58435.633698387326</v>
      </c>
      <c r="L113" s="31" cm="1">
        <f t="array" ref="L113">L$106+IF($C113&lt;&gt;0,SUMPRODUCT((L$107:L$108)*TRANSPOSE(($D113:$E113))),0)</f>
        <v>-73367.134391188258</v>
      </c>
      <c r="M113" s="31" cm="1">
        <f t="array" ref="M113">M$106+IF($C113&lt;&gt;0,SUMPRODUCT((M$107:M$108)*TRANSPOSE(($D113:$E113))),0)</f>
        <v>-75607.684498863251</v>
      </c>
      <c r="N113" s="31" cm="1">
        <f t="array" ref="N113">N$106+IF($C113&lt;&gt;0,SUMPRODUCT((N$107:N$108)*TRANSPOSE(($D113:$E113))),0)</f>
        <v>-62061.045533830387</v>
      </c>
      <c r="O113" s="31" cm="1">
        <f t="array" ref="O113">O$106+IF($C113&lt;&gt;0,SUMPRODUCT((O$107:O$108)*TRANSPOSE(($D113:$E113))),0)</f>
        <v>-24070.754878459207</v>
      </c>
      <c r="P113" s="31" cm="1">
        <f t="array" ref="P113">P$106+IF($C113&lt;&gt;0,SUMPRODUCT((P$107:P$108)*TRANSPOSE(($D113:$E113))),0)</f>
        <v>20493.29391241345</v>
      </c>
      <c r="Q113" s="31" cm="1">
        <f t="array" ref="Q113">Q$106+IF($C113&lt;&gt;0,SUMPRODUCT((Q$107:Q$108)*TRANSPOSE(($D113:$E113))),0)</f>
        <v>51126.815418318205</v>
      </c>
      <c r="R113" s="31" cm="1">
        <f t="array" ref="R113">R$106+IF($C113&lt;&gt;0,SUMPRODUCT((R$107:R$108)*TRANSPOSE(($D113:$E113))),0)</f>
        <v>73629.933621508171</v>
      </c>
      <c r="S113" s="31" cm="1">
        <f t="array" ref="S113">S$106+IF($C113&lt;&gt;0,SUMPRODUCT((S$107:S$108)*TRANSPOSE(($D113:$E113))),0)</f>
        <v>85956.661654249125</v>
      </c>
      <c r="T113" s="31" cm="1">
        <f t="array" ref="T113">T$106+IF($C113&lt;&gt;0,SUMPRODUCT((T$107:T$108)*TRANSPOSE(($D113:$E113))),0)</f>
        <v>99856.499071083133</v>
      </c>
      <c r="U113" s="31" cm="1">
        <f t="array" ref="U113">U$106+IF($C113&lt;&gt;0,SUMPRODUCT((U$107:U$108)*TRANSPOSE(($D113:$E113))),0)</f>
        <v>115533.87198091179</v>
      </c>
      <c r="V113" s="31" cm="1">
        <f t="array" ref="V113">V$106+IF($C113&lt;&gt;0,SUMPRODUCT((V$107:V$108)*TRANSPOSE(($D113:$E113))),0)</f>
        <v>132845.20652902976</v>
      </c>
      <c r="W113" s="31" cm="1">
        <f t="array" ref="W113">W$106+IF($C113&lt;&gt;0,SUMPRODUCT((W$107:W$108)*TRANSPOSE(($D113:$E113))),0)</f>
        <v>132845.20652902976</v>
      </c>
      <c r="X113" s="31" cm="1">
        <f t="array" ref="X113">X$106+IF($C113&lt;&gt;0,SUMPRODUCT((X$107:X$108)*TRANSPOSE(($D113:$E113))),0)</f>
        <v>132845.20652903311</v>
      </c>
      <c r="Y113" s="31" cm="1">
        <f t="array" ref="Y113">Y$106+IF($C113&lt;&gt;0,SUMPRODUCT((Y$107:Y$108)*TRANSPOSE(($D113:$E113))),0)</f>
        <v>132845.20652902639</v>
      </c>
      <c r="Z113" s="31" cm="1">
        <f t="array" ref="Z113">Z$106+IF($C113&lt;&gt;0,SUMPRODUCT((Z$107:Z$108)*TRANSPOSE(($D113:$E113))),0)</f>
        <v>132845.20652901969</v>
      </c>
      <c r="AA113" s="31" cm="1">
        <f t="array" ref="AA113">AA$106+IF($C113&lt;&gt;0,SUMPRODUCT((AA$107:AA$108)*TRANSPOSE(($D113:$E113))),0)</f>
        <v>132845.20652903311</v>
      </c>
      <c r="AB113" s="31" cm="1">
        <f t="array" ref="AB113">AB$106+IF($C113&lt;&gt;0,SUMPRODUCT((AB$107:AB$108)*TRANSPOSE(($D113:$E113))),0)</f>
        <v>132845.20652903311</v>
      </c>
      <c r="AC113" s="31" cm="1">
        <f t="array" ref="AC113">AC$106+IF($C113&lt;&gt;0,SUMPRODUCT((AC$107:AC$108)*TRANSPOSE(($D113:$E113))),0)</f>
        <v>132845.20652903311</v>
      </c>
      <c r="AD113" s="31" cm="1">
        <f t="array" ref="AD113">AD$106+IF($C113&lt;&gt;0,SUMPRODUCT((AD$107:AD$108)*TRANSPOSE(($D113:$E113))),0)</f>
        <v>132845.20652902639</v>
      </c>
      <c r="AE113" s="31" cm="1">
        <f t="array" ref="AE113">AE$106+IF($C113&lt;&gt;0,SUMPRODUCT((AE$107:AE$108)*TRANSPOSE(($D113:$E113))),0)</f>
        <v>132845.20652902639</v>
      </c>
      <c r="AF113" s="31" cm="1">
        <f t="array" ref="AF113">AF$106+IF($C113&lt;&gt;0,SUMPRODUCT((AF$107:AF$108)*TRANSPOSE(($D113:$E113))),0)</f>
        <v>132845.20652902639</v>
      </c>
      <c r="AG113" s="31" cm="1">
        <f t="array" ref="AG113">AG$106+IF($C113&lt;&gt;0,SUMPRODUCT((AG$107:AG$108)*TRANSPOSE(($D113:$E113))),0)</f>
        <v>132845.20652902639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-39162.03530347583</v>
      </c>
      <c r="K114" s="31" cm="1">
        <f t="array" ref="K114">K$106+IF($C114&lt;&gt;0,SUMPRODUCT((K$107:K$108)*TRANSPOSE(($D114:$E114))),0)</f>
        <v>-70141.570262625319</v>
      </c>
      <c r="L114" s="31" cm="1">
        <f t="array" ref="L114">L$106+IF($C114&lt;&gt;0,SUMPRODUCT((L$107:L$108)*TRANSPOSE(($D114:$E114))),0)</f>
        <v>-90926.039237545236</v>
      </c>
      <c r="M114" s="31" cm="1">
        <f t="array" ref="M114">M$106+IF($C114&lt;&gt;0,SUMPRODUCT((M$107:M$108)*TRANSPOSE(($D114:$E114))),0)</f>
        <v>-99019.557627339222</v>
      </c>
      <c r="N114" s="31" cm="1">
        <f t="array" ref="N114">N$106+IF($C114&lt;&gt;0,SUMPRODUCT((N$107:N$108)*TRANSPOSE(($D114:$E114))),0)</f>
        <v>-91325.886944425351</v>
      </c>
      <c r="O114" s="31" cm="1">
        <f t="array" ref="O114">O$106+IF($C114&lt;&gt;0,SUMPRODUCT((O$107:O$108)*TRANSPOSE(($D114:$E114))),0)</f>
        <v>-53335.59628905417</v>
      </c>
      <c r="P114" s="31" cm="1">
        <f t="array" ref="P114">P$106+IF($C114&lt;&gt;0,SUMPRODUCT((P$107:P$108)*TRANSPOSE(($D114:$E114))),0)</f>
        <v>-8771.5474981815132</v>
      </c>
      <c r="Q114" s="31" cm="1">
        <f t="array" ref="Q114">Q$106+IF($C114&lt;&gt;0,SUMPRODUCT((Q$107:Q$108)*TRANSPOSE(($D114:$E114))),0)</f>
        <v>21861.974007723242</v>
      </c>
      <c r="R114" s="31" cm="1">
        <f t="array" ref="R114">R$106+IF($C114&lt;&gt;0,SUMPRODUCT((R$107:R$108)*TRANSPOSE(($D114:$E114))),0)</f>
        <v>44365.092210913208</v>
      </c>
      <c r="S114" s="31" cm="1">
        <f t="array" ref="S114">S$106+IF($C114&lt;&gt;0,SUMPRODUCT((S$107:S$108)*TRANSPOSE(($D114:$E114))),0)</f>
        <v>56691.820243654161</v>
      </c>
      <c r="T114" s="31" cm="1">
        <f t="array" ref="T114">T$106+IF($C114&lt;&gt;0,SUMPRODUCT((T$107:T$108)*TRANSPOSE(($D114:$E114))),0)</f>
        <v>70591.65766048817</v>
      </c>
      <c r="U114" s="31" cm="1">
        <f t="array" ref="U114">U$106+IF($C114&lt;&gt;0,SUMPRODUCT((U$107:U$108)*TRANSPOSE(($D114:$E114))),0)</f>
        <v>86269.030570316827</v>
      </c>
      <c r="V114" s="31" cm="1">
        <f t="array" ref="V114">V$106+IF($C114&lt;&gt;0,SUMPRODUCT((V$107:V$108)*TRANSPOSE(($D114:$E114))),0)</f>
        <v>103580.36511843478</v>
      </c>
      <c r="W114" s="31" cm="1">
        <f t="array" ref="W114">W$106+IF($C114&lt;&gt;0,SUMPRODUCT((W$107:W$108)*TRANSPOSE(($D114:$E114))),0)</f>
        <v>103580.36511843478</v>
      </c>
      <c r="X114" s="31" cm="1">
        <f t="array" ref="X114">X$106+IF($C114&lt;&gt;0,SUMPRODUCT((X$107:X$108)*TRANSPOSE(($D114:$E114))),0)</f>
        <v>103580.36511843815</v>
      </c>
      <c r="Y114" s="31" cm="1">
        <f t="array" ref="Y114">Y$106+IF($C114&lt;&gt;0,SUMPRODUCT((Y$107:Y$108)*TRANSPOSE(($D114:$E114))),0)</f>
        <v>103580.36511843142</v>
      </c>
      <c r="Z114" s="31" cm="1">
        <f t="array" ref="Z114">Z$106+IF($C114&lt;&gt;0,SUMPRODUCT((Z$107:Z$108)*TRANSPOSE(($D114:$E114))),0)</f>
        <v>103580.36511842473</v>
      </c>
      <c r="AA114" s="31" cm="1">
        <f t="array" ref="AA114">AA$106+IF($C114&lt;&gt;0,SUMPRODUCT((AA$107:AA$108)*TRANSPOSE(($D114:$E114))),0)</f>
        <v>103580.36511843815</v>
      </c>
      <c r="AB114" s="31" cm="1">
        <f t="array" ref="AB114">AB$106+IF($C114&lt;&gt;0,SUMPRODUCT((AB$107:AB$108)*TRANSPOSE(($D114:$E114))),0)</f>
        <v>103580.36511843815</v>
      </c>
      <c r="AC114" s="31" cm="1">
        <f t="array" ref="AC114">AC$106+IF($C114&lt;&gt;0,SUMPRODUCT((AC$107:AC$108)*TRANSPOSE(($D114:$E114))),0)</f>
        <v>103580.36511843815</v>
      </c>
      <c r="AD114" s="31" cm="1">
        <f t="array" ref="AD114">AD$106+IF($C114&lt;&gt;0,SUMPRODUCT((AD$107:AD$108)*TRANSPOSE(($D114:$E114))),0)</f>
        <v>103580.36511843142</v>
      </c>
      <c r="AE114" s="31" cm="1">
        <f t="array" ref="AE114">AE$106+IF($C114&lt;&gt;0,SUMPRODUCT((AE$107:AE$108)*TRANSPOSE(($D114:$E114))),0)</f>
        <v>103580.36511843142</v>
      </c>
      <c r="AF114" s="31" cm="1">
        <f t="array" ref="AF114">AF$106+IF($C114&lt;&gt;0,SUMPRODUCT((AF$107:AF$108)*TRANSPOSE(($D114:$E114))),0)</f>
        <v>103580.36511843142</v>
      </c>
      <c r="AG114" s="31" cm="1">
        <f t="array" ref="AG114">AG$106+IF($C114&lt;&gt;0,SUMPRODUCT((AG$107:AG$108)*TRANSPOSE(($D114:$E114))),0)</f>
        <v>103580.36511843142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-30506.776376930939</v>
      </c>
      <c r="K115" s="31" cm="1">
        <f t="array" ref="K115">K$106+IF($C115&lt;&gt;0,SUMPRODUCT((K$107:K$108)*TRANSPOSE(($D115:$E115))),0)</f>
        <v>-51921.88570461038</v>
      </c>
      <c r="L115" s="31" cm="1">
        <f t="array" ref="L115">L$106+IF($C115&lt;&gt;0,SUMPRODUCT((L$107:L$108)*TRANSPOSE(($D115:$E115))),0)</f>
        <v>-62009.143938701425</v>
      </c>
      <c r="M115" s="31" cm="1">
        <f t="array" ref="M115">M$106+IF($C115&lt;&gt;0,SUMPRODUCT((M$107:M$108)*TRANSPOSE(($D115:$E115))),0)</f>
        <v>-57995.345967096975</v>
      </c>
      <c r="N115" s="31" cm="1">
        <f t="array" ref="N115">N$106+IF($C115&lt;&gt;0,SUMPRODUCT((N$107:N$108)*TRANSPOSE(($D115:$E115))),0)</f>
        <v>-36440.226803594909</v>
      </c>
      <c r="O115" s="31" cm="1">
        <f t="array" ref="O115">O$106+IF($C115&lt;&gt;0,SUMPRODUCT((O$107:O$108)*TRANSPOSE(($D115:$E115))),0)</f>
        <v>5771.2072579286178</v>
      </c>
      <c r="P115" s="31" cm="1">
        <f t="array" ref="P115">P$106+IF($C115&lt;&gt;0,SUMPRODUCT((P$107:P$108)*TRANSPOSE(($D115:$E115))),0)</f>
        <v>55286.817025564902</v>
      </c>
      <c r="Q115" s="31" cm="1">
        <f t="array" ref="Q115">Q$106+IF($C115&lt;&gt;0,SUMPRODUCT((Q$107:Q$108)*TRANSPOSE(($D115:$E115))),0)</f>
        <v>89324.063143236854</v>
      </c>
      <c r="R115" s="31" cm="1">
        <f t="array" ref="R115">R$106+IF($C115&lt;&gt;0,SUMPRODUCT((R$107:R$108)*TRANSPOSE(($D115:$E115))),0)</f>
        <v>114327.52781344793</v>
      </c>
      <c r="S115" s="31" cm="1">
        <f t="array" ref="S115">S$106+IF($C115&lt;&gt;0,SUMPRODUCT((S$107:S$108)*TRANSPOSE(($D115:$E115))),0)</f>
        <v>128023.89229427121</v>
      </c>
      <c r="T115" s="31" cm="1">
        <f t="array" ref="T115">T$106+IF($C115&lt;&gt;0,SUMPRODUCT((T$107:T$108)*TRANSPOSE(($D115:$E115))),0)</f>
        <v>143468.15609075344</v>
      </c>
      <c r="U115" s="31" cm="1">
        <f t="array" ref="U115">U$106+IF($C115&lt;&gt;0,SUMPRODUCT((U$107:U$108)*TRANSPOSE(($D115:$E115))),0)</f>
        <v>160887.45932389639</v>
      </c>
      <c r="V115" s="31" cm="1">
        <f t="array" ref="V115">V$106+IF($C115&lt;&gt;0,SUMPRODUCT((V$107:V$108)*TRANSPOSE(($D115:$E115))),0)</f>
        <v>180122.2754884719</v>
      </c>
      <c r="W115" s="31" cm="1">
        <f t="array" ref="W115">W$106+IF($C115&lt;&gt;0,SUMPRODUCT((W$107:W$108)*TRANSPOSE(($D115:$E115))),0)</f>
        <v>180122.2754884719</v>
      </c>
      <c r="X115" s="31" cm="1">
        <f t="array" ref="X115">X$106+IF($C115&lt;&gt;0,SUMPRODUCT((X$107:X$108)*TRANSPOSE(($D115:$E115))),0)</f>
        <v>180122.27548847563</v>
      </c>
      <c r="Y115" s="31" cm="1">
        <f t="array" ref="Y115">Y$106+IF($C115&lt;&gt;0,SUMPRODUCT((Y$107:Y$108)*TRANSPOSE(($D115:$E115))),0)</f>
        <v>180122.27548846818</v>
      </c>
      <c r="Z115" s="31" cm="1">
        <f t="array" ref="Z115">Z$106+IF($C115&lt;&gt;0,SUMPRODUCT((Z$107:Z$108)*TRANSPOSE(($D115:$E115))),0)</f>
        <v>180122.27548846073</v>
      </c>
      <c r="AA115" s="31" cm="1">
        <f t="array" ref="AA115">AA$106+IF($C115&lt;&gt;0,SUMPRODUCT((AA$107:AA$108)*TRANSPOSE(($D115:$E115))),0)</f>
        <v>180122.27548847563</v>
      </c>
      <c r="AB115" s="31" cm="1">
        <f t="array" ref="AB115">AB$106+IF($C115&lt;&gt;0,SUMPRODUCT((AB$107:AB$108)*TRANSPOSE(($D115:$E115))),0)</f>
        <v>180122.27548847563</v>
      </c>
      <c r="AC115" s="31" cm="1">
        <f t="array" ref="AC115">AC$106+IF($C115&lt;&gt;0,SUMPRODUCT((AC$107:AC$108)*TRANSPOSE(($D115:$E115))),0)</f>
        <v>180122.27548847563</v>
      </c>
      <c r="AD115" s="31" cm="1">
        <f t="array" ref="AD115">AD$106+IF($C115&lt;&gt;0,SUMPRODUCT((AD$107:AD$108)*TRANSPOSE(($D115:$E115))),0)</f>
        <v>180122.27548846818</v>
      </c>
      <c r="AE115" s="31" cm="1">
        <f t="array" ref="AE115">AE$106+IF($C115&lt;&gt;0,SUMPRODUCT((AE$107:AE$108)*TRANSPOSE(($D115:$E115))),0)</f>
        <v>180122.27548846818</v>
      </c>
      <c r="AF115" s="31" cm="1">
        <f t="array" ref="AF115">AF$106+IF($C115&lt;&gt;0,SUMPRODUCT((AF$107:AF$108)*TRANSPOSE(($D115:$E115))),0)</f>
        <v>180122.27548846818</v>
      </c>
      <c r="AG115" s="31" cm="1">
        <f t="array" ref="AG115">AG$106+IF($C115&lt;&gt;0,SUMPRODUCT((AG$107:AG$108)*TRANSPOSE(($D115:$E115))),0)</f>
        <v>180122.27548846818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-30506.776376930939</v>
      </c>
      <c r="K116" s="31" cm="1">
        <f t="array" ref="K116">K$106+IF($C116&lt;&gt;0,SUMPRODUCT((K$107:K$108)*TRANSPOSE(($D116:$E116))),0)</f>
        <v>-51921.88570461038</v>
      </c>
      <c r="L116" s="31" cm="1">
        <f t="array" ref="L116">L$106+IF($C116&lt;&gt;0,SUMPRODUCT((L$107:L$108)*TRANSPOSE(($D116:$E116))),0)</f>
        <v>-62009.143938701425</v>
      </c>
      <c r="M116" s="31" cm="1">
        <f t="array" ref="M116">M$106+IF($C116&lt;&gt;0,SUMPRODUCT((M$107:M$108)*TRANSPOSE(($D116:$E116))),0)</f>
        <v>-57995.345967096975</v>
      </c>
      <c r="N116" s="31" cm="1">
        <f t="array" ref="N116">N$106+IF($C116&lt;&gt;0,SUMPRODUCT((N$107:N$108)*TRANSPOSE(($D116:$E116))),0)</f>
        <v>-36440.226803594909</v>
      </c>
      <c r="O116" s="31" cm="1">
        <f t="array" ref="O116">O$106+IF($C116&lt;&gt;0,SUMPRODUCT((O$107:O$108)*TRANSPOSE(($D116:$E116))),0)</f>
        <v>5771.2072579286178</v>
      </c>
      <c r="P116" s="31" cm="1">
        <f t="array" ref="P116">P$106+IF($C116&lt;&gt;0,SUMPRODUCT((P$107:P$108)*TRANSPOSE(($D116:$E116))),0)</f>
        <v>55286.817025564902</v>
      </c>
      <c r="Q116" s="31" cm="1">
        <f t="array" ref="Q116">Q$106+IF($C116&lt;&gt;0,SUMPRODUCT((Q$107:Q$108)*TRANSPOSE(($D116:$E116))),0)</f>
        <v>89324.063143236854</v>
      </c>
      <c r="R116" s="31" cm="1">
        <f t="array" ref="R116">R$106+IF($C116&lt;&gt;0,SUMPRODUCT((R$107:R$108)*TRANSPOSE(($D116:$E116))),0)</f>
        <v>114327.52781344793</v>
      </c>
      <c r="S116" s="31" cm="1">
        <f t="array" ref="S116">S$106+IF($C116&lt;&gt;0,SUMPRODUCT((S$107:S$108)*TRANSPOSE(($D116:$E116))),0)</f>
        <v>128023.89229427121</v>
      </c>
      <c r="T116" s="31" cm="1">
        <f t="array" ref="T116">T$106+IF($C116&lt;&gt;0,SUMPRODUCT((T$107:T$108)*TRANSPOSE(($D116:$E116))),0)</f>
        <v>143468.15609075344</v>
      </c>
      <c r="U116" s="31" cm="1">
        <f t="array" ref="U116">U$106+IF($C116&lt;&gt;0,SUMPRODUCT((U$107:U$108)*TRANSPOSE(($D116:$E116))),0)</f>
        <v>160887.45932389639</v>
      </c>
      <c r="V116" s="31" cm="1">
        <f t="array" ref="V116">V$106+IF($C116&lt;&gt;0,SUMPRODUCT((V$107:V$108)*TRANSPOSE(($D116:$E116))),0)</f>
        <v>180122.2754884719</v>
      </c>
      <c r="W116" s="31" cm="1">
        <f t="array" ref="W116">W$106+IF($C116&lt;&gt;0,SUMPRODUCT((W$107:W$108)*TRANSPOSE(($D116:$E116))),0)</f>
        <v>180122.2754884719</v>
      </c>
      <c r="X116" s="31" cm="1">
        <f t="array" ref="X116">X$106+IF($C116&lt;&gt;0,SUMPRODUCT((X$107:X$108)*TRANSPOSE(($D116:$E116))),0)</f>
        <v>180122.27548847563</v>
      </c>
      <c r="Y116" s="31" cm="1">
        <f t="array" ref="Y116">Y$106+IF($C116&lt;&gt;0,SUMPRODUCT((Y$107:Y$108)*TRANSPOSE(($D116:$E116))),0)</f>
        <v>180122.27548846818</v>
      </c>
      <c r="Z116" s="31" cm="1">
        <f t="array" ref="Z116">Z$106+IF($C116&lt;&gt;0,SUMPRODUCT((Z$107:Z$108)*TRANSPOSE(($D116:$E116))),0)</f>
        <v>180122.27548846073</v>
      </c>
      <c r="AA116" s="31" cm="1">
        <f t="array" ref="AA116">AA$106+IF($C116&lt;&gt;0,SUMPRODUCT((AA$107:AA$108)*TRANSPOSE(($D116:$E116))),0)</f>
        <v>180122.27548847563</v>
      </c>
      <c r="AB116" s="31" cm="1">
        <f t="array" ref="AB116">AB$106+IF($C116&lt;&gt;0,SUMPRODUCT((AB$107:AB$108)*TRANSPOSE(($D116:$E116))),0)</f>
        <v>180122.27548847563</v>
      </c>
      <c r="AC116" s="31" cm="1">
        <f t="array" ref="AC116">AC$106+IF($C116&lt;&gt;0,SUMPRODUCT((AC$107:AC$108)*TRANSPOSE(($D116:$E116))),0)</f>
        <v>180122.27548847563</v>
      </c>
      <c r="AD116" s="31" cm="1">
        <f t="array" ref="AD116">AD$106+IF($C116&lt;&gt;0,SUMPRODUCT((AD$107:AD$108)*TRANSPOSE(($D116:$E116))),0)</f>
        <v>180122.27548846818</v>
      </c>
      <c r="AE116" s="31" cm="1">
        <f t="array" ref="AE116">AE$106+IF($C116&lt;&gt;0,SUMPRODUCT((AE$107:AE$108)*TRANSPOSE(($D116:$E116))),0)</f>
        <v>180122.27548846818</v>
      </c>
      <c r="AF116" s="31" cm="1">
        <f t="array" ref="AF116">AF$106+IF($C116&lt;&gt;0,SUMPRODUCT((AF$107:AF$108)*TRANSPOSE(($D116:$E116))),0)</f>
        <v>180122.27548846818</v>
      </c>
      <c r="AG116" s="31" cm="1">
        <f t="array" ref="AG116">AG$106+IF($C116&lt;&gt;0,SUMPRODUCT((AG$107:AG$108)*TRANSPOSE(($D116:$E116))),0)</f>
        <v>180122.27548846818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-30506.776376930939</v>
      </c>
      <c r="K117" s="31" cm="1">
        <f t="array" ref="K117">K$106+IF($C117&lt;&gt;0,SUMPRODUCT((K$107:K$108)*TRANSPOSE(($D117:$E117))),0)</f>
        <v>-51921.88570461038</v>
      </c>
      <c r="L117" s="31" cm="1">
        <f t="array" ref="L117">L$106+IF($C117&lt;&gt;0,SUMPRODUCT((L$107:L$108)*TRANSPOSE(($D117:$E117))),0)</f>
        <v>-62009.143938701425</v>
      </c>
      <c r="M117" s="31" cm="1">
        <f t="array" ref="M117">M$106+IF($C117&lt;&gt;0,SUMPRODUCT((M$107:M$108)*TRANSPOSE(($D117:$E117))),0)</f>
        <v>-57995.345967096975</v>
      </c>
      <c r="N117" s="31" cm="1">
        <f t="array" ref="N117">N$106+IF($C117&lt;&gt;0,SUMPRODUCT((N$107:N$108)*TRANSPOSE(($D117:$E117))),0)</f>
        <v>-36440.226803594909</v>
      </c>
      <c r="O117" s="31" cm="1">
        <f t="array" ref="O117">O$106+IF($C117&lt;&gt;0,SUMPRODUCT((O$107:O$108)*TRANSPOSE(($D117:$E117))),0)</f>
        <v>5771.2072579286178</v>
      </c>
      <c r="P117" s="31" cm="1">
        <f t="array" ref="P117">P$106+IF($C117&lt;&gt;0,SUMPRODUCT((P$107:P$108)*TRANSPOSE(($D117:$E117))),0)</f>
        <v>55286.817025564902</v>
      </c>
      <c r="Q117" s="31" cm="1">
        <f t="array" ref="Q117">Q$106+IF($C117&lt;&gt;0,SUMPRODUCT((Q$107:Q$108)*TRANSPOSE(($D117:$E117))),0)</f>
        <v>89324.063143236854</v>
      </c>
      <c r="R117" s="31" cm="1">
        <f t="array" ref="R117">R$106+IF($C117&lt;&gt;0,SUMPRODUCT((R$107:R$108)*TRANSPOSE(($D117:$E117))),0)</f>
        <v>114327.52781344793</v>
      </c>
      <c r="S117" s="31" cm="1">
        <f t="array" ref="S117">S$106+IF($C117&lt;&gt;0,SUMPRODUCT((S$107:S$108)*TRANSPOSE(($D117:$E117))),0)</f>
        <v>128023.89229427121</v>
      </c>
      <c r="T117" s="31" cm="1">
        <f t="array" ref="T117">T$106+IF($C117&lt;&gt;0,SUMPRODUCT((T$107:T$108)*TRANSPOSE(($D117:$E117))),0)</f>
        <v>143468.15609075344</v>
      </c>
      <c r="U117" s="31" cm="1">
        <f t="array" ref="U117">U$106+IF($C117&lt;&gt;0,SUMPRODUCT((U$107:U$108)*TRANSPOSE(($D117:$E117))),0)</f>
        <v>160887.45932389639</v>
      </c>
      <c r="V117" s="31" cm="1">
        <f t="array" ref="V117">V$106+IF($C117&lt;&gt;0,SUMPRODUCT((V$107:V$108)*TRANSPOSE(($D117:$E117))),0)</f>
        <v>180122.2754884719</v>
      </c>
      <c r="W117" s="31" cm="1">
        <f t="array" ref="W117">W$106+IF($C117&lt;&gt;0,SUMPRODUCT((W$107:W$108)*TRANSPOSE(($D117:$E117))),0)</f>
        <v>180122.2754884719</v>
      </c>
      <c r="X117" s="31" cm="1">
        <f t="array" ref="X117">X$106+IF($C117&lt;&gt;0,SUMPRODUCT((X$107:X$108)*TRANSPOSE(($D117:$E117))),0)</f>
        <v>180122.27548847563</v>
      </c>
      <c r="Y117" s="31" cm="1">
        <f t="array" ref="Y117">Y$106+IF($C117&lt;&gt;0,SUMPRODUCT((Y$107:Y$108)*TRANSPOSE(($D117:$E117))),0)</f>
        <v>180122.27548846818</v>
      </c>
      <c r="Z117" s="31" cm="1">
        <f t="array" ref="Z117">Z$106+IF($C117&lt;&gt;0,SUMPRODUCT((Z$107:Z$108)*TRANSPOSE(($D117:$E117))),0)</f>
        <v>180122.27548846073</v>
      </c>
      <c r="AA117" s="31" cm="1">
        <f t="array" ref="AA117">AA$106+IF($C117&lt;&gt;0,SUMPRODUCT((AA$107:AA$108)*TRANSPOSE(($D117:$E117))),0)</f>
        <v>180122.27548847563</v>
      </c>
      <c r="AB117" s="31" cm="1">
        <f t="array" ref="AB117">AB$106+IF($C117&lt;&gt;0,SUMPRODUCT((AB$107:AB$108)*TRANSPOSE(($D117:$E117))),0)</f>
        <v>180122.27548847563</v>
      </c>
      <c r="AC117" s="31" cm="1">
        <f t="array" ref="AC117">AC$106+IF($C117&lt;&gt;0,SUMPRODUCT((AC$107:AC$108)*TRANSPOSE(($D117:$E117))),0)</f>
        <v>180122.27548847563</v>
      </c>
      <c r="AD117" s="31" cm="1">
        <f t="array" ref="AD117">AD$106+IF($C117&lt;&gt;0,SUMPRODUCT((AD$107:AD$108)*TRANSPOSE(($D117:$E117))),0)</f>
        <v>180122.27548846818</v>
      </c>
      <c r="AE117" s="31" cm="1">
        <f t="array" ref="AE117">AE$106+IF($C117&lt;&gt;0,SUMPRODUCT((AE$107:AE$108)*TRANSPOSE(($D117:$E117))),0)</f>
        <v>180122.27548846818</v>
      </c>
      <c r="AF117" s="31" cm="1">
        <f t="array" ref="AF117">AF$106+IF($C117&lt;&gt;0,SUMPRODUCT((AF$107:AF$108)*TRANSPOSE(($D117:$E117))),0)</f>
        <v>180122.27548846818</v>
      </c>
      <c r="AG117" s="31" cm="1">
        <f t="array" ref="AG117">AG$106+IF($C117&lt;&gt;0,SUMPRODUCT((AG$107:AG$108)*TRANSPOSE(($D117:$E117))),0)</f>
        <v>180122.27548846818</v>
      </c>
    </row>
  </sheetData>
  <conditionalFormatting sqref="E28">
    <cfRule type="expression" dxfId="8" priority="4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 t="str">
        <f>INDEX(Assumptions!$E$14:$E$18, MATCH(A3,_xlfn.ANCHORARRAY( Assumptions!$C$14),0))</f>
        <v>Monitor highest delta risk cable sections and replace those with high partial discharge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IF(INDEX(Misc_calcs!$D$45:$D$63, MATCH(A3, Misc_calcs!$B$45:$B$63,0)), Misc_calcs!$B$66,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51">
        <v>1</v>
      </c>
      <c r="G14" s="211">
        <f>input_dollars</f>
        <v>45291</v>
      </c>
      <c r="H14" s="152"/>
      <c r="I14" s="32">
        <f>Workings_costs!E50</f>
        <v>1000000</v>
      </c>
      <c r="J14" s="32">
        <f>Workings_costs!F50</f>
        <v>1000000</v>
      </c>
      <c r="K14" s="32">
        <f>Workings_costs!G50</f>
        <v>1000000</v>
      </c>
      <c r="L14" s="32">
        <f>Workings_costs!H50</f>
        <v>1000000</v>
      </c>
      <c r="M14" s="32">
        <f>Workings_costs!I50</f>
        <v>1000000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251</v>
      </c>
      <c r="D15"/>
      <c r="E15" s="151">
        <v>60</v>
      </c>
      <c r="G15" s="211">
        <f>input_dollars</f>
        <v>45291</v>
      </c>
      <c r="H15" s="2"/>
      <c r="I15" s="32">
        <f>Workings_costs!E51</f>
        <v>0</v>
      </c>
      <c r="J15" s="32">
        <f>Workings_costs!F51</f>
        <v>385780.99540000001</v>
      </c>
      <c r="K15" s="32">
        <f>Workings_costs!G51</f>
        <v>385780.99540000001</v>
      </c>
      <c r="L15" s="32">
        <f>Workings_costs!H51</f>
        <v>385780.99540000001</v>
      </c>
      <c r="M15" s="32">
        <f>Workings_costs!I51</f>
        <v>385780.99540000001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1000000</v>
      </c>
      <c r="J17" s="106">
        <f t="shared" si="0"/>
        <v>1385780.9953999999</v>
      </c>
      <c r="K17" s="106">
        <f t="shared" si="0"/>
        <v>1385780.9953999999</v>
      </c>
      <c r="L17" s="106">
        <f t="shared" si="0"/>
        <v>1385780.9953999999</v>
      </c>
      <c r="M17" s="106">
        <f t="shared" si="0"/>
        <v>1385780.9953999999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9"/>
      <c r="AH20"/>
      <c r="AI20"/>
      <c r="AJ20"/>
      <c r="AK20"/>
      <c r="AL20"/>
      <c r="AM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79.742685561050052</v>
      </c>
      <c r="J27" s="172">
        <f>INDEX(Workings_risks!I$47:I$51, MATCH($A$3, Workings_risks!$C$47:$C$51,0))</f>
        <v>87.77428826513713</v>
      </c>
      <c r="K27" s="172">
        <f>INDEX(Workings_risks!J$47:J$51, MATCH($A$3, Workings_risks!$C$47:$C$51,0))</f>
        <v>97.106353804113141</v>
      </c>
      <c r="L27" s="172">
        <f>INDEX(Workings_risks!K$47:K$51, MATCH($A$3, Workings_risks!$C$47:$C$51,0))</f>
        <v>107.82605310663337</v>
      </c>
      <c r="M27" s="172">
        <f>INDEX(Workings_risks!L$47:L$51, MATCH($A$3, Workings_risks!$C$47:$C$51,0))</f>
        <v>120.12485585582688</v>
      </c>
      <c r="N27" s="172">
        <f>INDEX(Workings_risks!M$47:M$51, MATCH($A$3, Workings_risks!$C$47:$C$51,0))</f>
        <v>137.27581875409589</v>
      </c>
      <c r="O27" s="172">
        <f>INDEX(Workings_risks!N$47:N$51, MATCH($A$3, Workings_risks!$C$47:$C$51,0))</f>
        <v>153.9577655981237</v>
      </c>
      <c r="P27" s="172">
        <f>INDEX(Workings_risks!O$47:O$51, MATCH($A$3, Workings_risks!$C$47:$C$51,0))</f>
        <v>173.05519933915065</v>
      </c>
      <c r="Q27" s="172">
        <f>INDEX(Workings_risks!P$47:P$51, MATCH($A$3, Workings_risks!$C$47:$C$51,0))</f>
        <v>194.0099262101312</v>
      </c>
      <c r="R27" s="172">
        <f>INDEX(Workings_risks!Q$47:Q$51, MATCH($A$3, Workings_risks!$C$47:$C$51,0))</f>
        <v>216.32366309952903</v>
      </c>
      <c r="S27" s="172">
        <f>INDEX(Workings_risks!R$47:R$51, MATCH($A$3, Workings_risks!$C$47:$C$51,0))</f>
        <v>239.8641163040879</v>
      </c>
      <c r="T27" s="172">
        <f>INDEX(Workings_risks!S$47:S$51, MATCH($A$3, Workings_risks!$C$47:$C$51,0))</f>
        <v>265.94180245503799</v>
      </c>
      <c r="U27" s="172">
        <f>INDEX(Workings_risks!T$47:T$51, MATCH($A$3, Workings_risks!$C$47:$C$51,0))</f>
        <v>294.30601571708434</v>
      </c>
      <c r="V27" s="172">
        <f>INDEX(Workings_risks!U$47:U$51, MATCH($A$3, Workings_risks!$C$47:$C$51,0))</f>
        <v>323.49899228157398</v>
      </c>
      <c r="W27" s="172">
        <f>INDEX(Workings_risks!V$47:V$51, MATCH($A$3, Workings_risks!$C$47:$C$51,0))</f>
        <v>351.22532248358647</v>
      </c>
      <c r="X27" s="172">
        <f>INDEX(Workings_risks!W$47:W$51, MATCH($A$3, Workings_risks!$C$47:$C$51,0))</f>
        <v>377.94470238462338</v>
      </c>
      <c r="Y27" s="172">
        <f>INDEX(Workings_risks!X$47:X$51, MATCH($A$3, Workings_risks!$C$47:$C$51,0))</f>
        <v>404.11097467645101</v>
      </c>
      <c r="Z27" s="172">
        <f>INDEX(Workings_risks!Y$47:Y$51, MATCH($A$3, Workings_risks!$C$47:$C$51,0))</f>
        <v>428.74109480823807</v>
      </c>
      <c r="AA27" s="172">
        <f>INDEX(Workings_risks!Z$47:Z$51, MATCH($A$3, Workings_risks!$C$47:$C$51,0))</f>
        <v>451.29097270172485</v>
      </c>
      <c r="AB27" s="172">
        <f>INDEX(Workings_risks!AA$47:AA$51, MATCH($A$3, Workings_risks!$C$47:$C$51,0))</f>
        <v>470.95975541716348</v>
      </c>
      <c r="AC27" s="172">
        <f>INDEX(Workings_risks!AB$47:AB$51, MATCH($A$3, Workings_risks!$C$47:$C$51,0))</f>
        <v>490.79738228596506</v>
      </c>
      <c r="AD27" s="172">
        <f>INDEX(Workings_risks!AC$47:AC$51, MATCH($A$3, Workings_risks!$C$47:$C$51,0))</f>
        <v>511.0408827952138</v>
      </c>
      <c r="AE27" s="172">
        <f>INDEX(Workings_risks!AD$47:AD$51, MATCH($A$3, Workings_risks!$C$47:$C$51,0))</f>
        <v>531.33787938581133</v>
      </c>
      <c r="AF27" s="172">
        <f>INDEX(Workings_risks!AE$47:AE$51, MATCH($A$3, Workings_risks!$C$47:$C$51,0))</f>
        <v>552.06249330666662</v>
      </c>
      <c r="AG27" s="172">
        <f>INDEX(Workings_risks!AF$47:AF$51, MATCH($A$3, Workings_risks!$C$47:$C$51,0))</f>
        <v>572.88802805263015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3813278.50776326</v>
      </c>
      <c r="J28" s="302">
        <f t="shared" ref="J28:AG28" si="2">J27*$E$28</f>
        <v>4197348.0654776292</v>
      </c>
      <c r="K28" s="302">
        <f t="shared" si="2"/>
        <v>4643605.4833516655</v>
      </c>
      <c r="L28" s="302">
        <f t="shared" si="2"/>
        <v>5156219.2569207801</v>
      </c>
      <c r="M28" s="302">
        <f t="shared" si="2"/>
        <v>5744345.4262960786</v>
      </c>
      <c r="N28" s="302">
        <f t="shared" si="2"/>
        <v>6564500.876884005</v>
      </c>
      <c r="O28" s="302">
        <f t="shared" si="2"/>
        <v>7362228.078073876</v>
      </c>
      <c r="P28" s="302">
        <f t="shared" si="2"/>
        <v>8275463.3563407194</v>
      </c>
      <c r="Q28" s="302">
        <f t="shared" si="2"/>
        <v>9277514.0027537271</v>
      </c>
      <c r="R28" s="302">
        <f t="shared" si="2"/>
        <v>10344552.22336999</v>
      </c>
      <c r="S28" s="302">
        <f t="shared" si="2"/>
        <v>11470251.761031372</v>
      </c>
      <c r="T28" s="302">
        <f t="shared" si="2"/>
        <v>12717281.246331092</v>
      </c>
      <c r="U28" s="302">
        <f t="shared" si="2"/>
        <v>14073651.978778627</v>
      </c>
      <c r="V28" s="302">
        <f t="shared" si="2"/>
        <v>15469653.998622552</v>
      </c>
      <c r="W28" s="302">
        <f t="shared" si="2"/>
        <v>16795521.296853151</v>
      </c>
      <c r="X28" s="302">
        <f t="shared" si="2"/>
        <v>18073236.442769337</v>
      </c>
      <c r="Y28" s="302">
        <f t="shared" si="2"/>
        <v>19324502.098756276</v>
      </c>
      <c r="Z28" s="302">
        <f t="shared" si="2"/>
        <v>20502309.280460306</v>
      </c>
      <c r="AA28" s="302">
        <f t="shared" si="2"/>
        <v>21580639.714391913</v>
      </c>
      <c r="AB28" s="302">
        <f t="shared" si="2"/>
        <v>22521196.780848205</v>
      </c>
      <c r="AC28" s="302">
        <f t="shared" si="2"/>
        <v>23469827.939324979</v>
      </c>
      <c r="AD28" s="302">
        <f t="shared" si="2"/>
        <v>24437867.890208174</v>
      </c>
      <c r="AE28" s="302">
        <f t="shared" si="2"/>
        <v>25408466.012487546</v>
      </c>
      <c r="AF28" s="302">
        <f t="shared" si="2"/>
        <v>26399512.705862142</v>
      </c>
      <c r="AG28" s="302">
        <f t="shared" si="2"/>
        <v>27395385.411938258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920955.7878011436</v>
      </c>
      <c r="J30" s="32">
        <f>INDEX(Workings_risks!I$62:I$160, MATCH($A$3&amp;$C30, Workings_risks!$E$62:$E$160,0))</f>
        <v>1013842.6425881644</v>
      </c>
      <c r="K30" s="32">
        <f>INDEX(Workings_risks!J$62:J$160, MATCH($A$3&amp;$C30, Workings_risks!$E$62:$E$160,0))</f>
        <v>1121765.2188485758</v>
      </c>
      <c r="L30" s="32">
        <f>INDEX(Workings_risks!K$62:K$160, MATCH($A$3&amp;$C30, Workings_risks!$E$62:$E$160,0))</f>
        <v>1245739.7189671891</v>
      </c>
      <c r="M30" s="32">
        <f>INDEX(Workings_risks!L$62:L$160, MATCH($A$3&amp;$C30, Workings_risks!$E$62:$E$160,0))</f>
        <v>1387984.3635859219</v>
      </c>
      <c r="N30" s="32">
        <f>INDEX(Workings_risks!M$62:M$160, MATCH($A$3&amp;$C30, Workings_risks!$E$62:$E$160,0))</f>
        <v>1579401.1063012369</v>
      </c>
      <c r="O30" s="32">
        <f>INDEX(Workings_risks!N$62:N$160, MATCH($A$3&amp;$C30, Workings_risks!$E$62:$E$160,0))</f>
        <v>1771356.1267007557</v>
      </c>
      <c r="P30" s="32">
        <f>INDEX(Workings_risks!O$62:O$160, MATCH($A$3&amp;$C30, Workings_risks!$E$62:$E$160,0))</f>
        <v>1991104.3869699563</v>
      </c>
      <c r="Q30" s="32">
        <f>INDEX(Workings_risks!P$62:P$160, MATCH($A$3&amp;$C30, Workings_risks!$E$62:$E$160,0))</f>
        <v>2232193.6649048044</v>
      </c>
      <c r="R30" s="32">
        <f>INDEX(Workings_risks!Q$62:Q$160, MATCH($A$3&amp;$C30, Workings_risks!$E$62:$E$160,0))</f>
        <v>2488881.6288906839</v>
      </c>
      <c r="S30" s="32">
        <f>INDEX(Workings_risks!R$62:R$160, MATCH($A$3&amp;$C30, Workings_risks!$E$62:$E$160,0))</f>
        <v>2759652.4810907841</v>
      </c>
      <c r="T30" s="32">
        <f>INDEX(Workings_risks!S$62:S$160, MATCH($A$3&amp;$C30, Workings_risks!$E$62:$E$160,0))</f>
        <v>3059606.7042979477</v>
      </c>
      <c r="U30" s="32">
        <f>INDEX(Workings_risks!T$62:T$160, MATCH($A$3&amp;$C30, Workings_risks!$E$62:$E$160,0))</f>
        <v>3385858.684059591</v>
      </c>
      <c r="V30" s="32">
        <f>INDEX(Workings_risks!U$62:U$160, MATCH($A$3&amp;$C30, Workings_risks!$E$62:$E$160,0))</f>
        <v>3721647.1913975663</v>
      </c>
      <c r="W30" s="32">
        <f>INDEX(Workings_risks!V$62:V$160, MATCH($A$3&amp;$C30, Workings_risks!$E$62:$E$160,0))</f>
        <v>4040547.0453406712</v>
      </c>
      <c r="X30" s="32">
        <f>INDEX(Workings_risks!W$62:W$160, MATCH($A$3&amp;$C30, Workings_risks!$E$62:$E$160,0))</f>
        <v>4347841.1155756554</v>
      </c>
      <c r="Y30" s="32">
        <f>INDEX(Workings_risks!X$62:X$160, MATCH($A$3&amp;$C30, Workings_risks!$E$62:$E$160,0))</f>
        <v>4648763.5152459806</v>
      </c>
      <c r="Z30" s="32">
        <f>INDEX(Workings_risks!Y$62:Y$160, MATCH($A$3&amp;$C30, Workings_risks!$E$62:$E$160,0))</f>
        <v>4932020.1422904003</v>
      </c>
      <c r="AA30" s="32">
        <f>INDEX(Workings_risks!Z$62:Z$160, MATCH($A$3&amp;$C30, Workings_risks!$E$62:$E$160,0))</f>
        <v>5191353.8614490414</v>
      </c>
      <c r="AB30" s="32">
        <f>INDEX(Workings_risks!AA$62:AA$160, MATCH($A$3&amp;$C30, Workings_risks!$E$62:$E$160,0))</f>
        <v>5417554.7069701394</v>
      </c>
      <c r="AC30" s="32">
        <f>INDEX(Workings_risks!AB$62:AB$160, MATCH($A$3&amp;$C30, Workings_risks!$E$62:$E$160,0))</f>
        <v>5645697.7245243164</v>
      </c>
      <c r="AD30" s="32">
        <f>INDEX(Workings_risks!AC$62:AC$160, MATCH($A$3&amp;$C30, Workings_risks!$E$62:$E$160,0))</f>
        <v>5878508.843405663</v>
      </c>
      <c r="AE30" s="32">
        <f>INDEX(Workings_risks!AD$62:AD$160, MATCH($A$3&amp;$C30, Workings_risks!$E$62:$E$160,0))</f>
        <v>6111935.6773558138</v>
      </c>
      <c r="AF30" s="32">
        <f>INDEX(Workings_risks!AE$62:AE$160, MATCH($A$3&amp;$C30, Workings_risks!$E$62:$E$160,0))</f>
        <v>6350279.9551781509</v>
      </c>
      <c r="AG30" s="32">
        <f>INDEX(Workings_risks!AF$62:AF$160, MATCH($A$3&amp;$C30, Workings_risks!$E$62:$E$160,0))</f>
        <v>6589778.4603404878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1909923.635105317</v>
      </c>
      <c r="J31" s="32">
        <f>INDEX(Workings_risks!I$62:I$160, MATCH($A$3&amp;$C31, Workings_risks!$E$62:$E$160,0))</f>
        <v>2095559.3543537769</v>
      </c>
      <c r="K31" s="32">
        <f>INDEX(Workings_risks!J$62:J$160, MATCH($A$3&amp;$C31, Workings_risks!$E$62:$E$160,0))</f>
        <v>2311479.7624605531</v>
      </c>
      <c r="L31" s="32">
        <f>INDEX(Workings_risks!K$62:K$160, MATCH($A$3&amp;$C31, Workings_risks!$E$62:$E$160,0))</f>
        <v>2559279.7777998559</v>
      </c>
      <c r="M31" s="32">
        <f>INDEX(Workings_risks!L$62:L$160, MATCH($A$3&amp;$C31, Workings_risks!$E$62:$E$160,0))</f>
        <v>2843184.6652781637</v>
      </c>
      <c r="N31" s="32">
        <f>INDEX(Workings_risks!M$62:M$160, MATCH($A$3&amp;$C31, Workings_risks!$E$62:$E$160,0))</f>
        <v>3601168.4037309773</v>
      </c>
      <c r="O31" s="32">
        <f>INDEX(Workings_risks!N$62:N$160, MATCH($A$3&amp;$C31, Workings_risks!$E$62:$E$160,0))</f>
        <v>4037535.4245805126</v>
      </c>
      <c r="P31" s="32">
        <f>INDEX(Workings_risks!O$62:O$160, MATCH($A$3&amp;$C31, Workings_risks!$E$62:$E$160,0))</f>
        <v>4537147.7306257654</v>
      </c>
      <c r="Q31" s="32">
        <f>INDEX(Workings_risks!P$62:P$160, MATCH($A$3&amp;$C31, Workings_risks!$E$62:$E$160,0))</f>
        <v>5086927.3261945741</v>
      </c>
      <c r="R31" s="32">
        <f>INDEX(Workings_risks!Q$62:Q$160, MATCH($A$3&amp;$C31, Workings_risks!$E$62:$E$160,0))</f>
        <v>5674294.162596588</v>
      </c>
      <c r="S31" s="32">
        <f>INDEX(Workings_risks!R$62:R$160, MATCH($A$3&amp;$C31, Workings_risks!$E$62:$E$160,0))</f>
        <v>6295450.3151987679</v>
      </c>
      <c r="T31" s="32">
        <f>INDEX(Workings_risks!S$62:S$160, MATCH($A$3&amp;$C31, Workings_risks!$E$62:$E$160,0))</f>
        <v>6983597.7622771906</v>
      </c>
      <c r="U31" s="32">
        <f>INDEX(Workings_risks!T$62:T$160, MATCH($A$3&amp;$C31, Workings_risks!$E$62:$E$160,0))</f>
        <v>7732220.4705238054</v>
      </c>
      <c r="V31" s="32">
        <f>INDEX(Workings_risks!U$62:U$160, MATCH($A$3&amp;$C31, Workings_risks!$E$62:$E$160,0))</f>
        <v>8502513.9736393411</v>
      </c>
      <c r="W31" s="32">
        <f>INDEX(Workings_risks!V$62:V$160, MATCH($A$3&amp;$C31, Workings_risks!$E$62:$E$160,0))</f>
        <v>9235084.9093094599</v>
      </c>
      <c r="X31" s="32">
        <f>INDEX(Workings_risks!W$62:W$160, MATCH($A$3&amp;$C31, Workings_risks!$E$62:$E$160,0))</f>
        <v>9942309.2596257385</v>
      </c>
      <c r="Y31" s="32">
        <f>INDEX(Workings_risks!X$62:X$160, MATCH($A$3&amp;$C31, Workings_risks!$E$62:$E$160,0))</f>
        <v>10635440.603492405</v>
      </c>
      <c r="Z31" s="32">
        <f>INDEX(Workings_risks!Y$62:Y$160, MATCH($A$3&amp;$C31, Workings_risks!$E$62:$E$160,0))</f>
        <v>11287849.819526669</v>
      </c>
      <c r="AA31" s="32">
        <f>INDEX(Workings_risks!Z$62:Z$160, MATCH($A$3&amp;$C31, Workings_risks!$E$62:$E$160,0))</f>
        <v>11885118.28628538</v>
      </c>
      <c r="AB31" s="32">
        <f>INDEX(Workings_risks!AA$62:AA$160, MATCH($A$3&amp;$C31, Workings_risks!$E$62:$E$160,0))</f>
        <v>12406023.613366507</v>
      </c>
      <c r="AC31" s="32">
        <f>INDEX(Workings_risks!AB$62:AB$160, MATCH($A$3&amp;$C31, Workings_risks!$E$62:$E$160,0))</f>
        <v>12931380.791899696</v>
      </c>
      <c r="AD31" s="32">
        <f>INDEX(Workings_risks!AC$62:AC$160, MATCH($A$3&amp;$C31, Workings_risks!$E$62:$E$160,0))</f>
        <v>13467468.760523023</v>
      </c>
      <c r="AE31" s="32">
        <f>INDEX(Workings_risks!AD$62:AD$160, MATCH($A$3&amp;$C31, Workings_risks!$E$62:$E$160,0))</f>
        <v>14004948.318592662</v>
      </c>
      <c r="AF31" s="32">
        <f>INDEX(Workings_risks!AE$62:AE$160, MATCH($A$3&amp;$C31, Workings_risks!$E$62:$E$160,0))</f>
        <v>14553772.091320122</v>
      </c>
      <c r="AG31" s="32">
        <f>INDEX(Workings_risks!AF$62:AF$160, MATCH($A$3&amp;$C31, Workings_risks!$E$62:$E$160,0))</f>
        <v>15105602.875089845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126119.79889570011</v>
      </c>
      <c r="J32" s="32">
        <f>INDEX(Workings_risks!I$62:I$160, MATCH($A$3&amp;$C32, Workings_risks!$E$62:$E$160,0))</f>
        <v>138836.80316602433</v>
      </c>
      <c r="K32" s="32">
        <f>INDEX(Workings_risks!J$62:J$160, MATCH($A$3&amp;$C32, Workings_risks!$E$62:$E$160,0))</f>
        <v>153612.43853405231</v>
      </c>
      <c r="L32" s="32">
        <f>INDEX(Workings_risks!K$62:K$160, MATCH($A$3&amp;$C32, Workings_risks!$E$62:$E$160,0))</f>
        <v>170585.62391625586</v>
      </c>
      <c r="M32" s="32">
        <f>INDEX(Workings_risks!L$62:L$160, MATCH($A$3&amp;$C32, Workings_risks!$E$62:$E$160,0))</f>
        <v>190059.95355810889</v>
      </c>
      <c r="N32" s="32">
        <f>INDEX(Workings_risks!M$62:M$160, MATCH($A$3&amp;$C32, Workings_risks!$E$62:$E$160,0))</f>
        <v>216445.54980945899</v>
      </c>
      <c r="O32" s="32">
        <f>INDEX(Workings_risks!N$62:N$160, MATCH($A$3&amp;$C32, Workings_risks!$E$62:$E$160,0))</f>
        <v>242750.98022758955</v>
      </c>
      <c r="P32" s="32">
        <f>INDEX(Workings_risks!O$62:O$160, MATCH($A$3&amp;$C32, Workings_risks!$E$62:$E$160,0))</f>
        <v>272865.21414248616</v>
      </c>
      <c r="Q32" s="32">
        <f>INDEX(Workings_risks!P$62:P$160, MATCH($A$3&amp;$C32, Workings_risks!$E$62:$E$160,0))</f>
        <v>305904.79987103172</v>
      </c>
      <c r="R32" s="32">
        <f>INDEX(Workings_risks!Q$62:Q$160, MATCH($A$3&amp;$C32, Workings_risks!$E$62:$E$160,0))</f>
        <v>341083.0367886055</v>
      </c>
      <c r="S32" s="32">
        <f>INDEX(Workings_risks!R$62:R$160, MATCH($A$3&amp;$C32, Workings_risks!$E$62:$E$160,0))</f>
        <v>378192.03275529464</v>
      </c>
      <c r="T32" s="32">
        <f>INDEX(Workings_risks!S$62:S$160, MATCH($A$3&amp;$C32, Workings_risks!$E$62:$E$160,0))</f>
        <v>419300.61450756417</v>
      </c>
      <c r="U32" s="32">
        <f>INDEX(Workings_risks!T$62:T$160, MATCH($A$3&amp;$C32, Workings_risks!$E$62:$E$160,0))</f>
        <v>464013.35959646589</v>
      </c>
      <c r="V32" s="32">
        <f>INDEX(Workings_risks!U$62:U$160, MATCH($A$3&amp;$C32, Workings_risks!$E$62:$E$160,0))</f>
        <v>510032.98217805597</v>
      </c>
      <c r="W32" s="32">
        <f>INDEX(Workings_risks!V$62:V$160, MATCH($A$3&amp;$C32, Workings_risks!$E$62:$E$160,0))</f>
        <v>553738.51069870382</v>
      </c>
      <c r="X32" s="32">
        <f>INDEX(Workings_risks!W$62:W$160, MATCH($A$3&amp;$C32, Workings_risks!$E$62:$E$160,0))</f>
        <v>595854.0820387858</v>
      </c>
      <c r="Y32" s="32">
        <f>INDEX(Workings_risks!X$62:X$160, MATCH($A$3&amp;$C32, Workings_risks!$E$62:$E$160,0))</f>
        <v>637096.66918628674</v>
      </c>
      <c r="Z32" s="32">
        <f>INDEX(Workings_risks!Y$62:Y$160, MATCH($A$3&amp;$C32, Workings_risks!$E$62:$E$160,0))</f>
        <v>675918.07832465332</v>
      </c>
      <c r="AA32" s="32">
        <f>INDEX(Workings_risks!Z$62:Z$160, MATCH($A$3&amp;$C32, Workings_risks!$E$62:$E$160,0))</f>
        <v>711460.74172892142</v>
      </c>
      <c r="AB32" s="32">
        <f>INDEX(Workings_risks!AA$62:AA$160, MATCH($A$3&amp;$C32, Workings_risks!$E$62:$E$160,0))</f>
        <v>742462.39363176958</v>
      </c>
      <c r="AC32" s="32">
        <f>INDEX(Workings_risks!AB$62:AB$160, MATCH($A$3&amp;$C32, Workings_risks!$E$62:$E$160,0))</f>
        <v>773730.21744931734</v>
      </c>
      <c r="AD32" s="32">
        <f>INDEX(Workings_risks!AC$62:AC$160, MATCH($A$3&amp;$C32, Workings_risks!$E$62:$E$160,0))</f>
        <v>805637.81248372211</v>
      </c>
      <c r="AE32" s="32">
        <f>INDEX(Workings_risks!AD$62:AD$160, MATCH($A$3&amp;$C32, Workings_risks!$E$62:$E$160,0))</f>
        <v>837629.78097372584</v>
      </c>
      <c r="AF32" s="32">
        <f>INDEX(Workings_risks!AE$62:AE$160, MATCH($A$3&amp;$C32, Workings_risks!$E$62:$E$160,0))</f>
        <v>870295.71269069589</v>
      </c>
      <c r="AG32" s="32">
        <f>INDEX(Workings_risks!AF$62:AF$160, MATCH($A$3&amp;$C32, Workings_risks!$E$62:$E$160,0))</f>
        <v>903120.00188616407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399046.01938718825</v>
      </c>
      <c r="J33" s="32">
        <f>INDEX(Workings_risks!I$62:I$160, MATCH($A$3&amp;$C33, Workings_risks!$E$62:$E$160,0))</f>
        <v>439481.27613713854</v>
      </c>
      <c r="K33" s="32">
        <f>INDEX(Workings_risks!J$62:J$160, MATCH($A$3&amp;$C33, Workings_risks!$E$62:$E$160,0))</f>
        <v>486455.52044120227</v>
      </c>
      <c r="L33" s="32">
        <f>INDEX(Workings_risks!K$62:K$160, MATCH($A$3&amp;$C33, Workings_risks!$E$62:$E$160,0))</f>
        <v>540422.82329514355</v>
      </c>
      <c r="M33" s="32">
        <f>INDEX(Workings_risks!L$62:L$160, MATCH($A$3&amp;$C33, Workings_risks!$E$62:$E$160,0))</f>
        <v>602354.39355882921</v>
      </c>
      <c r="N33" s="32">
        <f>INDEX(Workings_risks!M$62:M$160, MATCH($A$3&amp;$C33, Workings_risks!$E$62:$E$160,0))</f>
        <v>675605.71617010876</v>
      </c>
      <c r="O33" s="32">
        <f>INDEX(Workings_risks!N$62:N$160, MATCH($A$3&amp;$C33, Workings_risks!$E$62:$E$160,0))</f>
        <v>757751.59765310073</v>
      </c>
      <c r="P33" s="32">
        <f>INDEX(Workings_risks!O$62:O$160, MATCH($A$3&amp;$C33, Workings_risks!$E$62:$E$160,0))</f>
        <v>851789.7070900636</v>
      </c>
      <c r="Q33" s="32">
        <f>INDEX(Workings_risks!P$62:P$160, MATCH($A$3&amp;$C33, Workings_risks!$E$62:$E$160,0))</f>
        <v>954916.19531273888</v>
      </c>
      <c r="R33" s="32">
        <f>INDEX(Workings_risks!Q$62:Q$160, MATCH($A$3&amp;$C33, Workings_risks!$E$62:$E$160,0))</f>
        <v>1064660.9521820564</v>
      </c>
      <c r="S33" s="32">
        <f>INDEX(Workings_risks!R$62:R$160, MATCH($A$3&amp;$C33, Workings_risks!$E$62:$E$160,0))</f>
        <v>1180384.751379634</v>
      </c>
      <c r="T33" s="32">
        <f>INDEX(Workings_risks!S$62:S$160, MATCH($A$3&amp;$C33, Workings_risks!$E$62:$E$160,0))</f>
        <v>1308579.9531006438</v>
      </c>
      <c r="U33" s="32">
        <f>INDEX(Workings_risks!T$62:T$160, MATCH($A$3&amp;$C33, Workings_risks!$E$62:$E$160,0))</f>
        <v>1448010.5030771347</v>
      </c>
      <c r="V33" s="32">
        <f>INDEX(Workings_risks!U$62:U$160, MATCH($A$3&amp;$C33, Workings_risks!$E$62:$E$160,0))</f>
        <v>1591522.3718120044</v>
      </c>
      <c r="W33" s="32">
        <f>INDEX(Workings_risks!V$62:V$160, MATCH($A$3&amp;$C33, Workings_risks!$E$62:$E$160,0))</f>
        <v>1727788.8711993766</v>
      </c>
      <c r="X33" s="32">
        <f>INDEX(Workings_risks!W$62:W$160, MATCH($A$3&amp;$C33, Workings_risks!$E$62:$E$160,0))</f>
        <v>1859060.9330282866</v>
      </c>
      <c r="Y33" s="32">
        <f>INDEX(Workings_risks!X$62:X$160, MATCH($A$3&amp;$C33, Workings_risks!$E$62:$E$160,0))</f>
        <v>1987595.7718821242</v>
      </c>
      <c r="Z33" s="32">
        <f>INDEX(Workings_risks!Y$62:Y$160, MATCH($A$3&amp;$C33, Workings_risks!$E$62:$E$160,0))</f>
        <v>2108585.7676386582</v>
      </c>
      <c r="AA33" s="32">
        <f>INDEX(Workings_risks!Z$62:Z$160, MATCH($A$3&amp;$C33, Workings_risks!$E$62:$E$160,0))</f>
        <v>2219358.4382954994</v>
      </c>
      <c r="AB33" s="32">
        <f>INDEX(Workings_risks!AA$62:AA$160, MATCH($A$3&amp;$C33, Workings_risks!$E$62:$E$160,0))</f>
        <v>2315980.1042301836</v>
      </c>
      <c r="AC33" s="32">
        <f>INDEX(Workings_risks!AB$62:AB$160, MATCH($A$3&amp;$C33, Workings_risks!$E$62:$E$160,0))</f>
        <v>2413431.9234172897</v>
      </c>
      <c r="AD33" s="32">
        <f>INDEX(Workings_risks!AC$62:AC$160, MATCH($A$3&amp;$C33, Workings_risks!$E$62:$E$160,0))</f>
        <v>2512878.2347088396</v>
      </c>
      <c r="AE33" s="32">
        <f>INDEX(Workings_risks!AD$62:AD$160, MATCH($A$3&amp;$C33, Workings_risks!$E$62:$E$160,0))</f>
        <v>2612588.2546219472</v>
      </c>
      <c r="AF33" s="32">
        <f>INDEX(Workings_risks!AE$62:AE$160, MATCH($A$3&amp;$C33, Workings_risks!$E$62:$E$160,0))</f>
        <v>2714398.2205141671</v>
      </c>
      <c r="AG33" s="32">
        <f>INDEX(Workings_risks!AF$62:AF$160, MATCH($A$3&amp;$C33, Workings_risks!$E$62:$E$160,0))</f>
        <v>2816691.8480827832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7169323.7489526095</v>
      </c>
      <c r="J36" s="108">
        <f t="shared" ref="J36:AG36" si="3">SUM(J28:J34)</f>
        <v>7885068.1417227341</v>
      </c>
      <c r="K36" s="108">
        <f t="shared" si="3"/>
        <v>8716918.423636049</v>
      </c>
      <c r="L36" s="108">
        <f t="shared" si="3"/>
        <v>9672247.2008992247</v>
      </c>
      <c r="M36" s="108">
        <f t="shared" si="3"/>
        <v>10767928.802277103</v>
      </c>
      <c r="N36" s="108">
        <f t="shared" si="3"/>
        <v>12637121.652895788</v>
      </c>
      <c r="O36" s="108">
        <f t="shared" si="3"/>
        <v>14171622.207235834</v>
      </c>
      <c r="P36" s="108">
        <f t="shared" si="3"/>
        <v>15928370.39516899</v>
      </c>
      <c r="Q36" s="108">
        <f t="shared" si="3"/>
        <v>17857455.989036877</v>
      </c>
      <c r="R36" s="108">
        <f t="shared" si="3"/>
        <v>19913472.003827922</v>
      </c>
      <c r="S36" s="108">
        <f t="shared" si="3"/>
        <v>22083931.341455851</v>
      </c>
      <c r="T36" s="108">
        <f t="shared" si="3"/>
        <v>24488366.280514438</v>
      </c>
      <c r="U36" s="108">
        <f t="shared" si="3"/>
        <v>27103754.996035621</v>
      </c>
      <c r="V36" s="108">
        <f t="shared" si="3"/>
        <v>29795370.51764952</v>
      </c>
      <c r="W36" s="108">
        <f t="shared" si="3"/>
        <v>32352680.63340136</v>
      </c>
      <c r="X36" s="108">
        <f t="shared" si="3"/>
        <v>34818301.833037801</v>
      </c>
      <c r="Y36" s="108">
        <f t="shared" si="3"/>
        <v>37233398.658563077</v>
      </c>
      <c r="Z36" s="108">
        <f t="shared" si="3"/>
        <v>39506683.088240683</v>
      </c>
      <c r="AA36" s="108">
        <f t="shared" si="3"/>
        <v>41587931.042150758</v>
      </c>
      <c r="AB36" s="108">
        <f t="shared" si="3"/>
        <v>43403217.599046804</v>
      </c>
      <c r="AC36" s="108">
        <f t="shared" si="3"/>
        <v>45234068.596615598</v>
      </c>
      <c r="AD36" s="108">
        <f t="shared" si="3"/>
        <v>47102361.541329421</v>
      </c>
      <c r="AE36" s="108">
        <f t="shared" si="3"/>
        <v>48975568.044031695</v>
      </c>
      <c r="AF36" s="108">
        <f t="shared" si="3"/>
        <v>50888258.685565278</v>
      </c>
      <c r="AG36" s="108">
        <f t="shared" si="3"/>
        <v>52810578.597337537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1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352020.41135112569</v>
      </c>
      <c r="J64" s="135">
        <f>(1-INDEX(Data!$C$9:$C$13, MATCH($A$3, options,0)))*('Option1 (base case)'!J36-J36)</f>
        <v>399141.03537470475</v>
      </c>
      <c r="K64" s="135">
        <f>(1-INDEX(Data!$C$9:$C$13, MATCH($A$3, options,0)))*('Option1 (base case)'!K36-K36)</f>
        <v>453498.06967944279</v>
      </c>
      <c r="L64" s="135">
        <f>(1-INDEX(Data!$C$9:$C$13, MATCH($A$3, options,0)))*('Option1 (base case)'!L36-L36)</f>
        <v>516330.74941124767</v>
      </c>
      <c r="M64" s="135">
        <f>(1-INDEX(Data!$C$9:$C$13, MATCH($A$3, options,0)))*('Option1 (base case)'!M36-M36)</f>
        <v>589109.44132874161</v>
      </c>
      <c r="N64" s="135">
        <f>(1-INDEX(Data!$C$9:$C$13, MATCH($A$3, options,0)))*('Option1 (base case)'!N36-N36)</f>
        <v>62988.551937911659</v>
      </c>
      <c r="O64" s="135">
        <f>(1-INDEX(Data!$C$9:$C$13, MATCH($A$3, options,0)))*('Option1 (base case)'!O36-O36)</f>
        <v>72813.094432637095</v>
      </c>
      <c r="P64" s="135">
        <f>(1-INDEX(Data!$C$9:$C$13, MATCH($A$3, options,0)))*('Option1 (base case)'!P36-P36)</f>
        <v>83954.659991251305</v>
      </c>
      <c r="Q64" s="135">
        <f>(1-INDEX(Data!$C$9:$C$13, MATCH($A$3, options,0)))*('Option1 (base case)'!Q36-Q36)</f>
        <v>93444.10548485443</v>
      </c>
      <c r="R64" s="135">
        <f>(1-INDEX(Data!$C$9:$C$13, MATCH($A$3, options,0)))*('Option1 (base case)'!R36-R36)</f>
        <v>100200.9108832553</v>
      </c>
      <c r="S64" s="135">
        <f>(1-INDEX(Data!$C$9:$C$13, MATCH($A$3, options,0)))*('Option1 (base case)'!S36-S36)</f>
        <v>104731.97719205171</v>
      </c>
      <c r="T64" s="135">
        <f>(1-INDEX(Data!$C$9:$C$13, MATCH($A$3, options,0)))*('Option1 (base case)'!T36-T36)</f>
        <v>109678.69020579383</v>
      </c>
      <c r="U64" s="135">
        <f>(1-INDEX(Data!$C$9:$C$13, MATCH($A$3, options,0)))*('Option1 (base case)'!U36-U36)</f>
        <v>114820.70300432295</v>
      </c>
      <c r="V64" s="135">
        <f>(1-INDEX(Data!$C$9:$C$13, MATCH($A$3, options,0)))*('Option1 (base case)'!V36-V36)</f>
        <v>120464.71747200564</v>
      </c>
      <c r="W64" s="135">
        <f>(1-INDEX(Data!$C$9:$C$13, MATCH($A$3, options,0)))*('Option1 (base case)'!W36-W36)</f>
        <v>124132.09383740276</v>
      </c>
      <c r="X64" s="135">
        <f>(1-INDEX(Data!$C$9:$C$13, MATCH($A$3, options,0)))*('Option1 (base case)'!X36-X36)</f>
        <v>125484.73510958999</v>
      </c>
      <c r="Y64" s="135">
        <f>(1-INDEX(Data!$C$9:$C$13, MATCH($A$3, options,0)))*('Option1 (base case)'!Y36-Y36)</f>
        <v>125861.25746092945</v>
      </c>
      <c r="Z64" s="135">
        <f>(1-INDEX(Data!$C$9:$C$13, MATCH($A$3, options,0)))*('Option1 (base case)'!Z36-Z36)</f>
        <v>126268.08011101931</v>
      </c>
      <c r="AA64" s="135">
        <f>(1-INDEX(Data!$C$9:$C$13, MATCH($A$3, options,0)))*('Option1 (base case)'!AA36-AA36)</f>
        <v>126707.68738801777</v>
      </c>
      <c r="AB64" s="135">
        <f>(1-INDEX(Data!$C$9:$C$13, MATCH($A$3, options,0)))*('Option1 (base case)'!AB36-AB36)</f>
        <v>127182.76968728751</v>
      </c>
      <c r="AC64" s="135">
        <f>(1-INDEX(Data!$C$9:$C$13, MATCH($A$3, options,0)))*('Option1 (base case)'!AC36-AC36)</f>
        <v>127696.24069207162</v>
      </c>
      <c r="AD64" s="135">
        <f>(1-INDEX(Data!$C$9:$C$13, MATCH($A$3, options,0)))*('Option1 (base case)'!AD36-AD36)</f>
        <v>128251.25604023039</v>
      </c>
      <c r="AE64" s="135">
        <f>(1-INDEX(Data!$C$9:$C$13, MATCH($A$3, options,0)))*('Option1 (base case)'!AE36-AE36)</f>
        <v>128851.23355901986</v>
      </c>
      <c r="AF64" s="135">
        <f>(1-INDEX(Data!$C$9:$C$13, MATCH($A$3, options,0)))*('Option1 (base case)'!AF36-AF36)</f>
        <v>129428.16109278053</v>
      </c>
      <c r="AG64" s="135">
        <f>(1-INDEX(Data!$C$9:$C$13, MATCH($A$3, options,0)))*('Option1 (base case)'!AG36-AG36)</f>
        <v>129428.16109278053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Condition assessment of top 30 delta risk cable sections</v>
      </c>
      <c r="D67" s="38"/>
      <c r="F67" s="97"/>
      <c r="G67" s="214">
        <f>input_dollars</f>
        <v>45291</v>
      </c>
      <c r="H67" s="31"/>
      <c r="I67" s="119">
        <f t="shared" ref="I67:AG67" si="5">-I14</f>
        <v>-1000000</v>
      </c>
      <c r="J67" s="119">
        <f t="shared" si="5"/>
        <v>-1000000</v>
      </c>
      <c r="K67" s="119">
        <f t="shared" si="5"/>
        <v>-1000000</v>
      </c>
      <c r="L67" s="119">
        <f t="shared" si="5"/>
        <v>-1000000</v>
      </c>
      <c r="M67" s="119">
        <f t="shared" si="5"/>
        <v>-1000000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Replacement of poor condition cable sections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-385780.99540000001</v>
      </c>
      <c r="K68" s="119">
        <f t="shared" si="6"/>
        <v>-385780.99540000001</v>
      </c>
      <c r="L68" s="119">
        <f t="shared" si="6"/>
        <v>-385780.99540000001</v>
      </c>
      <c r="M68" s="119">
        <f t="shared" si="6"/>
        <v>-385780.99540000001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Condition assessment of top 30 delta risk cable sections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-1000000</v>
      </c>
      <c r="J72" s="119" cm="1">
        <f t="array" ref="J72">SUMPRODUCT(($I67:J67))-SUMPRODUCT(($I67:J67)*($I$6:J$6&lt;=(J$6-$E14)))</f>
        <v>-1000000</v>
      </c>
      <c r="K72" s="119" cm="1">
        <f t="array" ref="K72">SUMPRODUCT(($I67:K67))-SUMPRODUCT(($I67:K67)*($I$6:K$6&lt;=(K$6-$E14)))</f>
        <v>-1000000</v>
      </c>
      <c r="L72" s="119" cm="1">
        <f t="array" ref="L72">SUMPRODUCT(($I67:L67))-SUMPRODUCT(($I67:L67)*($I$6:L$6&lt;=(L$6-$E14)))</f>
        <v>-1000000</v>
      </c>
      <c r="M72" s="119" cm="1">
        <f t="array" ref="M72">SUMPRODUCT(($I67:M67))-SUMPRODUCT(($I67:M67)*($I$6:M$6&lt;=(M$6-$E14)))</f>
        <v>-1000000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Replacement of poor condition cable sections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-385780.99540000001</v>
      </c>
      <c r="K73" s="119" cm="1">
        <f t="array" ref="K73">SUMPRODUCT(($I68:K68))-SUMPRODUCT(($I68:K68)*($I$6:K$6&lt;=(K$6-$E15)))</f>
        <v>-771561.99080000003</v>
      </c>
      <c r="L73" s="119" cm="1">
        <f t="array" ref="L73">SUMPRODUCT(($I68:L68))-SUMPRODUCT(($I68:L68)*($I$6:L$6&lt;=(L$6-$E15)))</f>
        <v>-1157342.9862000002</v>
      </c>
      <c r="M73" s="119" cm="1">
        <f t="array" ref="M73">SUMPRODUCT(($I68:M68))-SUMPRODUCT(($I68:M68)*($I$6:M$6&lt;=(M$6-$E15)))</f>
        <v>-1543123.9816000001</v>
      </c>
      <c r="N73" s="119" cm="1">
        <f t="array" ref="N73">SUMPRODUCT(($I68:N68))-SUMPRODUCT(($I68:N68)*($I$6:N$6&lt;=(N$6-$E15)))</f>
        <v>-1543123.9816000001</v>
      </c>
      <c r="O73" s="119" cm="1">
        <f t="array" ref="O73">SUMPRODUCT(($I68:O68))-SUMPRODUCT(($I68:O68)*($I$6:O$6&lt;=(O$6-$E15)))</f>
        <v>-1543123.9816000001</v>
      </c>
      <c r="P73" s="119" cm="1">
        <f t="array" ref="P73">SUMPRODUCT(($I68:P68))-SUMPRODUCT(($I68:P68)*($I$6:P$6&lt;=(P$6-$E15)))</f>
        <v>-1543123.9816000001</v>
      </c>
      <c r="Q73" s="119" cm="1">
        <f t="array" ref="Q73">SUMPRODUCT(($I68:Q68))-SUMPRODUCT(($I68:Q68)*($I$6:Q$6&lt;=(Q$6-$E15)))</f>
        <v>-1543123.9816000001</v>
      </c>
      <c r="R73" s="119" cm="1">
        <f t="array" ref="R73">SUMPRODUCT(($I68:R68))-SUMPRODUCT(($I68:R68)*($I$6:R$6&lt;=(R$6-$E15)))</f>
        <v>-1543123.9816000001</v>
      </c>
      <c r="S73" s="119" cm="1">
        <f t="array" ref="S73">SUMPRODUCT(($I68:S68))-SUMPRODUCT(($I68:S68)*($I$6:S$6&lt;=(S$6-$E15)))</f>
        <v>-1543123.9816000001</v>
      </c>
      <c r="T73" s="119" cm="1">
        <f t="array" ref="T73">SUMPRODUCT(($I68:T68))-SUMPRODUCT(($I68:T68)*($I$6:T$6&lt;=(T$6-$E15)))</f>
        <v>-1543123.9816000001</v>
      </c>
      <c r="U73" s="119" cm="1">
        <f t="array" ref="U73">SUMPRODUCT(($I68:U68))-SUMPRODUCT(($I68:U68)*($I$6:U$6&lt;=(U$6-$E15)))</f>
        <v>-1543123.9816000001</v>
      </c>
      <c r="V73" s="119" cm="1">
        <f t="array" ref="V73">SUMPRODUCT(($I68:V68))-SUMPRODUCT(($I68:V68)*($I$6:V$6&lt;=(V$6-$E15)))</f>
        <v>-1543123.9816000001</v>
      </c>
      <c r="W73" s="119" cm="1">
        <f t="array" ref="W73">SUMPRODUCT(($I68:W68))-SUMPRODUCT(($I68:W68)*($I$6:W$6&lt;=(W$6-$E15)))</f>
        <v>-1543123.9816000001</v>
      </c>
      <c r="X73" s="119" cm="1">
        <f t="array" ref="X73">SUMPRODUCT(($I68:X68))-SUMPRODUCT(($I68:X68)*($I$6:X$6&lt;=(X$6-$E15)))</f>
        <v>-1543123.9816000001</v>
      </c>
      <c r="Y73" s="119" cm="1">
        <f t="array" ref="Y73">SUMPRODUCT(($I68:Y68))-SUMPRODUCT(($I68:Y68)*($I$6:Y$6&lt;=(Y$6-$E15)))</f>
        <v>-1543123.9816000001</v>
      </c>
      <c r="Z73" s="119" cm="1">
        <f t="array" ref="Z73">SUMPRODUCT(($I68:Z68))-SUMPRODUCT(($I68:Z68)*($I$6:Z$6&lt;=(Z$6-$E15)))</f>
        <v>-1543123.9816000001</v>
      </c>
      <c r="AA73" s="119" cm="1">
        <f t="array" ref="AA73">SUMPRODUCT(($I68:AA68))-SUMPRODUCT(($I68:AA68)*($I$6:AA$6&lt;=(AA$6-$E15)))</f>
        <v>-1543123.9816000001</v>
      </c>
      <c r="AB73" s="119" cm="1">
        <f t="array" ref="AB73">SUMPRODUCT(($I68:AB68))-SUMPRODUCT(($I68:AB68)*($I$6:AB$6&lt;=(AB$6-$E15)))</f>
        <v>-1543123.9816000001</v>
      </c>
      <c r="AC73" s="119" cm="1">
        <f t="array" ref="AC73">SUMPRODUCT(($I68:AC68))-SUMPRODUCT(($I68:AC68)*($I$6:AC$6&lt;=(AC$6-$E15)))</f>
        <v>-1543123.9816000001</v>
      </c>
      <c r="AD73" s="119" cm="1">
        <f t="array" ref="AD73">SUMPRODUCT(($I68:AD68))-SUMPRODUCT(($I68:AD68)*($I$6:AD$6&lt;=(AD$6-$E15)))</f>
        <v>-1543123.9816000001</v>
      </c>
      <c r="AE73" s="119" cm="1">
        <f t="array" ref="AE73">SUMPRODUCT(($I68:AE68))-SUMPRODUCT(($I68:AE68)*($I$6:AE$6&lt;=(AE$6-$E15)))</f>
        <v>-1543123.9816000001</v>
      </c>
      <c r="AF73" s="119" cm="1">
        <f t="array" ref="AF73">SUMPRODUCT(($I68:AF68))-SUMPRODUCT(($I68:AF68)*($I$6:AF$6&lt;=(AF$6-$E15)))</f>
        <v>-1543123.9816000001</v>
      </c>
      <c r="AG73" s="119" cm="1">
        <f t="array" ref="AG73">SUMPRODUCT(($I68:AG68))-SUMPRODUCT(($I68:AG68)*($I$6:AG$6&lt;=(AG$6-$E15)))</f>
        <v>-1543123.9816000001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Condition assessment of top 30 delta risk cable sections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-1035000.0000000002</v>
      </c>
      <c r="K77" s="119">
        <f t="shared" si="8"/>
        <v>-1035000.0000000002</v>
      </c>
      <c r="L77" s="119">
        <f t="shared" si="8"/>
        <v>-1035000.0000000002</v>
      </c>
      <c r="M77" s="119">
        <f t="shared" si="8"/>
        <v>-1035000.0000000002</v>
      </c>
      <c r="N77" s="119">
        <f t="shared" si="8"/>
        <v>-1035000.0000000002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Replacement of poor condition cable sections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-15465.428237127573</v>
      </c>
      <c r="L78" s="119">
        <f t="shared" si="9"/>
        <v>-30930.856474255146</v>
      </c>
      <c r="M78" s="119">
        <f t="shared" si="9"/>
        <v>-46396.284711382723</v>
      </c>
      <c r="N78" s="119">
        <f t="shared" si="9"/>
        <v>-61861.712948510292</v>
      </c>
      <c r="O78" s="119">
        <f t="shared" si="9"/>
        <v>-61861.712948510292</v>
      </c>
      <c r="P78" s="119">
        <f t="shared" si="9"/>
        <v>-61861.712948510292</v>
      </c>
      <c r="Q78" s="119">
        <f t="shared" si="9"/>
        <v>-61861.712948510292</v>
      </c>
      <c r="R78" s="119">
        <f t="shared" si="9"/>
        <v>-61861.712948510292</v>
      </c>
      <c r="S78" s="119">
        <f t="shared" si="9"/>
        <v>-61861.712948510292</v>
      </c>
      <c r="T78" s="119">
        <f t="shared" si="9"/>
        <v>-61861.712948510292</v>
      </c>
      <c r="U78" s="119">
        <f t="shared" si="9"/>
        <v>-61861.712948510292</v>
      </c>
      <c r="V78" s="119">
        <f t="shared" si="9"/>
        <v>-61861.712948510292</v>
      </c>
      <c r="W78" s="119">
        <f t="shared" si="9"/>
        <v>-61861.712948510292</v>
      </c>
      <c r="X78" s="119">
        <f t="shared" si="9"/>
        <v>-61861.712948510292</v>
      </c>
      <c r="Y78" s="119">
        <f t="shared" si="9"/>
        <v>-61861.712948510292</v>
      </c>
      <c r="Z78" s="119">
        <f t="shared" si="9"/>
        <v>-61861.712948510292</v>
      </c>
      <c r="AA78" s="119">
        <f t="shared" si="9"/>
        <v>-61861.712948510292</v>
      </c>
      <c r="AB78" s="119">
        <f t="shared" si="9"/>
        <v>-61861.712948510292</v>
      </c>
      <c r="AC78" s="119">
        <f t="shared" si="9"/>
        <v>-61861.712948510292</v>
      </c>
      <c r="AD78" s="119">
        <f t="shared" si="9"/>
        <v>-61861.712948510292</v>
      </c>
      <c r="AE78" s="119">
        <f t="shared" si="9"/>
        <v>-61861.712948510292</v>
      </c>
      <c r="AF78" s="119">
        <f t="shared" si="9"/>
        <v>-61861.712948510292</v>
      </c>
      <c r="AG78" s="119">
        <f t="shared" si="9"/>
        <v>-61861.712948510292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-1035000.0000000002</v>
      </c>
      <c r="K80" s="180">
        <f t="shared" si="11"/>
        <v>-1050465.4282371278</v>
      </c>
      <c r="L80" s="180">
        <f t="shared" si="11"/>
        <v>-1065930.8564742554</v>
      </c>
      <c r="M80" s="180">
        <f t="shared" si="11"/>
        <v>-1081396.2847113831</v>
      </c>
      <c r="N80" s="180">
        <f t="shared" si="11"/>
        <v>-1096861.7129485104</v>
      </c>
      <c r="O80" s="180">
        <f t="shared" si="11"/>
        <v>-61861.712948510292</v>
      </c>
      <c r="P80" s="180">
        <f t="shared" si="11"/>
        <v>-61861.712948510292</v>
      </c>
      <c r="Q80" s="180">
        <f t="shared" si="11"/>
        <v>-61861.712948510292</v>
      </c>
      <c r="R80" s="180">
        <f t="shared" si="11"/>
        <v>-61861.712948510292</v>
      </c>
      <c r="S80" s="180">
        <f t="shared" si="11"/>
        <v>-61861.712948510292</v>
      </c>
      <c r="T80" s="180">
        <f t="shared" si="11"/>
        <v>-61861.712948510292</v>
      </c>
      <c r="U80" s="180">
        <f t="shared" si="11"/>
        <v>-61861.712948510292</v>
      </c>
      <c r="V80" s="180">
        <f t="shared" si="11"/>
        <v>-61861.712948510292</v>
      </c>
      <c r="W80" s="180">
        <f t="shared" si="11"/>
        <v>-61861.712948510292</v>
      </c>
      <c r="X80" s="180">
        <f t="shared" si="11"/>
        <v>-61861.712948510292</v>
      </c>
      <c r="Y80" s="180">
        <f t="shared" si="11"/>
        <v>-61861.712948510292</v>
      </c>
      <c r="Z80" s="180">
        <f t="shared" si="11"/>
        <v>-61861.712948510292</v>
      </c>
      <c r="AA80" s="180">
        <f t="shared" si="11"/>
        <v>-61861.712948510292</v>
      </c>
      <c r="AB80" s="180">
        <f t="shared" si="11"/>
        <v>-61861.712948510292</v>
      </c>
      <c r="AC80" s="180">
        <f>SUM(AC77:AC79)</f>
        <v>-61861.712948510292</v>
      </c>
      <c r="AD80" s="180">
        <f>SUM(AD77:AD79)</f>
        <v>-61861.712948510292</v>
      </c>
      <c r="AE80" s="180">
        <f>SUM(AE77:AE79)</f>
        <v>-61861.712948510292</v>
      </c>
      <c r="AF80" s="180">
        <f>SUM(AF77:AF79)</f>
        <v>-61861.712948510292</v>
      </c>
      <c r="AG80" s="180">
        <f>SUM(AG77:AG79)</f>
        <v>-61861.712948510292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-1035000.0000000002</v>
      </c>
      <c r="K82" s="119">
        <f t="shared" si="13"/>
        <v>-1050465.4282371278</v>
      </c>
      <c r="L82" s="119">
        <f t="shared" si="13"/>
        <v>-1065930.8564742554</v>
      </c>
      <c r="M82" s="119">
        <f t="shared" si="13"/>
        <v>-1081396.2847113831</v>
      </c>
      <c r="N82" s="119">
        <f t="shared" si="13"/>
        <v>-1096861.7129485104</v>
      </c>
      <c r="O82" s="119">
        <f t="shared" si="13"/>
        <v>-61861.712948510292</v>
      </c>
      <c r="P82" s="119">
        <f t="shared" si="13"/>
        <v>-61861.712948510292</v>
      </c>
      <c r="Q82" s="119">
        <f t="shared" si="13"/>
        <v>-61861.712948510292</v>
      </c>
      <c r="R82" s="119">
        <f t="shared" si="13"/>
        <v>-61861.712948510292</v>
      </c>
      <c r="S82" s="119">
        <f t="shared" si="13"/>
        <v>-61861.712948510292</v>
      </c>
      <c r="T82" s="119">
        <f t="shared" si="13"/>
        <v>-61861.712948510292</v>
      </c>
      <c r="U82" s="119">
        <f t="shared" si="13"/>
        <v>-61861.712948510292</v>
      </c>
      <c r="V82" s="119">
        <f t="shared" si="13"/>
        <v>-61861.712948510292</v>
      </c>
      <c r="W82" s="119">
        <f t="shared" si="13"/>
        <v>-61861.712948510292</v>
      </c>
      <c r="X82" s="119">
        <f t="shared" si="13"/>
        <v>-61861.712948510292</v>
      </c>
      <c r="Y82" s="119">
        <f t="shared" si="13"/>
        <v>-61861.712948510292</v>
      </c>
      <c r="Z82" s="119">
        <f t="shared" si="13"/>
        <v>-61861.712948510292</v>
      </c>
      <c r="AA82" s="119">
        <f t="shared" si="13"/>
        <v>-61861.712948510292</v>
      </c>
      <c r="AB82" s="119">
        <f t="shared" si="13"/>
        <v>-61861.712948510292</v>
      </c>
      <c r="AC82" s="119">
        <f>AC80</f>
        <v>-61861.712948510292</v>
      </c>
      <c r="AD82" s="119">
        <f>AD80</f>
        <v>-61861.712948510292</v>
      </c>
      <c r="AE82" s="119">
        <f>AE80</f>
        <v>-61861.712948510292</v>
      </c>
      <c r="AF82" s="119">
        <f>AF80</f>
        <v>-61861.712948510292</v>
      </c>
      <c r="AG82" s="119">
        <f>AG80</f>
        <v>-61861.712948510292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352020.41135112569</v>
      </c>
      <c r="J84" s="31">
        <f t="shared" ref="J84:AB84" si="15">J64</f>
        <v>399141.03537470475</v>
      </c>
      <c r="K84" s="31">
        <f t="shared" si="15"/>
        <v>453498.06967944279</v>
      </c>
      <c r="L84" s="31">
        <f t="shared" si="15"/>
        <v>516330.74941124767</v>
      </c>
      <c r="M84" s="31">
        <f t="shared" si="15"/>
        <v>589109.44132874161</v>
      </c>
      <c r="N84" s="31">
        <f t="shared" si="15"/>
        <v>62988.551937911659</v>
      </c>
      <c r="O84" s="31">
        <f t="shared" si="15"/>
        <v>72813.094432637095</v>
      </c>
      <c r="P84" s="31">
        <f t="shared" si="15"/>
        <v>83954.659991251305</v>
      </c>
      <c r="Q84" s="31">
        <f t="shared" si="15"/>
        <v>93444.10548485443</v>
      </c>
      <c r="R84" s="31">
        <f t="shared" si="15"/>
        <v>100200.9108832553</v>
      </c>
      <c r="S84" s="31">
        <f t="shared" si="15"/>
        <v>104731.97719205171</v>
      </c>
      <c r="T84" s="31">
        <f t="shared" si="15"/>
        <v>109678.69020579383</v>
      </c>
      <c r="U84" s="31">
        <f t="shared" si="15"/>
        <v>114820.70300432295</v>
      </c>
      <c r="V84" s="31">
        <f t="shared" si="15"/>
        <v>120464.71747200564</v>
      </c>
      <c r="W84" s="31">
        <f t="shared" si="15"/>
        <v>124132.09383740276</v>
      </c>
      <c r="X84" s="31">
        <f t="shared" si="15"/>
        <v>125484.73510958999</v>
      </c>
      <c r="Y84" s="31">
        <f t="shared" si="15"/>
        <v>125861.25746092945</v>
      </c>
      <c r="Z84" s="31">
        <f t="shared" si="15"/>
        <v>126268.08011101931</v>
      </c>
      <c r="AA84" s="31">
        <f t="shared" si="15"/>
        <v>126707.68738801777</v>
      </c>
      <c r="AB84" s="31">
        <f t="shared" si="15"/>
        <v>127182.76968728751</v>
      </c>
      <c r="AC84" s="31">
        <f>AC64</f>
        <v>127696.24069207162</v>
      </c>
      <c r="AD84" s="31">
        <f>AD64</f>
        <v>128251.25604023039</v>
      </c>
      <c r="AE84" s="31">
        <f>AE64</f>
        <v>128851.23355901986</v>
      </c>
      <c r="AF84" s="31">
        <f>AF64</f>
        <v>129428.16109278053</v>
      </c>
      <c r="AG84" s="31">
        <f>AG64</f>
        <v>129428.16109278053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352020.41135112569</v>
      </c>
      <c r="J87" s="183">
        <f t="shared" si="17"/>
        <v>-635858.96462529548</v>
      </c>
      <c r="K87" s="183">
        <f t="shared" si="17"/>
        <v>-596967.35855768505</v>
      </c>
      <c r="L87" s="183">
        <f t="shared" si="17"/>
        <v>-549600.10706300777</v>
      </c>
      <c r="M87" s="183">
        <f t="shared" si="17"/>
        <v>-492286.84338264144</v>
      </c>
      <c r="N87" s="183">
        <f t="shared" si="17"/>
        <v>-1033873.1610105988</v>
      </c>
      <c r="O87" s="183">
        <f t="shared" si="17"/>
        <v>10951.381484126803</v>
      </c>
      <c r="P87" s="183">
        <f t="shared" si="17"/>
        <v>22092.947042741012</v>
      </c>
      <c r="Q87" s="183">
        <f t="shared" si="17"/>
        <v>31582.392536344138</v>
      </c>
      <c r="R87" s="183">
        <f t="shared" si="17"/>
        <v>38339.197934745011</v>
      </c>
      <c r="S87" s="183">
        <f t="shared" si="17"/>
        <v>42870.264243541416</v>
      </c>
      <c r="T87" s="183">
        <f t="shared" si="17"/>
        <v>47816.977257283535</v>
      </c>
      <c r="U87" s="183">
        <f t="shared" si="17"/>
        <v>52958.990055812654</v>
      </c>
      <c r="V87" s="183">
        <f t="shared" si="17"/>
        <v>58603.004523495343</v>
      </c>
      <c r="W87" s="183">
        <f t="shared" si="17"/>
        <v>62270.380888892469</v>
      </c>
      <c r="X87" s="183">
        <f t="shared" si="17"/>
        <v>63623.022161079702</v>
      </c>
      <c r="Y87" s="183">
        <f t="shared" si="17"/>
        <v>63999.544512419161</v>
      </c>
      <c r="Z87" s="183">
        <f t="shared" si="17"/>
        <v>64406.367162509021</v>
      </c>
      <c r="AA87" s="183">
        <f t="shared" si="17"/>
        <v>64845.974439507481</v>
      </c>
      <c r="AB87" s="183">
        <f t="shared" si="17"/>
        <v>65321.056738777217</v>
      </c>
      <c r="AC87" s="183">
        <f>SUM(AC82:AC86)</f>
        <v>65834.527743561324</v>
      </c>
      <c r="AD87" s="183">
        <f>SUM(AD82:AD86)</f>
        <v>66389.543091720101</v>
      </c>
      <c r="AE87" s="183">
        <f>SUM(AE82:AE86)</f>
        <v>66989.520610509571</v>
      </c>
      <c r="AF87" s="183">
        <f>SUM(AF82:AF86)</f>
        <v>67566.448144270238</v>
      </c>
      <c r="AG87" s="183">
        <f>SUM(AG82:AG86)</f>
        <v>67566.448144270238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352020.41135112569</v>
      </c>
      <c r="J106" s="31">
        <f t="shared" ref="J106:AG106" si="18">J87</f>
        <v>-635858.96462529548</v>
      </c>
      <c r="K106" s="31">
        <f t="shared" si="18"/>
        <v>-596967.35855768505</v>
      </c>
      <c r="L106" s="31">
        <f t="shared" si="18"/>
        <v>-549600.10706300777</v>
      </c>
      <c r="M106" s="31">
        <f t="shared" si="18"/>
        <v>-492286.84338264144</v>
      </c>
      <c r="N106" s="31">
        <f t="shared" si="18"/>
        <v>-1033873.1610105988</v>
      </c>
      <c r="O106" s="31">
        <f t="shared" si="18"/>
        <v>10951.381484126803</v>
      </c>
      <c r="P106" s="31">
        <f t="shared" si="18"/>
        <v>22092.947042741012</v>
      </c>
      <c r="Q106" s="31">
        <f t="shared" si="18"/>
        <v>31582.392536344138</v>
      </c>
      <c r="R106" s="31">
        <f t="shared" si="18"/>
        <v>38339.197934745011</v>
      </c>
      <c r="S106" s="31">
        <f t="shared" si="18"/>
        <v>42870.264243541416</v>
      </c>
      <c r="T106" s="31">
        <f t="shared" si="18"/>
        <v>47816.977257283535</v>
      </c>
      <c r="U106" s="31">
        <f t="shared" si="18"/>
        <v>52958.990055812654</v>
      </c>
      <c r="V106" s="31">
        <f t="shared" si="18"/>
        <v>58603.004523495343</v>
      </c>
      <c r="W106" s="31">
        <f t="shared" si="18"/>
        <v>62270.380888892469</v>
      </c>
      <c r="X106" s="31">
        <f t="shared" si="18"/>
        <v>63623.022161079702</v>
      </c>
      <c r="Y106" s="31">
        <f t="shared" si="18"/>
        <v>63999.544512419161</v>
      </c>
      <c r="Z106" s="31">
        <f t="shared" si="18"/>
        <v>64406.367162509021</v>
      </c>
      <c r="AA106" s="31">
        <f t="shared" si="18"/>
        <v>64845.974439507481</v>
      </c>
      <c r="AB106" s="31">
        <f t="shared" si="18"/>
        <v>65321.056738777217</v>
      </c>
      <c r="AC106" s="31">
        <f t="shared" si="18"/>
        <v>65834.527743561324</v>
      </c>
      <c r="AD106" s="31">
        <f t="shared" si="18"/>
        <v>66389.543091720101</v>
      </c>
      <c r="AE106" s="31">
        <f t="shared" si="18"/>
        <v>66989.520610509571</v>
      </c>
      <c r="AF106" s="31">
        <f t="shared" si="18"/>
        <v>67566.448144270238</v>
      </c>
      <c r="AG106" s="31">
        <f t="shared" si="18"/>
        <v>67566.448144270238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-1035000.0000000002</v>
      </c>
      <c r="K107" s="31">
        <f t="shared" si="19"/>
        <v>-1050465.4282371278</v>
      </c>
      <c r="L107" s="31">
        <f t="shared" si="19"/>
        <v>-1065930.8564742554</v>
      </c>
      <c r="M107" s="31">
        <f t="shared" si="19"/>
        <v>-1081396.2847113831</v>
      </c>
      <c r="N107" s="31">
        <f t="shared" si="19"/>
        <v>-1096861.7129485104</v>
      </c>
      <c r="O107" s="31">
        <f t="shared" si="19"/>
        <v>-61861.712948510292</v>
      </c>
      <c r="P107" s="31">
        <f t="shared" si="19"/>
        <v>-61861.712948510292</v>
      </c>
      <c r="Q107" s="31">
        <f t="shared" si="19"/>
        <v>-61861.712948510292</v>
      </c>
      <c r="R107" s="31">
        <f t="shared" si="19"/>
        <v>-61861.712948510292</v>
      </c>
      <c r="S107" s="31">
        <f t="shared" si="19"/>
        <v>-61861.712948510292</v>
      </c>
      <c r="T107" s="31">
        <f t="shared" si="19"/>
        <v>-61861.712948510292</v>
      </c>
      <c r="U107" s="31">
        <f t="shared" si="19"/>
        <v>-61861.712948510292</v>
      </c>
      <c r="V107" s="31">
        <f t="shared" si="19"/>
        <v>-61861.712948510292</v>
      </c>
      <c r="W107" s="31">
        <f t="shared" si="19"/>
        <v>-61861.712948510292</v>
      </c>
      <c r="X107" s="31">
        <f t="shared" si="19"/>
        <v>-61861.712948510292</v>
      </c>
      <c r="Y107" s="31">
        <f t="shared" si="19"/>
        <v>-61861.712948510292</v>
      </c>
      <c r="Z107" s="31">
        <f t="shared" si="19"/>
        <v>-61861.712948510292</v>
      </c>
      <c r="AA107" s="31">
        <f t="shared" si="19"/>
        <v>-61861.712948510292</v>
      </c>
      <c r="AB107" s="31">
        <f t="shared" si="19"/>
        <v>-61861.712948510292</v>
      </c>
      <c r="AC107" s="31">
        <f t="shared" si="19"/>
        <v>-61861.712948510292</v>
      </c>
      <c r="AD107" s="31">
        <f t="shared" si="19"/>
        <v>-61861.712948510292</v>
      </c>
      <c r="AE107" s="31">
        <f t="shared" si="19"/>
        <v>-61861.712948510292</v>
      </c>
      <c r="AF107" s="31">
        <f t="shared" si="19"/>
        <v>-61861.712948510292</v>
      </c>
      <c r="AG107" s="31">
        <f t="shared" si="19"/>
        <v>-61861.712948510292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352020.41135112569</v>
      </c>
      <c r="J108" s="31">
        <f t="shared" ref="J108:AG108" si="20">SUM(J84:J85)</f>
        <v>399141.03537470475</v>
      </c>
      <c r="K108" s="31">
        <f t="shared" si="20"/>
        <v>453498.06967944279</v>
      </c>
      <c r="L108" s="31">
        <f t="shared" si="20"/>
        <v>516330.74941124767</v>
      </c>
      <c r="M108" s="31">
        <f t="shared" si="20"/>
        <v>589109.44132874161</v>
      </c>
      <c r="N108" s="31">
        <f t="shared" si="20"/>
        <v>62988.551937911659</v>
      </c>
      <c r="O108" s="31">
        <f t="shared" si="20"/>
        <v>72813.094432637095</v>
      </c>
      <c r="P108" s="31">
        <f t="shared" si="20"/>
        <v>83954.659991251305</v>
      </c>
      <c r="Q108" s="31">
        <f t="shared" si="20"/>
        <v>93444.10548485443</v>
      </c>
      <c r="R108" s="31">
        <f t="shared" si="20"/>
        <v>100200.9108832553</v>
      </c>
      <c r="S108" s="31">
        <f t="shared" si="20"/>
        <v>104731.97719205171</v>
      </c>
      <c r="T108" s="31">
        <f t="shared" si="20"/>
        <v>109678.69020579383</v>
      </c>
      <c r="U108" s="31">
        <f t="shared" si="20"/>
        <v>114820.70300432295</v>
      </c>
      <c r="V108" s="31">
        <f t="shared" si="20"/>
        <v>120464.71747200564</v>
      </c>
      <c r="W108" s="31">
        <f t="shared" si="20"/>
        <v>124132.09383740276</v>
      </c>
      <c r="X108" s="31">
        <f t="shared" si="20"/>
        <v>125484.73510958999</v>
      </c>
      <c r="Y108" s="31">
        <f t="shared" si="20"/>
        <v>125861.25746092945</v>
      </c>
      <c r="Z108" s="31">
        <f t="shared" si="20"/>
        <v>126268.08011101931</v>
      </c>
      <c r="AA108" s="31">
        <f t="shared" si="20"/>
        <v>126707.68738801777</v>
      </c>
      <c r="AB108" s="31">
        <f t="shared" si="20"/>
        <v>127182.76968728751</v>
      </c>
      <c r="AC108" s="31">
        <f t="shared" si="20"/>
        <v>127696.24069207162</v>
      </c>
      <c r="AD108" s="31">
        <f t="shared" si="20"/>
        <v>128251.25604023039</v>
      </c>
      <c r="AE108" s="31">
        <f t="shared" si="20"/>
        <v>128851.23355901986</v>
      </c>
      <c r="AF108" s="31">
        <f t="shared" si="20"/>
        <v>129428.16109278053</v>
      </c>
      <c r="AG108" s="31">
        <f t="shared" si="20"/>
        <v>129428.16109278053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352020.41135112569</v>
      </c>
      <c r="J110" s="31" cm="1">
        <f t="array" ref="J110">J$106+IF($C110&lt;&gt;0,SUMPRODUCT((J$107:J$108)*TRANSPOSE(($D110:$E110))),0)</f>
        <v>-739358.96462529548</v>
      </c>
      <c r="K110" s="31" cm="1">
        <f t="array" ref="K110">K$106+IF($C110&lt;&gt;0,SUMPRODUCT((K$107:K$108)*TRANSPOSE(($D110:$E110))),0)</f>
        <v>-702013.90138139785</v>
      </c>
      <c r="L110" s="31" cm="1">
        <f t="array" ref="L110">L$106+IF($C110&lt;&gt;0,SUMPRODUCT((L$107:L$108)*TRANSPOSE(($D110:$E110))),0)</f>
        <v>-656193.19271043339</v>
      </c>
      <c r="M110" s="31" cm="1">
        <f t="array" ref="M110">M$106+IF($C110&lt;&gt;0,SUMPRODUCT((M$107:M$108)*TRANSPOSE(($D110:$E110))),0)</f>
        <v>-600426.47185377975</v>
      </c>
      <c r="N110" s="31" cm="1">
        <f t="array" ref="N110">N$106+IF($C110&lt;&gt;0,SUMPRODUCT((N$107:N$108)*TRANSPOSE(($D110:$E110))),0)</f>
        <v>-1143559.3323054498</v>
      </c>
      <c r="O110" s="31" cm="1">
        <f t="array" ref="O110">O$106+IF($C110&lt;&gt;0,SUMPRODUCT((O$107:O$108)*TRANSPOSE(($D110:$E110))),0)</f>
        <v>4765.2101892757737</v>
      </c>
      <c r="P110" s="31" cm="1">
        <f t="array" ref="P110">P$106+IF($C110&lt;&gt;0,SUMPRODUCT((P$107:P$108)*TRANSPOSE(($D110:$E110))),0)</f>
        <v>15906.775747889984</v>
      </c>
      <c r="Q110" s="31" cm="1">
        <f t="array" ref="Q110">Q$106+IF($C110&lt;&gt;0,SUMPRODUCT((Q$107:Q$108)*TRANSPOSE(($D110:$E110))),0)</f>
        <v>25396.221241493109</v>
      </c>
      <c r="R110" s="31" cm="1">
        <f t="array" ref="R110">R$106+IF($C110&lt;&gt;0,SUMPRODUCT((R$107:R$108)*TRANSPOSE(($D110:$E110))),0)</f>
        <v>32153.026639893982</v>
      </c>
      <c r="S110" s="31" cm="1">
        <f t="array" ref="S110">S$106+IF($C110&lt;&gt;0,SUMPRODUCT((S$107:S$108)*TRANSPOSE(($D110:$E110))),0)</f>
        <v>36684.092948690384</v>
      </c>
      <c r="T110" s="31" cm="1">
        <f t="array" ref="T110">T$106+IF($C110&lt;&gt;0,SUMPRODUCT((T$107:T$108)*TRANSPOSE(($D110:$E110))),0)</f>
        <v>41630.805962432503</v>
      </c>
      <c r="U110" s="31" cm="1">
        <f t="array" ref="U110">U$106+IF($C110&lt;&gt;0,SUMPRODUCT((U$107:U$108)*TRANSPOSE(($D110:$E110))),0)</f>
        <v>46772.818760961622</v>
      </c>
      <c r="V110" s="31" cm="1">
        <f t="array" ref="V110">V$106+IF($C110&lt;&gt;0,SUMPRODUCT((V$107:V$108)*TRANSPOSE(($D110:$E110))),0)</f>
        <v>52416.833228644311</v>
      </c>
      <c r="W110" s="31" cm="1">
        <f t="array" ref="W110">W$106+IF($C110&lt;&gt;0,SUMPRODUCT((W$107:W$108)*TRANSPOSE(($D110:$E110))),0)</f>
        <v>56084.209594041437</v>
      </c>
      <c r="X110" s="31" cm="1">
        <f t="array" ref="X110">X$106+IF($C110&lt;&gt;0,SUMPRODUCT((X$107:X$108)*TRANSPOSE(($D110:$E110))),0)</f>
        <v>57436.850866228669</v>
      </c>
      <c r="Y110" s="31" cm="1">
        <f t="array" ref="Y110">Y$106+IF($C110&lt;&gt;0,SUMPRODUCT((Y$107:Y$108)*TRANSPOSE(($D110:$E110))),0)</f>
        <v>57813.373217568129</v>
      </c>
      <c r="Z110" s="31" cm="1">
        <f t="array" ref="Z110">Z$106+IF($C110&lt;&gt;0,SUMPRODUCT((Z$107:Z$108)*TRANSPOSE(($D110:$E110))),0)</f>
        <v>58220.195867657989</v>
      </c>
      <c r="AA110" s="31" cm="1">
        <f t="array" ref="AA110">AA$106+IF($C110&lt;&gt;0,SUMPRODUCT((AA$107:AA$108)*TRANSPOSE(($D110:$E110))),0)</f>
        <v>58659.803144656449</v>
      </c>
      <c r="AB110" s="31" cm="1">
        <f t="array" ref="AB110">AB$106+IF($C110&lt;&gt;0,SUMPRODUCT((AB$107:AB$108)*TRANSPOSE(($D110:$E110))),0)</f>
        <v>59134.885443926185</v>
      </c>
      <c r="AC110" s="31" cm="1">
        <f t="array" ref="AC110">AC$106+IF($C110&lt;&gt;0,SUMPRODUCT((AC$107:AC$108)*TRANSPOSE(($D110:$E110))),0)</f>
        <v>59648.356448710292</v>
      </c>
      <c r="AD110" s="31" cm="1">
        <f t="array" ref="AD110">AD$106+IF($C110&lt;&gt;0,SUMPRODUCT((AD$107:AD$108)*TRANSPOSE(($D110:$E110))),0)</f>
        <v>60203.371796869069</v>
      </c>
      <c r="AE110" s="31" cm="1">
        <f t="array" ref="AE110">AE$106+IF($C110&lt;&gt;0,SUMPRODUCT((AE$107:AE$108)*TRANSPOSE(($D110:$E110))),0)</f>
        <v>60803.349315658539</v>
      </c>
      <c r="AF110" s="31" cm="1">
        <f t="array" ref="AF110">AF$106+IF($C110&lt;&gt;0,SUMPRODUCT((AF$107:AF$108)*TRANSPOSE(($D110:$E110))),0)</f>
        <v>61380.276849419206</v>
      </c>
      <c r="AG110" s="31" cm="1">
        <f t="array" ref="AG110">AG$106+IF($C110&lt;&gt;0,SUMPRODUCT((AG$107:AG$108)*TRANSPOSE(($D110:$E110))),0)</f>
        <v>61380.276849419206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352020.41135112569</v>
      </c>
      <c r="J111" s="31" cm="1">
        <f t="array" ref="J111">J$106+IF($C111&lt;&gt;0,SUMPRODUCT((J$107:J$108)*TRANSPOSE(($D111:$E111))),0)</f>
        <v>-532358.96462529548</v>
      </c>
      <c r="K111" s="31" cm="1">
        <f t="array" ref="K111">K$106+IF($C111&lt;&gt;0,SUMPRODUCT((K$107:K$108)*TRANSPOSE(($D111:$E111))),0)</f>
        <v>-491920.81573397224</v>
      </c>
      <c r="L111" s="31" cm="1">
        <f t="array" ref="L111">L$106+IF($C111&lt;&gt;0,SUMPRODUCT((L$107:L$108)*TRANSPOSE(($D111:$E111))),0)</f>
        <v>-443007.02141558222</v>
      </c>
      <c r="M111" s="31" cm="1">
        <f t="array" ref="M111">M$106+IF($C111&lt;&gt;0,SUMPRODUCT((M$107:M$108)*TRANSPOSE(($D111:$E111))),0)</f>
        <v>-384147.21491150314</v>
      </c>
      <c r="N111" s="31" cm="1">
        <f t="array" ref="N111">N$106+IF($C111&lt;&gt;0,SUMPRODUCT((N$107:N$108)*TRANSPOSE(($D111:$E111))),0)</f>
        <v>-924186.98971574777</v>
      </c>
      <c r="O111" s="31" cm="1">
        <f t="array" ref="O111">O$106+IF($C111&lt;&gt;0,SUMPRODUCT((O$107:O$108)*TRANSPOSE(($D111:$E111))),0)</f>
        <v>17137.552778977832</v>
      </c>
      <c r="P111" s="31" cm="1">
        <f t="array" ref="P111">P$106+IF($C111&lt;&gt;0,SUMPRODUCT((P$107:P$108)*TRANSPOSE(($D111:$E111))),0)</f>
        <v>28279.118337592041</v>
      </c>
      <c r="Q111" s="31" cm="1">
        <f t="array" ref="Q111">Q$106+IF($C111&lt;&gt;0,SUMPRODUCT((Q$107:Q$108)*TRANSPOSE(($D111:$E111))),0)</f>
        <v>37768.56383119517</v>
      </c>
      <c r="R111" s="31" cm="1">
        <f t="array" ref="R111">R$106+IF($C111&lt;&gt;0,SUMPRODUCT((R$107:R$108)*TRANSPOSE(($D111:$E111))),0)</f>
        <v>44525.369229596043</v>
      </c>
      <c r="S111" s="31" cm="1">
        <f t="array" ref="S111">S$106+IF($C111&lt;&gt;0,SUMPRODUCT((S$107:S$108)*TRANSPOSE(($D111:$E111))),0)</f>
        <v>49056.435538392449</v>
      </c>
      <c r="T111" s="31" cm="1">
        <f t="array" ref="T111">T$106+IF($C111&lt;&gt;0,SUMPRODUCT((T$107:T$108)*TRANSPOSE(($D111:$E111))),0)</f>
        <v>54003.148552134568</v>
      </c>
      <c r="U111" s="31" cm="1">
        <f t="array" ref="U111">U$106+IF($C111&lt;&gt;0,SUMPRODUCT((U$107:U$108)*TRANSPOSE(($D111:$E111))),0)</f>
        <v>59145.161350663686</v>
      </c>
      <c r="V111" s="31" cm="1">
        <f t="array" ref="V111">V$106+IF($C111&lt;&gt;0,SUMPRODUCT((V$107:V$108)*TRANSPOSE(($D111:$E111))),0)</f>
        <v>64789.175818346375</v>
      </c>
      <c r="W111" s="31" cm="1">
        <f t="array" ref="W111">W$106+IF($C111&lt;&gt;0,SUMPRODUCT((W$107:W$108)*TRANSPOSE(($D111:$E111))),0)</f>
        <v>68456.552183743494</v>
      </c>
      <c r="X111" s="31" cm="1">
        <f t="array" ref="X111">X$106+IF($C111&lt;&gt;0,SUMPRODUCT((X$107:X$108)*TRANSPOSE(($D111:$E111))),0)</f>
        <v>69809.193455930726</v>
      </c>
      <c r="Y111" s="31" cm="1">
        <f t="array" ref="Y111">Y$106+IF($C111&lt;&gt;0,SUMPRODUCT((Y$107:Y$108)*TRANSPOSE(($D111:$E111))),0)</f>
        <v>70185.715807270186</v>
      </c>
      <c r="Z111" s="31" cm="1">
        <f t="array" ref="Z111">Z$106+IF($C111&lt;&gt;0,SUMPRODUCT((Z$107:Z$108)*TRANSPOSE(($D111:$E111))),0)</f>
        <v>70592.538457360046</v>
      </c>
      <c r="AA111" s="31" cm="1">
        <f t="array" ref="AA111">AA$106+IF($C111&lt;&gt;0,SUMPRODUCT((AA$107:AA$108)*TRANSPOSE(($D111:$E111))),0)</f>
        <v>71032.145734358506</v>
      </c>
      <c r="AB111" s="31" cm="1">
        <f t="array" ref="AB111">AB$106+IF($C111&lt;&gt;0,SUMPRODUCT((AB$107:AB$108)*TRANSPOSE(($D111:$E111))),0)</f>
        <v>71507.228033628242</v>
      </c>
      <c r="AC111" s="31" cm="1">
        <f t="array" ref="AC111">AC$106+IF($C111&lt;&gt;0,SUMPRODUCT((AC$107:AC$108)*TRANSPOSE(($D111:$E111))),0)</f>
        <v>72020.699038412349</v>
      </c>
      <c r="AD111" s="31" cm="1">
        <f t="array" ref="AD111">AD$106+IF($C111&lt;&gt;0,SUMPRODUCT((AD$107:AD$108)*TRANSPOSE(($D111:$E111))),0)</f>
        <v>72575.714386571126</v>
      </c>
      <c r="AE111" s="31" cm="1">
        <f t="array" ref="AE111">AE$106+IF($C111&lt;&gt;0,SUMPRODUCT((AE$107:AE$108)*TRANSPOSE(($D111:$E111))),0)</f>
        <v>73175.691905360596</v>
      </c>
      <c r="AF111" s="31" cm="1">
        <f t="array" ref="AF111">AF$106+IF($C111&lt;&gt;0,SUMPRODUCT((AF$107:AF$108)*TRANSPOSE(($D111:$E111))),0)</f>
        <v>73752.619439121263</v>
      </c>
      <c r="AG111" s="31" cm="1">
        <f t="array" ref="AG111">AG$106+IF($C111&lt;&gt;0,SUMPRODUCT((AG$107:AG$108)*TRANSPOSE(($D111:$E111))),0)</f>
        <v>73752.619439121263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387222.45248623827</v>
      </c>
      <c r="J112" s="31" cm="1">
        <f t="array" ref="J112">J$106+IF($C112&lt;&gt;0,SUMPRODUCT((J$107:J$108)*TRANSPOSE(($D112:$E112))),0)</f>
        <v>-595944.86108782503</v>
      </c>
      <c r="K112" s="31" cm="1">
        <f t="array" ref="K112">K$106+IF($C112&lt;&gt;0,SUMPRODUCT((K$107:K$108)*TRANSPOSE(($D112:$E112))),0)</f>
        <v>-551617.55158974079</v>
      </c>
      <c r="L112" s="31" cm="1">
        <f t="array" ref="L112">L$106+IF($C112&lt;&gt;0,SUMPRODUCT((L$107:L$108)*TRANSPOSE(($D112:$E112))),0)</f>
        <v>-497967.03212188301</v>
      </c>
      <c r="M112" s="31" cm="1">
        <f t="array" ref="M112">M$106+IF($C112&lt;&gt;0,SUMPRODUCT((M$107:M$108)*TRANSPOSE(($D112:$E112))),0)</f>
        <v>-433375.8992497673</v>
      </c>
      <c r="N112" s="31" cm="1">
        <f t="array" ref="N112">N$106+IF($C112&lt;&gt;0,SUMPRODUCT((N$107:N$108)*TRANSPOSE(($D112:$E112))),0)</f>
        <v>-1027574.3058168076</v>
      </c>
      <c r="O112" s="31" cm="1">
        <f t="array" ref="O112">O$106+IF($C112&lt;&gt;0,SUMPRODUCT((O$107:O$108)*TRANSPOSE(($D112:$E112))),0)</f>
        <v>18232.690927390511</v>
      </c>
      <c r="P112" s="31" cm="1">
        <f t="array" ref="P112">P$106+IF($C112&lt;&gt;0,SUMPRODUCT((P$107:P$108)*TRANSPOSE(($D112:$E112))),0)</f>
        <v>30488.413041866144</v>
      </c>
      <c r="Q112" s="31" cm="1">
        <f t="array" ref="Q112">Q$106+IF($C112&lt;&gt;0,SUMPRODUCT((Q$107:Q$108)*TRANSPOSE(($D112:$E112))),0)</f>
        <v>40926.803084829582</v>
      </c>
      <c r="R112" s="31" cm="1">
        <f t="array" ref="R112">R$106+IF($C112&lt;&gt;0,SUMPRODUCT((R$107:R$108)*TRANSPOSE(($D112:$E112))),0)</f>
        <v>48359.289023070538</v>
      </c>
      <c r="S112" s="31" cm="1">
        <f t="array" ref="S112">S$106+IF($C112&lt;&gt;0,SUMPRODUCT((S$107:S$108)*TRANSPOSE(($D112:$E112))),0)</f>
        <v>53343.461962746587</v>
      </c>
      <c r="T112" s="31" cm="1">
        <f t="array" ref="T112">T$106+IF($C112&lt;&gt;0,SUMPRODUCT((T$107:T$108)*TRANSPOSE(($D112:$E112))),0)</f>
        <v>58784.846277862918</v>
      </c>
      <c r="U112" s="31" cm="1">
        <f t="array" ref="U112">U$106+IF($C112&lt;&gt;0,SUMPRODUCT((U$107:U$108)*TRANSPOSE(($D112:$E112))),0)</f>
        <v>64441.060356244947</v>
      </c>
      <c r="V112" s="31" cm="1">
        <f t="array" ref="V112">V$106+IF($C112&lt;&gt;0,SUMPRODUCT((V$107:V$108)*TRANSPOSE(($D112:$E112))),0)</f>
        <v>70649.476270695915</v>
      </c>
      <c r="W112" s="31" cm="1">
        <f t="array" ref="W112">W$106+IF($C112&lt;&gt;0,SUMPRODUCT((W$107:W$108)*TRANSPOSE(($D112:$E112))),0)</f>
        <v>74683.590272632748</v>
      </c>
      <c r="X112" s="31" cm="1">
        <f t="array" ref="X112">X$106+IF($C112&lt;&gt;0,SUMPRODUCT((X$107:X$108)*TRANSPOSE(($D112:$E112))),0)</f>
        <v>76171.495672038698</v>
      </c>
      <c r="Y112" s="31" cm="1">
        <f t="array" ref="Y112">Y$106+IF($C112&lt;&gt;0,SUMPRODUCT((Y$107:Y$108)*TRANSPOSE(($D112:$E112))),0)</f>
        <v>76585.670258512109</v>
      </c>
      <c r="Z112" s="31" cm="1">
        <f t="array" ref="Z112">Z$106+IF($C112&lt;&gt;0,SUMPRODUCT((Z$107:Z$108)*TRANSPOSE(($D112:$E112))),0)</f>
        <v>77033.175173610958</v>
      </c>
      <c r="AA112" s="31" cm="1">
        <f t="array" ref="AA112">AA$106+IF($C112&lt;&gt;0,SUMPRODUCT((AA$107:AA$108)*TRANSPOSE(($D112:$E112))),0)</f>
        <v>77516.743178309262</v>
      </c>
      <c r="AB112" s="31" cm="1">
        <f t="array" ref="AB112">AB$106+IF($C112&lt;&gt;0,SUMPRODUCT((AB$107:AB$108)*TRANSPOSE(($D112:$E112))),0)</f>
        <v>78039.333707505968</v>
      </c>
      <c r="AC112" s="31" cm="1">
        <f t="array" ref="AC112">AC$106+IF($C112&lt;&gt;0,SUMPRODUCT((AC$107:AC$108)*TRANSPOSE(($D112:$E112))),0)</f>
        <v>78604.151812768483</v>
      </c>
      <c r="AD112" s="31" cm="1">
        <f t="array" ref="AD112">AD$106+IF($C112&lt;&gt;0,SUMPRODUCT((AD$107:AD$108)*TRANSPOSE(($D112:$E112))),0)</f>
        <v>79214.668695743138</v>
      </c>
      <c r="AE112" s="31" cm="1">
        <f t="array" ref="AE112">AE$106+IF($C112&lt;&gt;0,SUMPRODUCT((AE$107:AE$108)*TRANSPOSE(($D112:$E112))),0)</f>
        <v>79874.643966411561</v>
      </c>
      <c r="AF112" s="31" cm="1">
        <f t="array" ref="AF112">AF$106+IF($C112&lt;&gt;0,SUMPRODUCT((AF$107:AF$108)*TRANSPOSE(($D112:$E112))),0)</f>
        <v>80509.264253548288</v>
      </c>
      <c r="AG112" s="31" cm="1">
        <f t="array" ref="AG112">AG$106+IF($C112&lt;&gt;0,SUMPRODUCT((AG$107:AG$108)*TRANSPOSE(($D112:$E112))),0)</f>
        <v>80509.264253548288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316818.37021601311</v>
      </c>
      <c r="J113" s="31" cm="1">
        <f t="array" ref="J113">J$106+IF($C113&lt;&gt;0,SUMPRODUCT((J$107:J$108)*TRANSPOSE(($D113:$E113))),0)</f>
        <v>-675773.06816276594</v>
      </c>
      <c r="K113" s="31" cm="1">
        <f t="array" ref="K113">K$106+IF($C113&lt;&gt;0,SUMPRODUCT((K$107:K$108)*TRANSPOSE(($D113:$E113))),0)</f>
        <v>-642317.1655256293</v>
      </c>
      <c r="L113" s="31" cm="1">
        <f t="array" ref="L113">L$106+IF($C113&lt;&gt;0,SUMPRODUCT((L$107:L$108)*TRANSPOSE(($D113:$E113))),0)</f>
        <v>-601233.18200413254</v>
      </c>
      <c r="M113" s="31" cm="1">
        <f t="array" ref="M113">M$106+IF($C113&lt;&gt;0,SUMPRODUCT((M$107:M$108)*TRANSPOSE(($D113:$E113))),0)</f>
        <v>-551197.78751551558</v>
      </c>
      <c r="N113" s="31" cm="1">
        <f t="array" ref="N113">N$106+IF($C113&lt;&gt;0,SUMPRODUCT((N$107:N$108)*TRANSPOSE(($D113:$E113))),0)</f>
        <v>-1040172.01620439</v>
      </c>
      <c r="O113" s="31" cm="1">
        <f t="array" ref="O113">O$106+IF($C113&lt;&gt;0,SUMPRODUCT((O$107:O$108)*TRANSPOSE(($D113:$E113))),0)</f>
        <v>3670.0720408630932</v>
      </c>
      <c r="P113" s="31" cm="1">
        <f t="array" ref="P113">P$106+IF($C113&lt;&gt;0,SUMPRODUCT((P$107:P$108)*TRANSPOSE(($D113:$E113))),0)</f>
        <v>13697.481043615882</v>
      </c>
      <c r="Q113" s="31" cm="1">
        <f t="array" ref="Q113">Q$106+IF($C113&lt;&gt;0,SUMPRODUCT((Q$107:Q$108)*TRANSPOSE(($D113:$E113))),0)</f>
        <v>22237.981987858693</v>
      </c>
      <c r="R113" s="31" cm="1">
        <f t="array" ref="R113">R$106+IF($C113&lt;&gt;0,SUMPRODUCT((R$107:R$108)*TRANSPOSE(($D113:$E113))),0)</f>
        <v>28319.10684641948</v>
      </c>
      <c r="S113" s="31" cm="1">
        <f t="array" ref="S113">S$106+IF($C113&lt;&gt;0,SUMPRODUCT((S$107:S$108)*TRANSPOSE(($D113:$E113))),0)</f>
        <v>32397.066524336245</v>
      </c>
      <c r="T113" s="31" cm="1">
        <f t="array" ref="T113">T$106+IF($C113&lt;&gt;0,SUMPRODUCT((T$107:T$108)*TRANSPOSE(($D113:$E113))),0)</f>
        <v>36849.108236704153</v>
      </c>
      <c r="U113" s="31" cm="1">
        <f t="array" ref="U113">U$106+IF($C113&lt;&gt;0,SUMPRODUCT((U$107:U$108)*TRANSPOSE(($D113:$E113))),0)</f>
        <v>41476.919755380361</v>
      </c>
      <c r="V113" s="31" cm="1">
        <f t="array" ref="V113">V$106+IF($C113&lt;&gt;0,SUMPRODUCT((V$107:V$108)*TRANSPOSE(($D113:$E113))),0)</f>
        <v>46556.532776294778</v>
      </c>
      <c r="W113" s="31" cm="1">
        <f t="array" ref="W113">W$106+IF($C113&lt;&gt;0,SUMPRODUCT((W$107:W$108)*TRANSPOSE(($D113:$E113))),0)</f>
        <v>49857.17150515219</v>
      </c>
      <c r="X113" s="31" cm="1">
        <f t="array" ref="X113">X$106+IF($C113&lt;&gt;0,SUMPRODUCT((X$107:X$108)*TRANSPOSE(($D113:$E113))),0)</f>
        <v>51074.548650120705</v>
      </c>
      <c r="Y113" s="31" cm="1">
        <f t="array" ref="Y113">Y$106+IF($C113&lt;&gt;0,SUMPRODUCT((Y$107:Y$108)*TRANSPOSE(($D113:$E113))),0)</f>
        <v>51413.418766326213</v>
      </c>
      <c r="Z113" s="31" cm="1">
        <f t="array" ref="Z113">Z$106+IF($C113&lt;&gt;0,SUMPRODUCT((Z$107:Z$108)*TRANSPOSE(($D113:$E113))),0)</f>
        <v>51779.559151407091</v>
      </c>
      <c r="AA113" s="31" cm="1">
        <f t="array" ref="AA113">AA$106+IF($C113&lt;&gt;0,SUMPRODUCT((AA$107:AA$108)*TRANSPOSE(($D113:$E113))),0)</f>
        <v>52175.205700705701</v>
      </c>
      <c r="AB113" s="31" cm="1">
        <f t="array" ref="AB113">AB$106+IF($C113&lt;&gt;0,SUMPRODUCT((AB$107:AB$108)*TRANSPOSE(($D113:$E113))),0)</f>
        <v>52602.779770048466</v>
      </c>
      <c r="AC113" s="31" cm="1">
        <f t="array" ref="AC113">AC$106+IF($C113&lt;&gt;0,SUMPRODUCT((AC$107:AC$108)*TRANSPOSE(($D113:$E113))),0)</f>
        <v>53064.903674354166</v>
      </c>
      <c r="AD113" s="31" cm="1">
        <f t="array" ref="AD113">AD$106+IF($C113&lt;&gt;0,SUMPRODUCT((AD$107:AD$108)*TRANSPOSE(($D113:$E113))),0)</f>
        <v>53564.417487697065</v>
      </c>
      <c r="AE113" s="31" cm="1">
        <f t="array" ref="AE113">AE$106+IF($C113&lt;&gt;0,SUMPRODUCT((AE$107:AE$108)*TRANSPOSE(($D113:$E113))),0)</f>
        <v>54104.397254607582</v>
      </c>
      <c r="AF113" s="31" cm="1">
        <f t="array" ref="AF113">AF$106+IF($C113&lt;&gt;0,SUMPRODUCT((AF$107:AF$108)*TRANSPOSE(($D113:$E113))),0)</f>
        <v>54623.632034992188</v>
      </c>
      <c r="AG113" s="31" cm="1">
        <f t="array" ref="AG113">AG$106+IF($C113&lt;&gt;0,SUMPRODUCT((AG$107:AG$108)*TRANSPOSE(($D113:$E113))),0)</f>
        <v>54623.632034992188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316818.37021601311</v>
      </c>
      <c r="J114" s="31" cm="1">
        <f t="array" ref="J114">J$106+IF($C114&lt;&gt;0,SUMPRODUCT((J$107:J$108)*TRANSPOSE(($D114:$E114))),0)</f>
        <v>-779273.06816276605</v>
      </c>
      <c r="K114" s="31" cm="1">
        <f t="array" ref="K114">K$106+IF($C114&lt;&gt;0,SUMPRODUCT((K$107:K$108)*TRANSPOSE(($D114:$E114))),0)</f>
        <v>-747363.70834934211</v>
      </c>
      <c r="L114" s="31" cm="1">
        <f t="array" ref="L114">L$106+IF($C114&lt;&gt;0,SUMPRODUCT((L$107:L$108)*TRANSPOSE(($D114:$E114))),0)</f>
        <v>-707826.26765155816</v>
      </c>
      <c r="M114" s="31" cm="1">
        <f t="array" ref="M114">M$106+IF($C114&lt;&gt;0,SUMPRODUCT((M$107:M$108)*TRANSPOSE(($D114:$E114))),0)</f>
        <v>-659337.41598665388</v>
      </c>
      <c r="N114" s="31" cm="1">
        <f t="array" ref="N114">N$106+IF($C114&lt;&gt;0,SUMPRODUCT((N$107:N$108)*TRANSPOSE(($D114:$E114))),0)</f>
        <v>-1149858.187499241</v>
      </c>
      <c r="O114" s="31" cm="1">
        <f t="array" ref="O114">O$106+IF($C114&lt;&gt;0,SUMPRODUCT((O$107:O$108)*TRANSPOSE(($D114:$E114))),0)</f>
        <v>-2516.0992539879371</v>
      </c>
      <c r="P114" s="31" cm="1">
        <f t="array" ref="P114">P$106+IF($C114&lt;&gt;0,SUMPRODUCT((P$107:P$108)*TRANSPOSE(($D114:$E114))),0)</f>
        <v>7511.309748764852</v>
      </c>
      <c r="Q114" s="31" cm="1">
        <f t="array" ref="Q114">Q$106+IF($C114&lt;&gt;0,SUMPRODUCT((Q$107:Q$108)*TRANSPOSE(($D114:$E114))),0)</f>
        <v>16051.810693007665</v>
      </c>
      <c r="R114" s="31" cm="1">
        <f t="array" ref="R114">R$106+IF($C114&lt;&gt;0,SUMPRODUCT((R$107:R$108)*TRANSPOSE(($D114:$E114))),0)</f>
        <v>22132.935551568451</v>
      </c>
      <c r="S114" s="31" cm="1">
        <f t="array" ref="S114">S$106+IF($C114&lt;&gt;0,SUMPRODUCT((S$107:S$108)*TRANSPOSE(($D114:$E114))),0)</f>
        <v>26210.895229485217</v>
      </c>
      <c r="T114" s="31" cm="1">
        <f t="array" ref="T114">T$106+IF($C114&lt;&gt;0,SUMPRODUCT((T$107:T$108)*TRANSPOSE(($D114:$E114))),0)</f>
        <v>30662.936941853124</v>
      </c>
      <c r="U114" s="31" cm="1">
        <f t="array" ref="U114">U$106+IF($C114&lt;&gt;0,SUMPRODUCT((U$107:U$108)*TRANSPOSE(($D114:$E114))),0)</f>
        <v>35290.748460529328</v>
      </c>
      <c r="V114" s="31" cm="1">
        <f t="array" ref="V114">V$106+IF($C114&lt;&gt;0,SUMPRODUCT((V$107:V$108)*TRANSPOSE(($D114:$E114))),0)</f>
        <v>40370.361481443746</v>
      </c>
      <c r="W114" s="31" cm="1">
        <f t="array" ref="W114">W$106+IF($C114&lt;&gt;0,SUMPRODUCT((W$107:W$108)*TRANSPOSE(($D114:$E114))),0)</f>
        <v>43671.000210301165</v>
      </c>
      <c r="X114" s="31" cm="1">
        <f t="array" ref="X114">X$106+IF($C114&lt;&gt;0,SUMPRODUCT((X$107:X$108)*TRANSPOSE(($D114:$E114))),0)</f>
        <v>44888.377355269673</v>
      </c>
      <c r="Y114" s="31" cm="1">
        <f t="array" ref="Y114">Y$106+IF($C114&lt;&gt;0,SUMPRODUCT((Y$107:Y$108)*TRANSPOSE(($D114:$E114))),0)</f>
        <v>45227.247471475188</v>
      </c>
      <c r="Z114" s="31" cm="1">
        <f t="array" ref="Z114">Z$106+IF($C114&lt;&gt;0,SUMPRODUCT((Z$107:Z$108)*TRANSPOSE(($D114:$E114))),0)</f>
        <v>45593.387856556059</v>
      </c>
      <c r="AA114" s="31" cm="1">
        <f t="array" ref="AA114">AA$106+IF($C114&lt;&gt;0,SUMPRODUCT((AA$107:AA$108)*TRANSPOSE(($D114:$E114))),0)</f>
        <v>45989.034405854676</v>
      </c>
      <c r="AB114" s="31" cm="1">
        <f t="array" ref="AB114">AB$106+IF($C114&lt;&gt;0,SUMPRODUCT((AB$107:AB$108)*TRANSPOSE(($D114:$E114))),0)</f>
        <v>46416.608475197441</v>
      </c>
      <c r="AC114" s="31" cm="1">
        <f t="array" ref="AC114">AC$106+IF($C114&lt;&gt;0,SUMPRODUCT((AC$107:AC$108)*TRANSPOSE(($D114:$E114))),0)</f>
        <v>46878.732379503133</v>
      </c>
      <c r="AD114" s="31" cm="1">
        <f t="array" ref="AD114">AD$106+IF($C114&lt;&gt;0,SUMPRODUCT((AD$107:AD$108)*TRANSPOSE(($D114:$E114))),0)</f>
        <v>47378.246192846032</v>
      </c>
      <c r="AE114" s="31" cm="1">
        <f t="array" ref="AE114">AE$106+IF($C114&lt;&gt;0,SUMPRODUCT((AE$107:AE$108)*TRANSPOSE(($D114:$E114))),0)</f>
        <v>47918.225959756557</v>
      </c>
      <c r="AF114" s="31" cm="1">
        <f t="array" ref="AF114">AF$106+IF($C114&lt;&gt;0,SUMPRODUCT((AF$107:AF$108)*TRANSPOSE(($D114:$E114))),0)</f>
        <v>48437.460740141156</v>
      </c>
      <c r="AG114" s="31" cm="1">
        <f t="array" ref="AG114">AG$106+IF($C114&lt;&gt;0,SUMPRODUCT((AG$107:AG$108)*TRANSPOSE(($D114:$E114))),0)</f>
        <v>48437.460740141156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352020.41135112569</v>
      </c>
      <c r="J115" s="31" cm="1">
        <f t="array" ref="J115">J$106+IF($C115&lt;&gt;0,SUMPRODUCT((J$107:J$108)*TRANSPOSE(($D115:$E115))),0)</f>
        <v>-635858.96462529548</v>
      </c>
      <c r="K115" s="31" cm="1">
        <f t="array" ref="K115">K$106+IF($C115&lt;&gt;0,SUMPRODUCT((K$107:K$108)*TRANSPOSE(($D115:$E115))),0)</f>
        <v>-596967.35855768505</v>
      </c>
      <c r="L115" s="31" cm="1">
        <f t="array" ref="L115">L$106+IF($C115&lt;&gt;0,SUMPRODUCT((L$107:L$108)*TRANSPOSE(($D115:$E115))),0)</f>
        <v>-549600.10706300777</v>
      </c>
      <c r="M115" s="31" cm="1">
        <f t="array" ref="M115">M$106+IF($C115&lt;&gt;0,SUMPRODUCT((M$107:M$108)*TRANSPOSE(($D115:$E115))),0)</f>
        <v>-492286.84338264144</v>
      </c>
      <c r="N115" s="31" cm="1">
        <f t="array" ref="N115">N$106+IF($C115&lt;&gt;0,SUMPRODUCT((N$107:N$108)*TRANSPOSE(($D115:$E115))),0)</f>
        <v>-1033873.1610105988</v>
      </c>
      <c r="O115" s="31" cm="1">
        <f t="array" ref="O115">O$106+IF($C115&lt;&gt;0,SUMPRODUCT((O$107:O$108)*TRANSPOSE(($D115:$E115))),0)</f>
        <v>10951.381484126803</v>
      </c>
      <c r="P115" s="31" cm="1">
        <f t="array" ref="P115">P$106+IF($C115&lt;&gt;0,SUMPRODUCT((P$107:P$108)*TRANSPOSE(($D115:$E115))),0)</f>
        <v>22092.947042741012</v>
      </c>
      <c r="Q115" s="31" cm="1">
        <f t="array" ref="Q115">Q$106+IF($C115&lt;&gt;0,SUMPRODUCT((Q$107:Q$108)*TRANSPOSE(($D115:$E115))),0)</f>
        <v>31582.392536344138</v>
      </c>
      <c r="R115" s="31" cm="1">
        <f t="array" ref="R115">R$106+IF($C115&lt;&gt;0,SUMPRODUCT((R$107:R$108)*TRANSPOSE(($D115:$E115))),0)</f>
        <v>38339.197934745011</v>
      </c>
      <c r="S115" s="31" cm="1">
        <f t="array" ref="S115">S$106+IF($C115&lt;&gt;0,SUMPRODUCT((S$107:S$108)*TRANSPOSE(($D115:$E115))),0)</f>
        <v>42870.264243541416</v>
      </c>
      <c r="T115" s="31" cm="1">
        <f t="array" ref="T115">T$106+IF($C115&lt;&gt;0,SUMPRODUCT((T$107:T$108)*TRANSPOSE(($D115:$E115))),0)</f>
        <v>47816.977257283535</v>
      </c>
      <c r="U115" s="31" cm="1">
        <f t="array" ref="U115">U$106+IF($C115&lt;&gt;0,SUMPRODUCT((U$107:U$108)*TRANSPOSE(($D115:$E115))),0)</f>
        <v>52958.990055812654</v>
      </c>
      <c r="V115" s="31" cm="1">
        <f t="array" ref="V115">V$106+IF($C115&lt;&gt;0,SUMPRODUCT((V$107:V$108)*TRANSPOSE(($D115:$E115))),0)</f>
        <v>58603.004523495343</v>
      </c>
      <c r="W115" s="31" cm="1">
        <f t="array" ref="W115">W$106+IF($C115&lt;&gt;0,SUMPRODUCT((W$107:W$108)*TRANSPOSE(($D115:$E115))),0)</f>
        <v>62270.380888892469</v>
      </c>
      <c r="X115" s="31" cm="1">
        <f t="array" ref="X115">X$106+IF($C115&lt;&gt;0,SUMPRODUCT((X$107:X$108)*TRANSPOSE(($D115:$E115))),0)</f>
        <v>63623.022161079702</v>
      </c>
      <c r="Y115" s="31" cm="1">
        <f t="array" ref="Y115">Y$106+IF($C115&lt;&gt;0,SUMPRODUCT((Y$107:Y$108)*TRANSPOSE(($D115:$E115))),0)</f>
        <v>63999.544512419161</v>
      </c>
      <c r="Z115" s="31" cm="1">
        <f t="array" ref="Z115">Z$106+IF($C115&lt;&gt;0,SUMPRODUCT((Z$107:Z$108)*TRANSPOSE(($D115:$E115))),0)</f>
        <v>64406.367162509021</v>
      </c>
      <c r="AA115" s="31" cm="1">
        <f t="array" ref="AA115">AA$106+IF($C115&lt;&gt;0,SUMPRODUCT((AA$107:AA$108)*TRANSPOSE(($D115:$E115))),0)</f>
        <v>64845.974439507481</v>
      </c>
      <c r="AB115" s="31" cm="1">
        <f t="array" ref="AB115">AB$106+IF($C115&lt;&gt;0,SUMPRODUCT((AB$107:AB$108)*TRANSPOSE(($D115:$E115))),0)</f>
        <v>65321.056738777217</v>
      </c>
      <c r="AC115" s="31" cm="1">
        <f t="array" ref="AC115">AC$106+IF($C115&lt;&gt;0,SUMPRODUCT((AC$107:AC$108)*TRANSPOSE(($D115:$E115))),0)</f>
        <v>65834.527743561324</v>
      </c>
      <c r="AD115" s="31" cm="1">
        <f t="array" ref="AD115">AD$106+IF($C115&lt;&gt;0,SUMPRODUCT((AD$107:AD$108)*TRANSPOSE(($D115:$E115))),0)</f>
        <v>66389.543091720101</v>
      </c>
      <c r="AE115" s="31" cm="1">
        <f t="array" ref="AE115">AE$106+IF($C115&lt;&gt;0,SUMPRODUCT((AE$107:AE$108)*TRANSPOSE(($D115:$E115))),0)</f>
        <v>66989.520610509571</v>
      </c>
      <c r="AF115" s="31" cm="1">
        <f t="array" ref="AF115">AF$106+IF($C115&lt;&gt;0,SUMPRODUCT((AF$107:AF$108)*TRANSPOSE(($D115:$E115))),0)</f>
        <v>67566.448144270238</v>
      </c>
      <c r="AG115" s="31" cm="1">
        <f t="array" ref="AG115">AG$106+IF($C115&lt;&gt;0,SUMPRODUCT((AG$107:AG$108)*TRANSPOSE(($D115:$E115))),0)</f>
        <v>67566.448144270238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352020.41135112569</v>
      </c>
      <c r="J116" s="31" cm="1">
        <f t="array" ref="J116">J$106+IF($C116&lt;&gt;0,SUMPRODUCT((J$107:J$108)*TRANSPOSE(($D116:$E116))),0)</f>
        <v>-635858.96462529548</v>
      </c>
      <c r="K116" s="31" cm="1">
        <f t="array" ref="K116">K$106+IF($C116&lt;&gt;0,SUMPRODUCT((K$107:K$108)*TRANSPOSE(($D116:$E116))),0)</f>
        <v>-596967.35855768505</v>
      </c>
      <c r="L116" s="31" cm="1">
        <f t="array" ref="L116">L$106+IF($C116&lt;&gt;0,SUMPRODUCT((L$107:L$108)*TRANSPOSE(($D116:$E116))),0)</f>
        <v>-549600.10706300777</v>
      </c>
      <c r="M116" s="31" cm="1">
        <f t="array" ref="M116">M$106+IF($C116&lt;&gt;0,SUMPRODUCT((M$107:M$108)*TRANSPOSE(($D116:$E116))),0)</f>
        <v>-492286.84338264144</v>
      </c>
      <c r="N116" s="31" cm="1">
        <f t="array" ref="N116">N$106+IF($C116&lt;&gt;0,SUMPRODUCT((N$107:N$108)*TRANSPOSE(($D116:$E116))),0)</f>
        <v>-1033873.1610105988</v>
      </c>
      <c r="O116" s="31" cm="1">
        <f t="array" ref="O116">O$106+IF($C116&lt;&gt;0,SUMPRODUCT((O$107:O$108)*TRANSPOSE(($D116:$E116))),0)</f>
        <v>10951.381484126803</v>
      </c>
      <c r="P116" s="31" cm="1">
        <f t="array" ref="P116">P$106+IF($C116&lt;&gt;0,SUMPRODUCT((P$107:P$108)*TRANSPOSE(($D116:$E116))),0)</f>
        <v>22092.947042741012</v>
      </c>
      <c r="Q116" s="31" cm="1">
        <f t="array" ref="Q116">Q$106+IF($C116&lt;&gt;0,SUMPRODUCT((Q$107:Q$108)*TRANSPOSE(($D116:$E116))),0)</f>
        <v>31582.392536344138</v>
      </c>
      <c r="R116" s="31" cm="1">
        <f t="array" ref="R116">R$106+IF($C116&lt;&gt;0,SUMPRODUCT((R$107:R$108)*TRANSPOSE(($D116:$E116))),0)</f>
        <v>38339.197934745011</v>
      </c>
      <c r="S116" s="31" cm="1">
        <f t="array" ref="S116">S$106+IF($C116&lt;&gt;0,SUMPRODUCT((S$107:S$108)*TRANSPOSE(($D116:$E116))),0)</f>
        <v>42870.264243541416</v>
      </c>
      <c r="T116" s="31" cm="1">
        <f t="array" ref="T116">T$106+IF($C116&lt;&gt;0,SUMPRODUCT((T$107:T$108)*TRANSPOSE(($D116:$E116))),0)</f>
        <v>47816.977257283535</v>
      </c>
      <c r="U116" s="31" cm="1">
        <f t="array" ref="U116">U$106+IF($C116&lt;&gt;0,SUMPRODUCT((U$107:U$108)*TRANSPOSE(($D116:$E116))),0)</f>
        <v>52958.990055812654</v>
      </c>
      <c r="V116" s="31" cm="1">
        <f t="array" ref="V116">V$106+IF($C116&lt;&gt;0,SUMPRODUCT((V$107:V$108)*TRANSPOSE(($D116:$E116))),0)</f>
        <v>58603.004523495343</v>
      </c>
      <c r="W116" s="31" cm="1">
        <f t="array" ref="W116">W$106+IF($C116&lt;&gt;0,SUMPRODUCT((W$107:W$108)*TRANSPOSE(($D116:$E116))),0)</f>
        <v>62270.380888892469</v>
      </c>
      <c r="X116" s="31" cm="1">
        <f t="array" ref="X116">X$106+IF($C116&lt;&gt;0,SUMPRODUCT((X$107:X$108)*TRANSPOSE(($D116:$E116))),0)</f>
        <v>63623.022161079702</v>
      </c>
      <c r="Y116" s="31" cm="1">
        <f t="array" ref="Y116">Y$106+IF($C116&lt;&gt;0,SUMPRODUCT((Y$107:Y$108)*TRANSPOSE(($D116:$E116))),0)</f>
        <v>63999.544512419161</v>
      </c>
      <c r="Z116" s="31" cm="1">
        <f t="array" ref="Z116">Z$106+IF($C116&lt;&gt;0,SUMPRODUCT((Z$107:Z$108)*TRANSPOSE(($D116:$E116))),0)</f>
        <v>64406.367162509021</v>
      </c>
      <c r="AA116" s="31" cm="1">
        <f t="array" ref="AA116">AA$106+IF($C116&lt;&gt;0,SUMPRODUCT((AA$107:AA$108)*TRANSPOSE(($D116:$E116))),0)</f>
        <v>64845.974439507481</v>
      </c>
      <c r="AB116" s="31" cm="1">
        <f t="array" ref="AB116">AB$106+IF($C116&lt;&gt;0,SUMPRODUCT((AB$107:AB$108)*TRANSPOSE(($D116:$E116))),0)</f>
        <v>65321.056738777217</v>
      </c>
      <c r="AC116" s="31" cm="1">
        <f t="array" ref="AC116">AC$106+IF($C116&lt;&gt;0,SUMPRODUCT((AC$107:AC$108)*TRANSPOSE(($D116:$E116))),0)</f>
        <v>65834.527743561324</v>
      </c>
      <c r="AD116" s="31" cm="1">
        <f t="array" ref="AD116">AD$106+IF($C116&lt;&gt;0,SUMPRODUCT((AD$107:AD$108)*TRANSPOSE(($D116:$E116))),0)</f>
        <v>66389.543091720101</v>
      </c>
      <c r="AE116" s="31" cm="1">
        <f t="array" ref="AE116">AE$106+IF($C116&lt;&gt;0,SUMPRODUCT((AE$107:AE$108)*TRANSPOSE(($D116:$E116))),0)</f>
        <v>66989.520610509571</v>
      </c>
      <c r="AF116" s="31" cm="1">
        <f t="array" ref="AF116">AF$106+IF($C116&lt;&gt;0,SUMPRODUCT((AF$107:AF$108)*TRANSPOSE(($D116:$E116))),0)</f>
        <v>67566.448144270238</v>
      </c>
      <c r="AG116" s="31" cm="1">
        <f t="array" ref="AG116">AG$106+IF($C116&lt;&gt;0,SUMPRODUCT((AG$107:AG$108)*TRANSPOSE(($D116:$E116))),0)</f>
        <v>67566.448144270238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352020.41135112569</v>
      </c>
      <c r="J117" s="31" cm="1">
        <f t="array" ref="J117">J$106+IF($C117&lt;&gt;0,SUMPRODUCT((J$107:J$108)*TRANSPOSE(($D117:$E117))),0)</f>
        <v>-635858.96462529548</v>
      </c>
      <c r="K117" s="31" cm="1">
        <f t="array" ref="K117">K$106+IF($C117&lt;&gt;0,SUMPRODUCT((K$107:K$108)*TRANSPOSE(($D117:$E117))),0)</f>
        <v>-596967.35855768505</v>
      </c>
      <c r="L117" s="31" cm="1">
        <f t="array" ref="L117">L$106+IF($C117&lt;&gt;0,SUMPRODUCT((L$107:L$108)*TRANSPOSE(($D117:$E117))),0)</f>
        <v>-549600.10706300777</v>
      </c>
      <c r="M117" s="31" cm="1">
        <f t="array" ref="M117">M$106+IF($C117&lt;&gt;0,SUMPRODUCT((M$107:M$108)*TRANSPOSE(($D117:$E117))),0)</f>
        <v>-492286.84338264144</v>
      </c>
      <c r="N117" s="31" cm="1">
        <f t="array" ref="N117">N$106+IF($C117&lt;&gt;0,SUMPRODUCT((N$107:N$108)*TRANSPOSE(($D117:$E117))),0)</f>
        <v>-1033873.1610105988</v>
      </c>
      <c r="O117" s="31" cm="1">
        <f t="array" ref="O117">O$106+IF($C117&lt;&gt;0,SUMPRODUCT((O$107:O$108)*TRANSPOSE(($D117:$E117))),0)</f>
        <v>10951.381484126803</v>
      </c>
      <c r="P117" s="31" cm="1">
        <f t="array" ref="P117">P$106+IF($C117&lt;&gt;0,SUMPRODUCT((P$107:P$108)*TRANSPOSE(($D117:$E117))),0)</f>
        <v>22092.947042741012</v>
      </c>
      <c r="Q117" s="31" cm="1">
        <f t="array" ref="Q117">Q$106+IF($C117&lt;&gt;0,SUMPRODUCT((Q$107:Q$108)*TRANSPOSE(($D117:$E117))),0)</f>
        <v>31582.392536344138</v>
      </c>
      <c r="R117" s="31" cm="1">
        <f t="array" ref="R117">R$106+IF($C117&lt;&gt;0,SUMPRODUCT((R$107:R$108)*TRANSPOSE(($D117:$E117))),0)</f>
        <v>38339.197934745011</v>
      </c>
      <c r="S117" s="31" cm="1">
        <f t="array" ref="S117">S$106+IF($C117&lt;&gt;0,SUMPRODUCT((S$107:S$108)*TRANSPOSE(($D117:$E117))),0)</f>
        <v>42870.264243541416</v>
      </c>
      <c r="T117" s="31" cm="1">
        <f t="array" ref="T117">T$106+IF($C117&lt;&gt;0,SUMPRODUCT((T$107:T$108)*TRANSPOSE(($D117:$E117))),0)</f>
        <v>47816.977257283535</v>
      </c>
      <c r="U117" s="31" cm="1">
        <f t="array" ref="U117">U$106+IF($C117&lt;&gt;0,SUMPRODUCT((U$107:U$108)*TRANSPOSE(($D117:$E117))),0)</f>
        <v>52958.990055812654</v>
      </c>
      <c r="V117" s="31" cm="1">
        <f t="array" ref="V117">V$106+IF($C117&lt;&gt;0,SUMPRODUCT((V$107:V$108)*TRANSPOSE(($D117:$E117))),0)</f>
        <v>58603.004523495343</v>
      </c>
      <c r="W117" s="31" cm="1">
        <f t="array" ref="W117">W$106+IF($C117&lt;&gt;0,SUMPRODUCT((W$107:W$108)*TRANSPOSE(($D117:$E117))),0)</f>
        <v>62270.380888892469</v>
      </c>
      <c r="X117" s="31" cm="1">
        <f t="array" ref="X117">X$106+IF($C117&lt;&gt;0,SUMPRODUCT((X$107:X$108)*TRANSPOSE(($D117:$E117))),0)</f>
        <v>63623.022161079702</v>
      </c>
      <c r="Y117" s="31" cm="1">
        <f t="array" ref="Y117">Y$106+IF($C117&lt;&gt;0,SUMPRODUCT((Y$107:Y$108)*TRANSPOSE(($D117:$E117))),0)</f>
        <v>63999.544512419161</v>
      </c>
      <c r="Z117" s="31" cm="1">
        <f t="array" ref="Z117">Z$106+IF($C117&lt;&gt;0,SUMPRODUCT((Z$107:Z$108)*TRANSPOSE(($D117:$E117))),0)</f>
        <v>64406.367162509021</v>
      </c>
      <c r="AA117" s="31" cm="1">
        <f t="array" ref="AA117">AA$106+IF($C117&lt;&gt;0,SUMPRODUCT((AA$107:AA$108)*TRANSPOSE(($D117:$E117))),0)</f>
        <v>64845.974439507481</v>
      </c>
      <c r="AB117" s="31" cm="1">
        <f t="array" ref="AB117">AB$106+IF($C117&lt;&gt;0,SUMPRODUCT((AB$107:AB$108)*TRANSPOSE(($D117:$E117))),0)</f>
        <v>65321.056738777217</v>
      </c>
      <c r="AC117" s="31" cm="1">
        <f t="array" ref="AC117">AC$106+IF($C117&lt;&gt;0,SUMPRODUCT((AC$107:AC$108)*TRANSPOSE(($D117:$E117))),0)</f>
        <v>65834.527743561324</v>
      </c>
      <c r="AD117" s="31" cm="1">
        <f t="array" ref="AD117">AD$106+IF($C117&lt;&gt;0,SUMPRODUCT((AD$107:AD$108)*TRANSPOSE(($D117:$E117))),0)</f>
        <v>66389.543091720101</v>
      </c>
      <c r="AE117" s="31" cm="1">
        <f t="array" ref="AE117">AE$106+IF($C117&lt;&gt;0,SUMPRODUCT((AE$107:AE$108)*TRANSPOSE(($D117:$E117))),0)</f>
        <v>66989.520610509571</v>
      </c>
      <c r="AF117" s="31" cm="1">
        <f t="array" ref="AF117">AF$106+IF($C117&lt;&gt;0,SUMPRODUCT((AF$107:AF$108)*TRANSPOSE(($D117:$E117))),0)</f>
        <v>67566.448144270238</v>
      </c>
      <c r="AG117" s="31" cm="1">
        <f t="array" ref="AG117">AG$106+IF($C117&lt;&gt;0,SUMPRODUCT((AG$107:AG$108)*TRANSPOSE(($D117:$E117))),0)</f>
        <v>67566.448144270238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185</v>
      </c>
      <c r="B3" s="5"/>
      <c r="C3" s="204" t="str">
        <f>INDEX(Assumptions!$E$14:$E$18, MATCH(A3,_xlfn.ANCHORARRAY( Assumptions!$C$14),0))</f>
        <v>Replace highest 5 delta risk cable sections and monitor further 10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IF(INDEX(Misc_calcs!$D$45:$D$63, MATCH(A3, Misc_calcs!$B$45:$B$63,0)), Misc_calcs!$B$66,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51">
        <v>60</v>
      </c>
      <c r="G14" s="211">
        <f>input_dollars</f>
        <v>45291</v>
      </c>
      <c r="H14" s="152"/>
      <c r="I14" s="32">
        <f>Workings_costs!E54</f>
        <v>765966.17600000009</v>
      </c>
      <c r="J14" s="32">
        <f>Workings_costs!F54</f>
        <v>765966.17600000009</v>
      </c>
      <c r="K14" s="32">
        <f>Workings_costs!G54</f>
        <v>765966.17600000009</v>
      </c>
      <c r="L14" s="32">
        <f>Workings_costs!H54</f>
        <v>765966.17600000009</v>
      </c>
      <c r="M14" s="32">
        <f>Workings_costs!I54</f>
        <v>765966.17600000009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250</v>
      </c>
      <c r="D15"/>
      <c r="E15" s="151">
        <v>1</v>
      </c>
      <c r="G15" s="211">
        <f>input_dollars</f>
        <v>45291</v>
      </c>
      <c r="H15" s="2"/>
      <c r="I15" s="32">
        <f>Workings_costs!E55</f>
        <v>333333.33333333331</v>
      </c>
      <c r="J15" s="32">
        <f>Workings_costs!F55</f>
        <v>333333.33333333331</v>
      </c>
      <c r="K15" s="32">
        <f>Workings_costs!G55</f>
        <v>333333.33333333331</v>
      </c>
      <c r="L15" s="32">
        <f>Workings_costs!H55</f>
        <v>333333.33333333331</v>
      </c>
      <c r="M15" s="32">
        <f>Workings_costs!I55</f>
        <v>333333.33333333331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251</v>
      </c>
      <c r="D16"/>
      <c r="E16" s="151">
        <v>60</v>
      </c>
      <c r="G16" s="211">
        <f>input_dollars</f>
        <v>45291</v>
      </c>
      <c r="H16" s="2"/>
      <c r="I16" s="32">
        <f>Workings_costs!E56</f>
        <v>0</v>
      </c>
      <c r="J16" s="32">
        <f>Workings_costs!F56</f>
        <v>0</v>
      </c>
      <c r="K16" s="32">
        <f>Workings_costs!G56</f>
        <v>0</v>
      </c>
      <c r="L16" s="32">
        <f>Workings_costs!H56</f>
        <v>0</v>
      </c>
      <c r="M16" s="32">
        <f>Workings_costs!I56</f>
        <v>346490.60000000003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1099299.5093333335</v>
      </c>
      <c r="J17" s="106">
        <f t="shared" si="0"/>
        <v>1099299.5093333335</v>
      </c>
      <c r="K17" s="106">
        <f>SUM(K14:K16)</f>
        <v>1099299.5093333335</v>
      </c>
      <c r="L17" s="106">
        <f t="shared" si="0"/>
        <v>1099299.5093333335</v>
      </c>
      <c r="M17" s="106">
        <f t="shared" si="0"/>
        <v>1445790.1093333336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9"/>
      <c r="AH20"/>
      <c r="AI20"/>
      <c r="AJ20"/>
      <c r="AK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81.045919428723153</v>
      </c>
      <c r="J27" s="172">
        <f>INDEX(Workings_risks!I$47:I$51, MATCH($A$3, Workings_risks!$C$47:$C$51,0))</f>
        <v>89.153720519503153</v>
      </c>
      <c r="K27" s="172">
        <f>INDEX(Workings_risks!J$47:J$51, MATCH($A$3, Workings_risks!$C$47:$C$51,0))</f>
        <v>98.599048104023922</v>
      </c>
      <c r="L27" s="172">
        <f>INDEX(Workings_risks!K$47:K$51, MATCH($A$3, Workings_risks!$C$47:$C$51,0))</f>
        <v>109.43655729908042</v>
      </c>
      <c r="M27" s="172">
        <f>INDEX(Workings_risks!L$47:L$51, MATCH($A$3, Workings_risks!$C$47:$C$51,0))</f>
        <v>121.85642321204772</v>
      </c>
      <c r="N27" s="172">
        <f>INDEX(Workings_risks!M$47:M$51, MATCH($A$3, Workings_risks!$C$47:$C$51,0))</f>
        <v>136.90255087593826</v>
      </c>
      <c r="O27" s="172">
        <f>INDEX(Workings_risks!N$47:N$51, MATCH($A$3, Workings_risks!$C$47:$C$51,0))</f>
        <v>153.51876153458636</v>
      </c>
      <c r="P27" s="172">
        <f>INDEX(Workings_risks!O$47:O$51, MATCH($A$3, Workings_risks!$C$47:$C$51,0))</f>
        <v>172.53677445616796</v>
      </c>
      <c r="Q27" s="172">
        <f>INDEX(Workings_risks!P$47:P$51, MATCH($A$3, Workings_risks!$C$47:$C$51,0))</f>
        <v>193.45455349775551</v>
      </c>
      <c r="R27" s="172">
        <f>INDEX(Workings_risks!Q$47:Q$51, MATCH($A$3, Workings_risks!$C$47:$C$51,0))</f>
        <v>215.7596746553055</v>
      </c>
      <c r="S27" s="172">
        <f>INDEX(Workings_risks!R$47:R$51, MATCH($A$3, Workings_risks!$C$47:$C$51,0))</f>
        <v>239.2940896056605</v>
      </c>
      <c r="T27" s="172">
        <f>INDEX(Workings_risks!S$47:S$51, MATCH($A$3, Workings_risks!$C$47:$C$51,0))</f>
        <v>265.36425343737807</v>
      </c>
      <c r="U27" s="172">
        <f>INDEX(Workings_risks!T$47:T$51, MATCH($A$3, Workings_risks!$C$47:$C$51,0))</f>
        <v>293.71792033866325</v>
      </c>
      <c r="V27" s="172">
        <f>INDEX(Workings_risks!U$47:U$51, MATCH($A$3, Workings_risks!$C$47:$C$51,0))</f>
        <v>322.89905799603611</v>
      </c>
      <c r="W27" s="172">
        <f>INDEX(Workings_risks!V$47:V$51, MATCH($A$3, Workings_risks!$C$47:$C$51,0))</f>
        <v>350.63654743198794</v>
      </c>
      <c r="X27" s="172">
        <f>INDEX(Workings_risks!W$47:W$51, MATCH($A$3, Workings_risks!$C$47:$C$51,0))</f>
        <v>377.36078567086201</v>
      </c>
      <c r="Y27" s="172">
        <f>INDEX(Workings_risks!X$47:X$51, MATCH($A$3, Workings_risks!$C$47:$C$51,0))</f>
        <v>403.5289191985309</v>
      </c>
      <c r="Z27" s="172">
        <f>INDEX(Workings_risks!Y$47:Y$51, MATCH($A$3, Workings_risks!$C$47:$C$51,0))</f>
        <v>428.16105034744533</v>
      </c>
      <c r="AA27" s="172">
        <f>INDEX(Workings_risks!Z$47:Z$51, MATCH($A$3, Workings_risks!$C$47:$C$51,0))</f>
        <v>450.71310131994619</v>
      </c>
      <c r="AB27" s="172">
        <f>INDEX(Workings_risks!AA$47:AA$51, MATCH($A$3, Workings_risks!$C$47:$C$51,0))</f>
        <v>470.38423247552333</v>
      </c>
      <c r="AC27" s="172">
        <f>INDEX(Workings_risks!AB$47:AB$51, MATCH($A$3, Workings_risks!$C$47:$C$51,0))</f>
        <v>490.22439754858868</v>
      </c>
      <c r="AD27" s="172">
        <f>INDEX(Workings_risks!AC$47:AC$51, MATCH($A$3, Workings_risks!$C$47:$C$51,0))</f>
        <v>510.47064162526391</v>
      </c>
      <c r="AE27" s="172">
        <f>INDEX(Workings_risks!AD$47:AD$51, MATCH($A$3, Workings_risks!$C$47:$C$51,0))</f>
        <v>530.77060404154997</v>
      </c>
      <c r="AF27" s="172">
        <f>INDEX(Workings_risks!AE$47:AE$51, MATCH($A$3, Workings_risks!$C$47:$C$51,0))</f>
        <v>551.49806984676172</v>
      </c>
      <c r="AG27" s="172">
        <f>INDEX(Workings_risks!AF$47:AF$51, MATCH($A$3, Workings_risks!$C$47:$C$51,0))</f>
        <v>572.32360459272525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3875598.878129798</v>
      </c>
      <c r="J28" s="302">
        <f t="shared" ref="J28:AG28" si="2">J27*$E$28</f>
        <v>4263312.2267230172</v>
      </c>
      <c r="K28" s="302">
        <f t="shared" si="2"/>
        <v>4714985.811872866</v>
      </c>
      <c r="L28" s="302">
        <f t="shared" si="2"/>
        <v>5233233.2298076004</v>
      </c>
      <c r="M28" s="302">
        <f t="shared" si="2"/>
        <v>5827148.6142971432</v>
      </c>
      <c r="N28" s="302">
        <f t="shared" si="2"/>
        <v>6546651.2851954084</v>
      </c>
      <c r="O28" s="302">
        <f t="shared" si="2"/>
        <v>7341234.9957801262</v>
      </c>
      <c r="P28" s="302">
        <f t="shared" si="2"/>
        <v>8250672.3871093905</v>
      </c>
      <c r="Q28" s="302">
        <f t="shared" si="2"/>
        <v>9250956.1960658766</v>
      </c>
      <c r="R28" s="302">
        <f t="shared" si="2"/>
        <v>10317582.414191216</v>
      </c>
      <c r="S28" s="302">
        <f t="shared" si="2"/>
        <v>11442993.203802317</v>
      </c>
      <c r="T28" s="302">
        <f t="shared" si="2"/>
        <v>12689662.973373175</v>
      </c>
      <c r="U28" s="302">
        <f t="shared" si="2"/>
        <v>14045529.381059853</v>
      </c>
      <c r="V28" s="302">
        <f t="shared" si="2"/>
        <v>15440965.266847141</v>
      </c>
      <c r="W28" s="302">
        <f t="shared" si="2"/>
        <v>16767366.197305506</v>
      </c>
      <c r="X28" s="302">
        <f t="shared" si="2"/>
        <v>18045313.667918656</v>
      </c>
      <c r="Y28" s="302">
        <f t="shared" si="2"/>
        <v>19296668.327813368</v>
      </c>
      <c r="Z28" s="302">
        <f t="shared" si="2"/>
        <v>20474571.675934877</v>
      </c>
      <c r="AA28" s="302">
        <f t="shared" si="2"/>
        <v>21553006.026049417</v>
      </c>
      <c r="AB28" s="302">
        <f t="shared" si="2"/>
        <v>22493675.394420847</v>
      </c>
      <c r="AC28" s="302">
        <f t="shared" si="2"/>
        <v>23442427.92929345</v>
      </c>
      <c r="AD28" s="302">
        <f t="shared" si="2"/>
        <v>24410599.076995868</v>
      </c>
      <c r="AE28" s="302">
        <f t="shared" si="2"/>
        <v>25381339.024437968</v>
      </c>
      <c r="AF28" s="302">
        <f t="shared" si="2"/>
        <v>26372522.094324674</v>
      </c>
      <c r="AG28" s="302">
        <f t="shared" si="2"/>
        <v>27368394.80040079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INDEX(Workings_risks!H$62:H$218, MATCH($A$3&amp;$C30, Workings_risks!$E$62:$E$218,0))</f>
        <v>937071.22949347389</v>
      </c>
      <c r="J30" s="32">
        <f>INDEX(Workings_risks!I$62:I$218, MATCH($A$3&amp;$C30, Workings_risks!$E$62:$E$218,0))</f>
        <v>1024888.8434661002</v>
      </c>
      <c r="K30" s="32">
        <f>INDEX(Workings_risks!J$62:J$218, MATCH($A$3&amp;$C30, Workings_risks!$E$62:$E$218,0))</f>
        <v>1133494.2827753988</v>
      </c>
      <c r="L30" s="32">
        <f>INDEX(Workings_risks!K$62:K$218, MATCH($A$3&amp;$C30, Workings_risks!$E$62:$E$218,0))</f>
        <v>1258113.6218315565</v>
      </c>
      <c r="M30" s="32">
        <f>INDEX(Workings_risks!L$62:L$218, MATCH($A$3&amp;$C30, Workings_risks!$E$62:$E$218,0))</f>
        <v>1400935.5256436118</v>
      </c>
      <c r="N30" s="32">
        <f>INDEX(Workings_risks!M$62:M$218, MATCH($A$3&amp;$C30, Workings_risks!$E$62:$E$218,0))</f>
        <v>1574532.7293097065</v>
      </c>
      <c r="O30" s="32">
        <f>INDEX(Workings_risks!N$62:N$218, MATCH($A$3&amp;$C30, Workings_risks!$E$62:$E$218,0))</f>
        <v>1765645.096516073</v>
      </c>
      <c r="P30" s="32">
        <f>INDEX(Workings_risks!O$62:O$218, MATCH($A$3&amp;$C30, Workings_risks!$E$62:$E$218,0))</f>
        <v>1984382.9335819562</v>
      </c>
      <c r="Q30" s="32">
        <f>INDEX(Workings_risks!P$62:P$218, MATCH($A$3&amp;$C30, Workings_risks!$E$62:$E$218,0))</f>
        <v>2224953.6461669304</v>
      </c>
      <c r="R30" s="32">
        <f>INDEX(Workings_risks!Q$62:Q$218, MATCH($A$3&amp;$C30, Workings_risks!$E$62:$E$218,0))</f>
        <v>2481468.0717525063</v>
      </c>
      <c r="S30" s="32">
        <f>INDEX(Workings_risks!R$62:R$218, MATCH($A$3&amp;$C30, Workings_risks!$E$62:$E$218,0))</f>
        <v>2752119.2778611551</v>
      </c>
      <c r="T30" s="32">
        <f>INDEX(Workings_risks!S$62:S$218, MATCH($A$3&amp;$C30, Workings_risks!$E$62:$E$218,0))</f>
        <v>3051932.2536707362</v>
      </c>
      <c r="U30" s="32">
        <f>INDEX(Workings_risks!T$62:T$218, MATCH($A$3&amp;$C30, Workings_risks!$E$62:$E$218,0))</f>
        <v>3378006.1295262799</v>
      </c>
      <c r="V30" s="32">
        <f>INDEX(Workings_risks!U$62:U$218, MATCH($A$3&amp;$C30, Workings_risks!$E$62:$E$218,0))</f>
        <v>3713596.1011813674</v>
      </c>
      <c r="W30" s="32">
        <f>INDEX(Workings_risks!V$62:V$218, MATCH($A$3&amp;$C30, Workings_risks!$E$62:$E$218,0))</f>
        <v>4032578.0533690932</v>
      </c>
      <c r="X30" s="32">
        <f>INDEX(Workings_risks!W$62:W$218, MATCH($A$3&amp;$C30, Workings_risks!$E$62:$E$218,0))</f>
        <v>4339911.5437391484</v>
      </c>
      <c r="Y30" s="32">
        <f>INDEX(Workings_risks!X$62:X$218, MATCH($A$3&amp;$C30, Workings_risks!$E$62:$E$218,0))</f>
        <v>4640851.1805463079</v>
      </c>
      <c r="Z30" s="32">
        <f>INDEX(Workings_risks!Y$62:Y$218, MATCH($A$3&amp;$C30, Workings_risks!$E$62:$E$218,0))</f>
        <v>4924126.4318706989</v>
      </c>
      <c r="AA30" s="32">
        <f>INDEX(Workings_risks!Z$62:Z$218, MATCH($A$3&amp;$C30, Workings_risks!$E$62:$E$218,0))</f>
        <v>5183480.2761846194</v>
      </c>
      <c r="AB30" s="32">
        <f>INDEX(Workings_risks!AA$62:AA$218, MATCH($A$3&amp;$C30, Workings_risks!$E$62:$E$218,0))</f>
        <v>5409702.8709022021</v>
      </c>
      <c r="AC30" s="32">
        <f>INDEX(Workings_risks!AB$62:AB$218, MATCH($A$3&amp;$C30, Workings_risks!$E$62:$E$218,0))</f>
        <v>5637869.39508205</v>
      </c>
      <c r="AD30" s="32">
        <f>INDEX(Workings_risks!AC$62:AC$218, MATCH($A$3&amp;$C30, Workings_risks!$E$62:$E$218,0))</f>
        <v>5870705.9224828836</v>
      </c>
      <c r="AE30" s="32">
        <f>INDEX(Workings_risks!AD$62:AD$218, MATCH($A$3&amp;$C30, Workings_risks!$E$62:$E$218,0))</f>
        <v>6104160.2233139565</v>
      </c>
      <c r="AF30" s="32">
        <f>INDEX(Workings_risks!AE$62:AE$218, MATCH($A$3&amp;$C30, Workings_risks!$E$62:$E$218,0))</f>
        <v>6342530.9127923548</v>
      </c>
      <c r="AG30" s="32">
        <f>INDEX(Workings_risks!AF$62:AF$218, MATCH($A$3&amp;$C30, Workings_risks!$E$62:$E$218,0))</f>
        <v>6582029.4179546917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INDEX(Workings_risks!H$62:H$218, MATCH($A$3&amp;$C31, Workings_risks!$E$62:$E$218,0))</f>
        <v>2159114.732966444</v>
      </c>
      <c r="J31" s="32">
        <f>INDEX(Workings_risks!I$62:I$218, MATCH($A$3&amp;$C31, Workings_risks!$E$62:$E$218,0))</f>
        <v>2259041.5277882251</v>
      </c>
      <c r="K31" s="32">
        <f>INDEX(Workings_risks!J$62:J$218, MATCH($A$3&amp;$C31, Workings_risks!$E$62:$E$218,0))</f>
        <v>2483720.3236358357</v>
      </c>
      <c r="L31" s="32">
        <f>INDEX(Workings_risks!K$62:K$218, MATCH($A$3&amp;$C31, Workings_risks!$E$62:$E$218,0))</f>
        <v>2739268.6672449978</v>
      </c>
      <c r="M31" s="32">
        <f>INDEX(Workings_risks!L$62:L$218, MATCH($A$3&amp;$C31, Workings_risks!$E$62:$E$218,0))</f>
        <v>3029359.1270881933</v>
      </c>
      <c r="N31" s="32">
        <f>INDEX(Workings_risks!M$62:M$218, MATCH($A$3&amp;$C31, Workings_risks!$E$62:$E$218,0))</f>
        <v>3518229.7842677482</v>
      </c>
      <c r="O31" s="32">
        <f>INDEX(Workings_risks!N$62:N$218, MATCH($A$3&amp;$C31, Workings_risks!$E$62:$E$218,0))</f>
        <v>3940290.6122572059</v>
      </c>
      <c r="P31" s="32">
        <f>INDEX(Workings_risks!O$62:O$218, MATCH($A$3&amp;$C31, Workings_risks!$E$62:$E$218,0))</f>
        <v>4422777.3944267072</v>
      </c>
      <c r="Q31" s="32">
        <f>INDEX(Workings_risks!P$62:P$218, MATCH($A$3&amp;$C31, Workings_risks!$E$62:$E$218,0))</f>
        <v>4963595.582332531</v>
      </c>
      <c r="R31" s="32">
        <f>INDEX(Workings_risks!Q$62:Q$218, MATCH($A$3&amp;$C31, Workings_risks!$E$62:$E$218,0))</f>
        <v>5547799.3218518402</v>
      </c>
      <c r="S31" s="32">
        <f>INDEX(Workings_risks!R$62:R$218, MATCH($A$3&amp;$C31, Workings_risks!$E$62:$E$218,0))</f>
        <v>6166780.3718621964</v>
      </c>
      <c r="T31" s="32">
        <f>INDEX(Workings_risks!S$62:S$218, MATCH($A$3&amp;$C31, Workings_risks!$E$62:$E$218,0))</f>
        <v>6852378.3489493597</v>
      </c>
      <c r="U31" s="32">
        <f>INDEX(Workings_risks!T$62:T$218, MATCH($A$3&amp;$C31, Workings_risks!$E$62:$E$218,0))</f>
        <v>7597836.2011109591</v>
      </c>
      <c r="V31" s="32">
        <f>INDEX(Workings_risks!U$62:U$218, MATCH($A$3&amp;$C31, Workings_risks!$E$62:$E$218,0))</f>
        <v>8364605.7712041689</v>
      </c>
      <c r="W31" s="32">
        <f>INDEX(Workings_risks!V$62:V$218, MATCH($A$3&amp;$C31, Workings_risks!$E$62:$E$218,0))</f>
        <v>9098358.9097423665</v>
      </c>
      <c r="X31" s="32">
        <f>INDEX(Workings_risks!W$62:W$218, MATCH($A$3&amp;$C31, Workings_risks!$E$62:$E$218,0))</f>
        <v>9806169.9173773322</v>
      </c>
      <c r="Y31" s="32">
        <f>INDEX(Workings_risks!X$62:X$218, MATCH($A$3&amp;$C31, Workings_risks!$E$62:$E$218,0))</f>
        <v>10499567.796976233</v>
      </c>
      <c r="Z31" s="32">
        <f>INDEX(Workings_risks!Y$62:Y$218, MATCH($A$3&amp;$C31, Workings_risks!$E$62:$E$218,0))</f>
        <v>11152264.997966889</v>
      </c>
      <c r="AA31" s="32">
        <f>INDEX(Workings_risks!Z$62:Z$218, MATCH($A$3&amp;$C31, Workings_risks!$E$62:$E$218,0))</f>
        <v>11749844.65753275</v>
      </c>
      <c r="AB31" s="32">
        <f>INDEX(Workings_risks!AA$62:AA$218, MATCH($A$3&amp;$C31, Workings_risks!$E$62:$E$218,0))</f>
        <v>12271086.289770942</v>
      </c>
      <c r="AC31" s="32">
        <f>INDEX(Workings_risks!AB$62:AB$218, MATCH($A$3&amp;$C31, Workings_risks!$E$62:$E$218,0))</f>
        <v>12796806.948373113</v>
      </c>
      <c r="AD31" s="32">
        <f>INDEX(Workings_risks!AC$62:AC$218, MATCH($A$3&amp;$C31, Workings_risks!$E$62:$E$218,0))</f>
        <v>13333287.805816175</v>
      </c>
      <c r="AE31" s="32">
        <f>INDEX(Workings_risks!AD$62:AD$218, MATCH($A$3&amp;$C31, Workings_risks!$E$62:$E$218,0))</f>
        <v>13871192.080895899</v>
      </c>
      <c r="AF31" s="32">
        <f>INDEX(Workings_risks!AE$62:AE$218, MATCH($A$3&amp;$C31, Workings_risks!$E$62:$E$218,0))</f>
        <v>14420424.253820874</v>
      </c>
      <c r="AG31" s="32">
        <f>INDEX(Workings_risks!AF$62:AF$218, MATCH($A$3&amp;$C31, Workings_risks!$E$62:$E$218,0))</f>
        <v>14972255.037590597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INDEX(Workings_risks!H$62:H$218, MATCH($A$3&amp;$C32, Workings_risks!$E$62:$E$218,0))</f>
        <v>128429.59922776051</v>
      </c>
      <c r="J32" s="32">
        <f>INDEX(Workings_risks!I$62:I$218, MATCH($A$3&amp;$C32, Workings_risks!$E$62:$E$218,0))</f>
        <v>140420.03736729381</v>
      </c>
      <c r="K32" s="32">
        <f>INDEX(Workings_risks!J$62:J$218, MATCH($A$3&amp;$C32, Workings_risks!$E$62:$E$218,0))</f>
        <v>155293.54639756356</v>
      </c>
      <c r="L32" s="32">
        <f>INDEX(Workings_risks!K$62:K$218, MATCH($A$3&amp;$C32, Workings_risks!$E$62:$E$218,0))</f>
        <v>172359.15550730133</v>
      </c>
      <c r="M32" s="32">
        <f>INDEX(Workings_risks!L$62:L$218, MATCH($A$3&amp;$C32, Workings_risks!$E$62:$E$218,0))</f>
        <v>191916.22278066809</v>
      </c>
      <c r="N32" s="32">
        <f>INDEX(Workings_risks!M$62:M$218, MATCH($A$3&amp;$C32, Workings_risks!$E$62:$E$218,0))</f>
        <v>215747.77316725973</v>
      </c>
      <c r="O32" s="32">
        <f>INDEX(Workings_risks!N$62:N$218, MATCH($A$3&amp;$C32, Workings_risks!$E$62:$E$218,0))</f>
        <v>241932.42745883329</v>
      </c>
      <c r="P32" s="32">
        <f>INDEX(Workings_risks!O$62:O$218, MATCH($A$3&amp;$C32, Workings_risks!$E$62:$E$218,0))</f>
        <v>271901.83904151578</v>
      </c>
      <c r="Q32" s="32">
        <f>INDEX(Workings_risks!P$62:P$218, MATCH($A$3&amp;$C32, Workings_risks!$E$62:$E$218,0))</f>
        <v>304867.09963270545</v>
      </c>
      <c r="R32" s="32">
        <f>INDEX(Workings_risks!Q$62:Q$218, MATCH($A$3&amp;$C32, Workings_risks!$E$62:$E$218,0))</f>
        <v>340020.46357054345</v>
      </c>
      <c r="S32" s="32">
        <f>INDEX(Workings_risks!R$62:R$218, MATCH($A$3&amp;$C32, Workings_risks!$E$62:$E$218,0))</f>
        <v>377112.31085542531</v>
      </c>
      <c r="T32" s="32">
        <f>INDEX(Workings_risks!S$62:S$218, MATCH($A$3&amp;$C32, Workings_risks!$E$62:$E$218,0))</f>
        <v>418200.64784543106</v>
      </c>
      <c r="U32" s="32">
        <f>INDEX(Workings_risks!T$62:T$218, MATCH($A$3&amp;$C32, Workings_risks!$E$62:$E$218,0))</f>
        <v>462887.86558799591</v>
      </c>
      <c r="V32" s="32">
        <f>INDEX(Workings_risks!U$62:U$218, MATCH($A$3&amp;$C32, Workings_risks!$E$62:$E$218,0))</f>
        <v>508879.03236955183</v>
      </c>
      <c r="W32" s="32">
        <f>INDEX(Workings_risks!V$62:V$218, MATCH($A$3&amp;$C32, Workings_risks!$E$62:$E$218,0))</f>
        <v>552596.32789952564</v>
      </c>
      <c r="X32" s="32">
        <f>INDEX(Workings_risks!W$62:W$218, MATCH($A$3&amp;$C32, Workings_risks!$E$62:$E$218,0))</f>
        <v>594717.54926415032</v>
      </c>
      <c r="Y32" s="32">
        <f>INDEX(Workings_risks!X$62:X$218, MATCH($A$3&amp;$C32, Workings_risks!$E$62:$E$218,0))</f>
        <v>635962.60698274348</v>
      </c>
      <c r="Z32" s="32">
        <f>INDEX(Workings_risks!Y$62:Y$218, MATCH($A$3&amp;$C32, Workings_risks!$E$62:$E$218,0))</f>
        <v>674786.6855091966</v>
      </c>
      <c r="AA32" s="32">
        <f>INDEX(Workings_risks!Z$62:Z$218, MATCH($A$3&amp;$C32, Workings_risks!$E$62:$E$218,0))</f>
        <v>710332.23341959459</v>
      </c>
      <c r="AB32" s="32">
        <f>INDEX(Workings_risks!AA$62:AA$218, MATCH($A$3&amp;$C32, Workings_risks!$E$62:$E$218,0))</f>
        <v>741337.0025997858</v>
      </c>
      <c r="AC32" s="32">
        <f>INDEX(Workings_risks!AB$62:AB$218, MATCH($A$3&amp;$C32, Workings_risks!$E$62:$E$218,0))</f>
        <v>772608.19558417483</v>
      </c>
      <c r="AD32" s="32">
        <f>INDEX(Workings_risks!AC$62:AC$218, MATCH($A$3&amp;$C32, Workings_risks!$E$62:$E$218,0))</f>
        <v>804519.43238080165</v>
      </c>
      <c r="AE32" s="32">
        <f>INDEX(Workings_risks!AD$62:AD$218, MATCH($A$3&amp;$C32, Workings_risks!$E$62:$E$218,0))</f>
        <v>836515.33765466069</v>
      </c>
      <c r="AF32" s="32">
        <f>INDEX(Workings_risks!AE$62:AE$218, MATCH($A$3&amp;$C32, Workings_risks!$E$62:$E$218,0))</f>
        <v>869185.05491180415</v>
      </c>
      <c r="AG32" s="32">
        <f>INDEX(Workings_risks!AF$62:AF$218, MATCH($A$3&amp;$C32, Workings_risks!$E$62:$E$218,0))</f>
        <v>902009.34410727234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INDEX(Workings_risks!H$62:H$218, MATCH($A$3&amp;$C33, Workings_risks!$E$62:$E$218,0))</f>
        <v>400238.05280161236</v>
      </c>
      <c r="J33" s="32">
        <f>INDEX(Workings_risks!I$62:I$218, MATCH($A$3&amp;$C33, Workings_risks!$E$62:$E$218,0))</f>
        <v>440399.61309134553</v>
      </c>
      <c r="K33" s="32">
        <f>INDEX(Workings_risks!J$62:J$218, MATCH($A$3&amp;$C33, Workings_risks!$E$62:$E$218,0))</f>
        <v>487458.51882416045</v>
      </c>
      <c r="L33" s="32">
        <f>INDEX(Workings_risks!K$62:K$218, MATCH($A$3&amp;$C33, Workings_risks!$E$62:$E$218,0))</f>
        <v>541516.56551929365</v>
      </c>
      <c r="M33" s="32">
        <f>INDEX(Workings_risks!L$62:L$218, MATCH($A$3&amp;$C33, Workings_risks!$E$62:$E$218,0))</f>
        <v>603544.88634206145</v>
      </c>
      <c r="N33" s="32">
        <f>INDEX(Workings_risks!M$62:M$218, MATCH($A$3&amp;$C33, Workings_risks!$E$62:$E$218,0))</f>
        <v>675413.73332075228</v>
      </c>
      <c r="O33" s="32">
        <f>INDEX(Workings_risks!N$62:N$218, MATCH($A$3&amp;$C33, Workings_risks!$E$62:$E$218,0))</f>
        <v>757525.51133791241</v>
      </c>
      <c r="P33" s="32">
        <f>INDEX(Workings_risks!O$62:O$218, MATCH($A$3&amp;$C33, Workings_risks!$E$62:$E$218,0))</f>
        <v>851522.11976425606</v>
      </c>
      <c r="Q33" s="32">
        <f>INDEX(Workings_risks!P$62:P$218, MATCH($A$3&amp;$C33, Workings_risks!$E$62:$E$218,0))</f>
        <v>954630.53422810044</v>
      </c>
      <c r="R33" s="32">
        <f>INDEX(Workings_risks!Q$62:Q$218, MATCH($A$3&amp;$C33, Workings_risks!$E$62:$E$218,0))</f>
        <v>1064372.1448129534</v>
      </c>
      <c r="S33" s="32">
        <f>INDEX(Workings_risks!R$62:R$218, MATCH($A$3&amp;$C33, Workings_risks!$E$62:$E$218,0))</f>
        <v>1180093.6277259008</v>
      </c>
      <c r="T33" s="32">
        <f>INDEX(Workings_risks!S$62:S$218, MATCH($A$3&amp;$C33, Workings_risks!$E$62:$E$218,0))</f>
        <v>1308285.734853426</v>
      </c>
      <c r="U33" s="32">
        <f>INDEX(Workings_risks!T$62:T$218, MATCH($A$3&amp;$C33, Workings_risks!$E$62:$E$218,0))</f>
        <v>1447711.3885759581</v>
      </c>
      <c r="V33" s="32">
        <f>INDEX(Workings_risks!U$62:U$218, MATCH($A$3&amp;$C33, Workings_risks!$E$62:$E$218,0))</f>
        <v>1591217.7165717145</v>
      </c>
      <c r="W33" s="32">
        <f>INDEX(Workings_risks!V$62:V$218, MATCH($A$3&amp;$C33, Workings_risks!$E$62:$E$218,0))</f>
        <v>1727491.3938408983</v>
      </c>
      <c r="X33" s="32">
        <f>INDEX(Workings_risks!W$62:W$218, MATCH($A$3&amp;$C33, Workings_risks!$E$62:$E$218,0))</f>
        <v>1858766.6614082644</v>
      </c>
      <c r="Y33" s="32">
        <f>INDEX(Workings_risks!X$62:X$218, MATCH($A$3&amp;$C33, Workings_risks!$E$62:$E$218,0))</f>
        <v>1987302.7752655097</v>
      </c>
      <c r="Z33" s="32">
        <f>INDEX(Workings_risks!Y$62:Y$218, MATCH($A$3&amp;$C33, Workings_risks!$E$62:$E$218,0))</f>
        <v>2108294.1486302079</v>
      </c>
      <c r="AA33" s="32">
        <f>INDEX(Workings_risks!Z$62:Z$218, MATCH($A$3&amp;$C33, Workings_risks!$E$62:$E$218,0))</f>
        <v>2219068.3079125565</v>
      </c>
      <c r="AB33" s="32">
        <f>INDEX(Workings_risks!AA$62:AA$218, MATCH($A$3&amp;$C33, Workings_risks!$E$62:$E$218,0))</f>
        <v>2315691.5826004748</v>
      </c>
      <c r="AC33" s="32">
        <f>INDEX(Workings_risks!AB$62:AB$218, MATCH($A$3&amp;$C33, Workings_risks!$E$62:$E$218,0))</f>
        <v>2413145.140535038</v>
      </c>
      <c r="AD33" s="32">
        <f>INDEX(Workings_risks!AC$62:AC$218, MATCH($A$3&amp;$C33, Workings_risks!$E$62:$E$218,0))</f>
        <v>2512593.3312540846</v>
      </c>
      <c r="AE33" s="32">
        <f>INDEX(Workings_risks!AD$62:AD$218, MATCH($A$3&amp;$C33, Workings_risks!$E$62:$E$218,0))</f>
        <v>2612305.382848388</v>
      </c>
      <c r="AF33" s="32">
        <f>INDEX(Workings_risks!AE$62:AE$218, MATCH($A$3&amp;$C33, Workings_risks!$E$62:$E$218,0))</f>
        <v>2714117.302368511</v>
      </c>
      <c r="AG33" s="32">
        <f>INDEX(Workings_risks!AF$62:AF$218, MATCH($A$3&amp;$C33, Workings_risks!$E$62:$E$218,0))</f>
        <v>2816410.929937127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7500452.4926190889</v>
      </c>
      <c r="J36" s="108">
        <f t="shared" ref="J36:AG36" si="3">SUM(J28:J34)</f>
        <v>8128062.2484359816</v>
      </c>
      <c r="K36" s="108">
        <f t="shared" si="3"/>
        <v>8974952.4835058227</v>
      </c>
      <c r="L36" s="108">
        <f t="shared" si="3"/>
        <v>9944491.2399107516</v>
      </c>
      <c r="M36" s="108">
        <f t="shared" si="3"/>
        <v>11052904.376151677</v>
      </c>
      <c r="N36" s="108">
        <f t="shared" si="3"/>
        <v>12530575.305260874</v>
      </c>
      <c r="O36" s="108">
        <f t="shared" si="3"/>
        <v>14046628.643350152</v>
      </c>
      <c r="P36" s="108">
        <f t="shared" si="3"/>
        <v>15781256.673923826</v>
      </c>
      <c r="Q36" s="108">
        <f t="shared" si="3"/>
        <v>17699003.058426142</v>
      </c>
      <c r="R36" s="108">
        <f t="shared" si="3"/>
        <v>19751242.416179057</v>
      </c>
      <c r="S36" s="108">
        <f t="shared" si="3"/>
        <v>21919098.792106993</v>
      </c>
      <c r="T36" s="108">
        <f t="shared" si="3"/>
        <v>24320459.958692126</v>
      </c>
      <c r="U36" s="108">
        <f t="shared" si="3"/>
        <v>26931970.965861045</v>
      </c>
      <c r="V36" s="108">
        <f t="shared" si="3"/>
        <v>29619263.888173942</v>
      </c>
      <c r="W36" s="108">
        <f t="shared" si="3"/>
        <v>32178390.882157389</v>
      </c>
      <c r="X36" s="108">
        <f t="shared" si="3"/>
        <v>34644879.339707553</v>
      </c>
      <c r="Y36" s="108">
        <f t="shared" si="3"/>
        <v>37060352.687584162</v>
      </c>
      <c r="Z36" s="108">
        <f t="shared" si="3"/>
        <v>39334043.939911872</v>
      </c>
      <c r="AA36" s="108">
        <f t="shared" si="3"/>
        <v>41415731.501098938</v>
      </c>
      <c r="AB36" s="108">
        <f t="shared" si="3"/>
        <v>43231493.140294246</v>
      </c>
      <c r="AC36" s="108">
        <f t="shared" si="3"/>
        <v>45062857.608867824</v>
      </c>
      <c r="AD36" s="108">
        <f t="shared" si="3"/>
        <v>46931705.568929814</v>
      </c>
      <c r="AE36" s="108">
        <f t="shared" si="3"/>
        <v>48805512.049150869</v>
      </c>
      <c r="AF36" s="108">
        <f t="shared" si="3"/>
        <v>50718779.618218221</v>
      </c>
      <c r="AG36" s="108">
        <f t="shared" si="3"/>
        <v>52641099.529990479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20891.667684646323</v>
      </c>
      <c r="J64" s="135">
        <f>(1-INDEX(Data!$C$9:$C$13, MATCH($A$3, options,0)))*('Option1 (base case)'!J36-J36)</f>
        <v>156146.92866145726</v>
      </c>
      <c r="K64" s="135">
        <f>(1-INDEX(Data!$C$9:$C$13, MATCH($A$3, options,0)))*('Option1 (base case)'!K36-K36)</f>
        <v>195464.00980966911</v>
      </c>
      <c r="L64" s="135">
        <f>(1-INDEX(Data!$C$9:$C$13, MATCH($A$3, options,0)))*('Option1 (base case)'!L36-L36)</f>
        <v>244086.71039972082</v>
      </c>
      <c r="M64" s="135">
        <f>(1-INDEX(Data!$C$9:$C$13, MATCH($A$3, options,0)))*('Option1 (base case)'!M36-M36)</f>
        <v>304133.86745416746</v>
      </c>
      <c r="N64" s="135">
        <f>(1-INDEX(Data!$C$9:$C$13, MATCH($A$3, options,0)))*('Option1 (base case)'!N36-N36)</f>
        <v>169534.89957282506</v>
      </c>
      <c r="O64" s="135">
        <f>(1-INDEX(Data!$C$9:$C$13, MATCH($A$3, options,0)))*('Option1 (base case)'!O36-O36)</f>
        <v>197806.65831831843</v>
      </c>
      <c r="P64" s="135">
        <f>(1-INDEX(Data!$C$9:$C$13, MATCH($A$3, options,0)))*('Option1 (base case)'!P36-P36)</f>
        <v>231068.38123641536</v>
      </c>
      <c r="Q64" s="135">
        <f>(1-INDEX(Data!$C$9:$C$13, MATCH($A$3, options,0)))*('Option1 (base case)'!Q36-Q36)</f>
        <v>251897.0360955894</v>
      </c>
      <c r="R64" s="135">
        <f>(1-INDEX(Data!$C$9:$C$13, MATCH($A$3, options,0)))*('Option1 (base case)'!R36-R36)</f>
        <v>262430.49853212014</v>
      </c>
      <c r="S64" s="135">
        <f>(1-INDEX(Data!$C$9:$C$13, MATCH($A$3, options,0)))*('Option1 (base case)'!S36-S36)</f>
        <v>269564.52654090896</v>
      </c>
      <c r="T64" s="135">
        <f>(1-INDEX(Data!$C$9:$C$13, MATCH($A$3, options,0)))*('Option1 (base case)'!T36-T36)</f>
        <v>277585.01202810556</v>
      </c>
      <c r="U64" s="135">
        <f>(1-INDEX(Data!$C$9:$C$13, MATCH($A$3, options,0)))*('Option1 (base case)'!U36-U36)</f>
        <v>286604.73317889869</v>
      </c>
      <c r="V64" s="135">
        <f>(1-INDEX(Data!$C$9:$C$13, MATCH($A$3, options,0)))*('Option1 (base case)'!V36-V36)</f>
        <v>296571.3469475843</v>
      </c>
      <c r="W64" s="135">
        <f>(1-INDEX(Data!$C$9:$C$13, MATCH($A$3, options,0)))*('Option1 (base case)'!W36-W36)</f>
        <v>298421.84508137405</v>
      </c>
      <c r="X64" s="135">
        <f>(1-INDEX(Data!$C$9:$C$13, MATCH($A$3, options,0)))*('Option1 (base case)'!X36-X36)</f>
        <v>298907.22843983769</v>
      </c>
      <c r="Y64" s="135">
        <f>(1-INDEX(Data!$C$9:$C$13, MATCH($A$3, options,0)))*('Option1 (base case)'!Y36-Y36)</f>
        <v>298907.22843984514</v>
      </c>
      <c r="Z64" s="135">
        <f>(1-INDEX(Data!$C$9:$C$13, MATCH($A$3, options,0)))*('Option1 (base case)'!Z36-Z36)</f>
        <v>298907.22843983024</v>
      </c>
      <c r="AA64" s="135">
        <f>(1-INDEX(Data!$C$9:$C$13, MATCH($A$3, options,0)))*('Option1 (base case)'!AA36-AA36)</f>
        <v>298907.22843983769</v>
      </c>
      <c r="AB64" s="135">
        <f>(1-INDEX(Data!$C$9:$C$13, MATCH($A$3, options,0)))*('Option1 (base case)'!AB36-AB36)</f>
        <v>298907.22843984514</v>
      </c>
      <c r="AC64" s="135">
        <f>(1-INDEX(Data!$C$9:$C$13, MATCH($A$3, options,0)))*('Option1 (base case)'!AC36-AC36)</f>
        <v>298907.22843984514</v>
      </c>
      <c r="AD64" s="135">
        <f>(1-INDEX(Data!$C$9:$C$13, MATCH($A$3, options,0)))*('Option1 (base case)'!AD36-AD36)</f>
        <v>298907.22843983769</v>
      </c>
      <c r="AE64" s="135">
        <f>(1-INDEX(Data!$C$9:$C$13, MATCH($A$3, options,0)))*('Option1 (base case)'!AE36-AE36)</f>
        <v>298907.22843984514</v>
      </c>
      <c r="AF64" s="135">
        <f>(1-INDEX(Data!$C$9:$C$13, MATCH($A$3, options,0)))*('Option1 (base case)'!AF36-AF36)</f>
        <v>298907.22843983769</v>
      </c>
      <c r="AG64" s="135">
        <f>(1-INDEX(Data!$C$9:$C$13, MATCH($A$3, options,0)))*('Option1 (base case)'!AG36-AG36)</f>
        <v>298907.22843983769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Cable replacement (top 5)</v>
      </c>
      <c r="D67" s="38"/>
      <c r="F67" s="97"/>
      <c r="G67" s="214">
        <f>input_dollars</f>
        <v>45291</v>
      </c>
      <c r="H67" s="31"/>
      <c r="I67" s="119">
        <f t="shared" ref="I67:AG67" si="5">-I14</f>
        <v>-765966.17600000009</v>
      </c>
      <c r="J67" s="119">
        <f t="shared" si="5"/>
        <v>-765966.17600000009</v>
      </c>
      <c r="K67" s="119">
        <f t="shared" si="5"/>
        <v>-765966.17600000009</v>
      </c>
      <c r="L67" s="119">
        <f t="shared" si="5"/>
        <v>-765966.17600000009</v>
      </c>
      <c r="M67" s="119">
        <f t="shared" si="5"/>
        <v>-765966.17600000009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Condition assessment of next 10 delta risk cable sections</v>
      </c>
      <c r="D68" s="38"/>
      <c r="F68" s="97"/>
      <c r="G68" s="214">
        <f>input_dollars</f>
        <v>45291</v>
      </c>
      <c r="H68" s="31"/>
      <c r="I68" s="119">
        <f t="shared" ref="I68:AG68" si="6">-I15</f>
        <v>-333333.33333333331</v>
      </c>
      <c r="J68" s="119">
        <f t="shared" si="6"/>
        <v>-333333.33333333331</v>
      </c>
      <c r="K68" s="119">
        <f t="shared" si="6"/>
        <v>-333333.33333333331</v>
      </c>
      <c r="L68" s="119">
        <f t="shared" si="6"/>
        <v>-333333.33333333331</v>
      </c>
      <c r="M68" s="119">
        <f t="shared" si="6"/>
        <v>-333333.33333333331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Replacement of poor condition cable sections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-346490.60000000003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Cable replacement (top 5)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-765966.17600000009</v>
      </c>
      <c r="J72" s="119" cm="1">
        <f t="array" ref="J72">SUMPRODUCT(($I67:J67))-SUMPRODUCT(($I67:J67)*($I$6:J$6&lt;=(J$6-$E14)))</f>
        <v>-1531932.3520000002</v>
      </c>
      <c r="K72" s="119" cm="1">
        <f t="array" ref="K72">SUMPRODUCT(($I67:K67))-SUMPRODUCT(($I67:K67)*($I$6:K$6&lt;=(K$6-$E14)))</f>
        <v>-2297898.5280000004</v>
      </c>
      <c r="L72" s="119" cm="1">
        <f t="array" ref="L72">SUMPRODUCT(($I67:L67))-SUMPRODUCT(($I67:L67)*($I$6:L$6&lt;=(L$6-$E14)))</f>
        <v>-3063864.7040000004</v>
      </c>
      <c r="M72" s="119" cm="1">
        <f t="array" ref="M72">SUMPRODUCT(($I67:M67))-SUMPRODUCT(($I67:M67)*($I$6:M$6&lt;=(M$6-$E14)))</f>
        <v>-3829830.8800000004</v>
      </c>
      <c r="N72" s="119" cm="1">
        <f t="array" ref="N72">SUMPRODUCT(($I67:N67))-SUMPRODUCT(($I67:N67)*($I$6:N$6&lt;=(N$6-$E14)))</f>
        <v>-3829830.8800000004</v>
      </c>
      <c r="O72" s="119" cm="1">
        <f t="array" ref="O72">SUMPRODUCT(($I67:O67))-SUMPRODUCT(($I67:O67)*($I$6:O$6&lt;=(O$6-$E14)))</f>
        <v>-3829830.8800000004</v>
      </c>
      <c r="P72" s="119" cm="1">
        <f t="array" ref="P72">SUMPRODUCT(($I67:P67))-SUMPRODUCT(($I67:P67)*($I$6:P$6&lt;=(P$6-$E14)))</f>
        <v>-3829830.8800000004</v>
      </c>
      <c r="Q72" s="119" cm="1">
        <f t="array" ref="Q72">SUMPRODUCT(($I67:Q67))-SUMPRODUCT(($I67:Q67)*($I$6:Q$6&lt;=(Q$6-$E14)))</f>
        <v>-3829830.8800000004</v>
      </c>
      <c r="R72" s="119" cm="1">
        <f t="array" ref="R72">SUMPRODUCT(($I67:R67))-SUMPRODUCT(($I67:R67)*($I$6:R$6&lt;=(R$6-$E14)))</f>
        <v>-3829830.8800000004</v>
      </c>
      <c r="S72" s="119" cm="1">
        <f t="array" ref="S72">SUMPRODUCT(($I67:S67))-SUMPRODUCT(($I67:S67)*($I$6:S$6&lt;=(S$6-$E14)))</f>
        <v>-3829830.8800000004</v>
      </c>
      <c r="T72" s="119" cm="1">
        <f t="array" ref="T72">SUMPRODUCT(($I67:T67))-SUMPRODUCT(($I67:T67)*($I$6:T$6&lt;=(T$6-$E14)))</f>
        <v>-3829830.8800000004</v>
      </c>
      <c r="U72" s="119" cm="1">
        <f t="array" ref="U72">SUMPRODUCT(($I67:U67))-SUMPRODUCT(($I67:U67)*($I$6:U$6&lt;=(U$6-$E14)))</f>
        <v>-3829830.8800000004</v>
      </c>
      <c r="V72" s="119" cm="1">
        <f t="array" ref="V72">SUMPRODUCT(($I67:V67))-SUMPRODUCT(($I67:V67)*($I$6:V$6&lt;=(V$6-$E14)))</f>
        <v>-3829830.8800000004</v>
      </c>
      <c r="W72" s="119" cm="1">
        <f t="array" ref="W72">SUMPRODUCT(($I67:W67))-SUMPRODUCT(($I67:W67)*($I$6:W$6&lt;=(W$6-$E14)))</f>
        <v>-3829830.8800000004</v>
      </c>
      <c r="X72" s="119" cm="1">
        <f t="array" ref="X72">SUMPRODUCT(($I67:X67))-SUMPRODUCT(($I67:X67)*($I$6:X$6&lt;=(X$6-$E14)))</f>
        <v>-3829830.8800000004</v>
      </c>
      <c r="Y72" s="119" cm="1">
        <f t="array" ref="Y72">SUMPRODUCT(($I67:Y67))-SUMPRODUCT(($I67:Y67)*($I$6:Y$6&lt;=(Y$6-$E14)))</f>
        <v>-3829830.8800000004</v>
      </c>
      <c r="Z72" s="119" cm="1">
        <f t="array" ref="Z72">SUMPRODUCT(($I67:Z67))-SUMPRODUCT(($I67:Z67)*($I$6:Z$6&lt;=(Z$6-$E14)))</f>
        <v>-3829830.8800000004</v>
      </c>
      <c r="AA72" s="119" cm="1">
        <f t="array" ref="AA72">SUMPRODUCT(($I67:AA67))-SUMPRODUCT(($I67:AA67)*($I$6:AA$6&lt;=(AA$6-$E14)))</f>
        <v>-3829830.8800000004</v>
      </c>
      <c r="AB72" s="119" cm="1">
        <f t="array" ref="AB72">SUMPRODUCT(($I67:AB67))-SUMPRODUCT(($I67:AB67)*($I$6:AB$6&lt;=(AB$6-$E14)))</f>
        <v>-3829830.8800000004</v>
      </c>
      <c r="AC72" s="119" cm="1">
        <f t="array" ref="AC72">SUMPRODUCT(($I67:AC67))-SUMPRODUCT(($I67:AC67)*($I$6:AC$6&lt;=(AC$6-$E14)))</f>
        <v>-3829830.8800000004</v>
      </c>
      <c r="AD72" s="119" cm="1">
        <f t="array" ref="AD72">SUMPRODUCT(($I67:AD67))-SUMPRODUCT(($I67:AD67)*($I$6:AD$6&lt;=(AD$6-$E14)))</f>
        <v>-3829830.8800000004</v>
      </c>
      <c r="AE72" s="119" cm="1">
        <f t="array" ref="AE72">SUMPRODUCT(($I67:AE67))-SUMPRODUCT(($I67:AE67)*($I$6:AE$6&lt;=(AE$6-$E14)))</f>
        <v>-3829830.8800000004</v>
      </c>
      <c r="AF72" s="119" cm="1">
        <f t="array" ref="AF72">SUMPRODUCT(($I67:AF67))-SUMPRODUCT(($I67:AF67)*($I$6:AF$6&lt;=(AF$6-$E14)))</f>
        <v>-3829830.8800000004</v>
      </c>
      <c r="AG72" s="119" cm="1">
        <f t="array" ref="AG72">SUMPRODUCT(($I67:AG67))-SUMPRODUCT(($I67:AG67)*($I$6:AG$6&lt;=(AG$6-$E14)))</f>
        <v>-3829830.8800000004</v>
      </c>
    </row>
    <row r="73" spans="1:33" x14ac:dyDescent="0.2">
      <c r="A73" s="8"/>
      <c r="B73" s="8"/>
      <c r="C73" s="4" t="str">
        <f>C15</f>
        <v>Condition assessment of next 10 delta risk cable sections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-333333.33333333331</v>
      </c>
      <c r="J73" s="119" cm="1">
        <f t="array" ref="J73">SUMPRODUCT(($I68:J68))-SUMPRODUCT(($I68:J68)*($I$6:J$6&lt;=(J$6-$E15)))</f>
        <v>-333333.33333333331</v>
      </c>
      <c r="K73" s="119" cm="1">
        <f t="array" ref="K73">SUMPRODUCT(($I68:K68))-SUMPRODUCT(($I68:K68)*($I$6:K$6&lt;=(K$6-$E15)))</f>
        <v>-333333.33333333337</v>
      </c>
      <c r="L73" s="119" cm="1">
        <f t="array" ref="L73">SUMPRODUCT(($I68:L68))-SUMPRODUCT(($I68:L68)*($I$6:L$6&lt;=(L$6-$E15)))</f>
        <v>-333333.33333333326</v>
      </c>
      <c r="M73" s="119" cm="1">
        <f t="array" ref="M73">SUMPRODUCT(($I68:M68))-SUMPRODUCT(($I68:M68)*($I$6:M$6&lt;=(M$6-$E15)))</f>
        <v>-333333.33333333326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Replacement of poor condition cable sections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-346490.60000000003</v>
      </c>
      <c r="N74" s="119" cm="1">
        <f t="array" ref="N74">SUMPRODUCT(($I69:N69))-SUMPRODUCT(($I69:N69)*($I$6:N$6&lt;=(N$6-$E16)))</f>
        <v>-346490.60000000003</v>
      </c>
      <c r="O74" s="119" cm="1">
        <f t="array" ref="O74">SUMPRODUCT(($I69:O69))-SUMPRODUCT(($I69:O69)*($I$6:O$6&lt;=(O$6-$E16)))</f>
        <v>-346490.60000000003</v>
      </c>
      <c r="P74" s="119" cm="1">
        <f t="array" ref="P74">SUMPRODUCT(($I69:P69))-SUMPRODUCT(($I69:P69)*($I$6:P$6&lt;=(P$6-$E16)))</f>
        <v>-346490.60000000003</v>
      </c>
      <c r="Q74" s="119" cm="1">
        <f t="array" ref="Q74">SUMPRODUCT(($I69:Q69))-SUMPRODUCT(($I69:Q69)*($I$6:Q$6&lt;=(Q$6-$E16)))</f>
        <v>-346490.60000000003</v>
      </c>
      <c r="R74" s="119" cm="1">
        <f t="array" ref="R74">SUMPRODUCT(($I69:R69))-SUMPRODUCT(($I69:R69)*($I$6:R$6&lt;=(R$6-$E16)))</f>
        <v>-346490.60000000003</v>
      </c>
      <c r="S74" s="119" cm="1">
        <f t="array" ref="S74">SUMPRODUCT(($I69:S69))-SUMPRODUCT(($I69:S69)*($I$6:S$6&lt;=(S$6-$E16)))</f>
        <v>-346490.60000000003</v>
      </c>
      <c r="T74" s="119" cm="1">
        <f t="array" ref="T74">SUMPRODUCT(($I69:T69))-SUMPRODUCT(($I69:T69)*($I$6:T$6&lt;=(T$6-$E16)))</f>
        <v>-346490.60000000003</v>
      </c>
      <c r="U74" s="119" cm="1">
        <f t="array" ref="U74">SUMPRODUCT(($I69:U69))-SUMPRODUCT(($I69:U69)*($I$6:U$6&lt;=(U$6-$E16)))</f>
        <v>-346490.60000000003</v>
      </c>
      <c r="V74" s="119" cm="1">
        <f t="array" ref="V74">SUMPRODUCT(($I69:V69))-SUMPRODUCT(($I69:V69)*($I$6:V$6&lt;=(V$6-$E16)))</f>
        <v>-346490.60000000003</v>
      </c>
      <c r="W74" s="119" cm="1">
        <f t="array" ref="W74">SUMPRODUCT(($I69:W69))-SUMPRODUCT(($I69:W69)*($I$6:W$6&lt;=(W$6-$E16)))</f>
        <v>-346490.60000000003</v>
      </c>
      <c r="X74" s="119" cm="1">
        <f t="array" ref="X74">SUMPRODUCT(($I69:X69))-SUMPRODUCT(($I69:X69)*($I$6:X$6&lt;=(X$6-$E16)))</f>
        <v>-346490.60000000003</v>
      </c>
      <c r="Y74" s="119" cm="1">
        <f t="array" ref="Y74">SUMPRODUCT(($I69:Y69))-SUMPRODUCT(($I69:Y69)*($I$6:Y$6&lt;=(Y$6-$E16)))</f>
        <v>-346490.60000000003</v>
      </c>
      <c r="Z74" s="119" cm="1">
        <f t="array" ref="Z74">SUMPRODUCT(($I69:Z69))-SUMPRODUCT(($I69:Z69)*($I$6:Z$6&lt;=(Z$6-$E16)))</f>
        <v>-346490.60000000003</v>
      </c>
      <c r="AA74" s="119" cm="1">
        <f t="array" ref="AA74">SUMPRODUCT(($I69:AA69))-SUMPRODUCT(($I69:AA69)*($I$6:AA$6&lt;=(AA$6-$E16)))</f>
        <v>-346490.60000000003</v>
      </c>
      <c r="AB74" s="119" cm="1">
        <f t="array" ref="AB74">SUMPRODUCT(($I69:AB69))-SUMPRODUCT(($I69:AB69)*($I$6:AB$6&lt;=(AB$6-$E16)))</f>
        <v>-346490.60000000003</v>
      </c>
      <c r="AC74" s="119" cm="1">
        <f t="array" ref="AC74">SUMPRODUCT(($I69:AC69))-SUMPRODUCT(($I69:AC69)*($I$6:AC$6&lt;=(AC$6-$E16)))</f>
        <v>-346490.60000000003</v>
      </c>
      <c r="AD74" s="119" cm="1">
        <f t="array" ref="AD74">SUMPRODUCT(($I69:AD69))-SUMPRODUCT(($I69:AD69)*($I$6:AD$6&lt;=(AD$6-$E16)))</f>
        <v>-346490.60000000003</v>
      </c>
      <c r="AE74" s="119" cm="1">
        <f t="array" ref="AE74">SUMPRODUCT(($I69:AE69))-SUMPRODUCT(($I69:AE69)*($I$6:AE$6&lt;=(AE$6-$E16)))</f>
        <v>-346490.60000000003</v>
      </c>
      <c r="AF74" s="119" cm="1">
        <f t="array" ref="AF74">SUMPRODUCT(($I69:AF69))-SUMPRODUCT(($I69:AF69)*($I$6:AF$6&lt;=(AF$6-$E16)))</f>
        <v>-346490.60000000003</v>
      </c>
      <c r="AG74" s="119" cm="1">
        <f t="array" ref="AG74">SUMPRODUCT(($I69:AG69))-SUMPRODUCT(($I69:AG69)*($I$6:AG$6&lt;=(AG$6-$E16)))</f>
        <v>-346490.60000000003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Cable replacement (top 5)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-30706.527973759872</v>
      </c>
      <c r="K77" s="119">
        <f t="shared" si="8"/>
        <v>-61413.055947519744</v>
      </c>
      <c r="L77" s="119">
        <f t="shared" si="8"/>
        <v>-92119.583921279613</v>
      </c>
      <c r="M77" s="119">
        <f t="shared" si="8"/>
        <v>-122826.11189503949</v>
      </c>
      <c r="N77" s="119">
        <f t="shared" si="8"/>
        <v>-153532.63986879936</v>
      </c>
      <c r="O77" s="119">
        <f t="shared" si="8"/>
        <v>-153532.63986879936</v>
      </c>
      <c r="P77" s="119">
        <f t="shared" si="8"/>
        <v>-153532.63986879936</v>
      </c>
      <c r="Q77" s="119">
        <f t="shared" si="8"/>
        <v>-153532.63986879936</v>
      </c>
      <c r="R77" s="119">
        <f t="shared" si="8"/>
        <v>-153532.63986879936</v>
      </c>
      <c r="S77" s="119">
        <f t="shared" si="8"/>
        <v>-153532.63986879936</v>
      </c>
      <c r="T77" s="119">
        <f t="shared" si="8"/>
        <v>-153532.63986879936</v>
      </c>
      <c r="U77" s="119">
        <f t="shared" si="8"/>
        <v>-153532.63986879936</v>
      </c>
      <c r="V77" s="119">
        <f t="shared" si="8"/>
        <v>-153532.63986879936</v>
      </c>
      <c r="W77" s="119">
        <f t="shared" si="8"/>
        <v>-153532.63986879936</v>
      </c>
      <c r="X77" s="119">
        <f t="shared" si="8"/>
        <v>-153532.63986879936</v>
      </c>
      <c r="Y77" s="119">
        <f t="shared" si="8"/>
        <v>-153532.63986879936</v>
      </c>
      <c r="Z77" s="119">
        <f t="shared" si="8"/>
        <v>-153532.63986879936</v>
      </c>
      <c r="AA77" s="119">
        <f t="shared" si="8"/>
        <v>-153532.63986879936</v>
      </c>
      <c r="AB77" s="119">
        <f t="shared" si="8"/>
        <v>-153532.63986879936</v>
      </c>
      <c r="AC77" s="119">
        <f t="shared" si="8"/>
        <v>-153532.63986879936</v>
      </c>
      <c r="AD77" s="119">
        <f t="shared" si="8"/>
        <v>-153532.63986879936</v>
      </c>
      <c r="AE77" s="119">
        <f t="shared" si="8"/>
        <v>-153532.63986879936</v>
      </c>
      <c r="AF77" s="119">
        <f t="shared" si="8"/>
        <v>-153532.63986879936</v>
      </c>
      <c r="AG77" s="119">
        <f t="shared" si="8"/>
        <v>-153532.63986879936</v>
      </c>
    </row>
    <row r="78" spans="1:33" x14ac:dyDescent="0.2">
      <c r="A78" s="8"/>
      <c r="B78" s="8"/>
      <c r="C78" s="4" t="str">
        <f>$C$76&amp;" - "&amp;C15</f>
        <v>Annualised capex - Condition assessment of next 10 delta risk cable sections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-345000.00000000006</v>
      </c>
      <c r="K78" s="119">
        <f t="shared" si="9"/>
        <v>-345000.00000000006</v>
      </c>
      <c r="L78" s="119">
        <f t="shared" si="9"/>
        <v>-345000.00000000006</v>
      </c>
      <c r="M78" s="119">
        <f t="shared" si="9"/>
        <v>-345000</v>
      </c>
      <c r="N78" s="119">
        <f t="shared" si="9"/>
        <v>-345000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Replacement of poor condition cable sections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-13890.330454415316</v>
      </c>
      <c r="O79" s="119">
        <f t="shared" si="10"/>
        <v>-13890.330454415316</v>
      </c>
      <c r="P79" s="119">
        <f t="shared" si="10"/>
        <v>-13890.330454415316</v>
      </c>
      <c r="Q79" s="119">
        <f t="shared" si="10"/>
        <v>-13890.330454415316</v>
      </c>
      <c r="R79" s="119">
        <f t="shared" si="10"/>
        <v>-13890.330454415316</v>
      </c>
      <c r="S79" s="119">
        <f t="shared" si="10"/>
        <v>-13890.330454415316</v>
      </c>
      <c r="T79" s="119">
        <f t="shared" si="10"/>
        <v>-13890.330454415316</v>
      </c>
      <c r="U79" s="119">
        <f t="shared" si="10"/>
        <v>-13890.330454415316</v>
      </c>
      <c r="V79" s="119">
        <f t="shared" si="10"/>
        <v>-13890.330454415316</v>
      </c>
      <c r="W79" s="119">
        <f t="shared" si="10"/>
        <v>-13890.330454415316</v>
      </c>
      <c r="X79" s="119">
        <f t="shared" si="10"/>
        <v>-13890.330454415316</v>
      </c>
      <c r="Y79" s="119">
        <f t="shared" si="10"/>
        <v>-13890.330454415316</v>
      </c>
      <c r="Z79" s="119">
        <f t="shared" si="10"/>
        <v>-13890.330454415316</v>
      </c>
      <c r="AA79" s="119">
        <f t="shared" si="10"/>
        <v>-13890.330454415316</v>
      </c>
      <c r="AB79" s="119">
        <f t="shared" si="10"/>
        <v>-13890.330454415316</v>
      </c>
      <c r="AC79" s="119">
        <f t="shared" si="10"/>
        <v>-13890.330454415316</v>
      </c>
      <c r="AD79" s="119">
        <f t="shared" si="10"/>
        <v>-13890.330454415316</v>
      </c>
      <c r="AE79" s="119">
        <f t="shared" si="10"/>
        <v>-13890.330454415316</v>
      </c>
      <c r="AF79" s="119">
        <f t="shared" si="10"/>
        <v>-13890.330454415316</v>
      </c>
      <c r="AG79" s="119">
        <f t="shared" si="10"/>
        <v>-13890.330454415316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-375706.52797375992</v>
      </c>
      <c r="K80" s="180">
        <f t="shared" si="11"/>
        <v>-406413.05594751978</v>
      </c>
      <c r="L80" s="180">
        <f t="shared" si="11"/>
        <v>-437119.58392127964</v>
      </c>
      <c r="M80" s="180">
        <f t="shared" si="11"/>
        <v>-467826.1118950395</v>
      </c>
      <c r="N80" s="180">
        <f t="shared" si="11"/>
        <v>-512422.97032321466</v>
      </c>
      <c r="O80" s="180">
        <f t="shared" si="11"/>
        <v>-167422.97032321469</v>
      </c>
      <c r="P80" s="180">
        <f t="shared" si="11"/>
        <v>-167422.97032321469</v>
      </c>
      <c r="Q80" s="180">
        <f t="shared" si="11"/>
        <v>-167422.97032321469</v>
      </c>
      <c r="R80" s="180">
        <f t="shared" si="11"/>
        <v>-167422.97032321469</v>
      </c>
      <c r="S80" s="180">
        <f t="shared" si="11"/>
        <v>-167422.97032321469</v>
      </c>
      <c r="T80" s="180">
        <f t="shared" si="11"/>
        <v>-167422.97032321469</v>
      </c>
      <c r="U80" s="180">
        <f t="shared" si="11"/>
        <v>-167422.97032321469</v>
      </c>
      <c r="V80" s="180">
        <f t="shared" si="11"/>
        <v>-167422.97032321469</v>
      </c>
      <c r="W80" s="180">
        <f t="shared" si="11"/>
        <v>-167422.97032321469</v>
      </c>
      <c r="X80" s="180">
        <f t="shared" si="11"/>
        <v>-167422.97032321469</v>
      </c>
      <c r="Y80" s="180">
        <f t="shared" si="11"/>
        <v>-167422.97032321469</v>
      </c>
      <c r="Z80" s="180">
        <f t="shared" si="11"/>
        <v>-167422.97032321469</v>
      </c>
      <c r="AA80" s="180">
        <f t="shared" si="11"/>
        <v>-167422.97032321469</v>
      </c>
      <c r="AB80" s="180">
        <f t="shared" si="11"/>
        <v>-167422.97032321469</v>
      </c>
      <c r="AC80" s="180">
        <f>SUM(AC77:AC79)</f>
        <v>-167422.97032321469</v>
      </c>
      <c r="AD80" s="180">
        <f>SUM(AD77:AD79)</f>
        <v>-167422.97032321469</v>
      </c>
      <c r="AE80" s="180">
        <f>SUM(AE77:AE79)</f>
        <v>-167422.97032321469</v>
      </c>
      <c r="AF80" s="180">
        <f>SUM(AF77:AF79)</f>
        <v>-167422.97032321469</v>
      </c>
      <c r="AG80" s="180">
        <f>SUM(AG77:AG79)</f>
        <v>-167422.97032321469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-375706.52797375992</v>
      </c>
      <c r="K82" s="119">
        <f t="shared" si="13"/>
        <v>-406413.05594751978</v>
      </c>
      <c r="L82" s="119">
        <f t="shared" si="13"/>
        <v>-437119.58392127964</v>
      </c>
      <c r="M82" s="119">
        <f t="shared" si="13"/>
        <v>-467826.1118950395</v>
      </c>
      <c r="N82" s="119">
        <f t="shared" si="13"/>
        <v>-512422.97032321466</v>
      </c>
      <c r="O82" s="119">
        <f t="shared" si="13"/>
        <v>-167422.97032321469</v>
      </c>
      <c r="P82" s="119">
        <f t="shared" si="13"/>
        <v>-167422.97032321469</v>
      </c>
      <c r="Q82" s="119">
        <f t="shared" si="13"/>
        <v>-167422.97032321469</v>
      </c>
      <c r="R82" s="119">
        <f t="shared" si="13"/>
        <v>-167422.97032321469</v>
      </c>
      <c r="S82" s="119">
        <f t="shared" si="13"/>
        <v>-167422.97032321469</v>
      </c>
      <c r="T82" s="119">
        <f t="shared" si="13"/>
        <v>-167422.97032321469</v>
      </c>
      <c r="U82" s="119">
        <f t="shared" si="13"/>
        <v>-167422.97032321469</v>
      </c>
      <c r="V82" s="119">
        <f t="shared" si="13"/>
        <v>-167422.97032321469</v>
      </c>
      <c r="W82" s="119">
        <f t="shared" si="13"/>
        <v>-167422.97032321469</v>
      </c>
      <c r="X82" s="119">
        <f t="shared" si="13"/>
        <v>-167422.97032321469</v>
      </c>
      <c r="Y82" s="119">
        <f t="shared" si="13"/>
        <v>-167422.97032321469</v>
      </c>
      <c r="Z82" s="119">
        <f t="shared" si="13"/>
        <v>-167422.97032321469</v>
      </c>
      <c r="AA82" s="119">
        <f t="shared" si="13"/>
        <v>-167422.97032321469</v>
      </c>
      <c r="AB82" s="119">
        <f t="shared" si="13"/>
        <v>-167422.97032321469</v>
      </c>
      <c r="AC82" s="119">
        <f>AC80</f>
        <v>-167422.97032321469</v>
      </c>
      <c r="AD82" s="119">
        <f>AD80</f>
        <v>-167422.97032321469</v>
      </c>
      <c r="AE82" s="119">
        <f>AE80</f>
        <v>-167422.97032321469</v>
      </c>
      <c r="AF82" s="119">
        <f>AF80</f>
        <v>-167422.97032321469</v>
      </c>
      <c r="AG82" s="119">
        <f>AG80</f>
        <v>-167422.97032321469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20891.667684646323</v>
      </c>
      <c r="J84" s="31">
        <f t="shared" ref="J84:AB84" si="15">J64</f>
        <v>156146.92866145726</v>
      </c>
      <c r="K84" s="31">
        <f t="shared" si="15"/>
        <v>195464.00980966911</v>
      </c>
      <c r="L84" s="31">
        <f t="shared" si="15"/>
        <v>244086.71039972082</v>
      </c>
      <c r="M84" s="31">
        <f t="shared" si="15"/>
        <v>304133.86745416746</v>
      </c>
      <c r="N84" s="31">
        <f t="shared" si="15"/>
        <v>169534.89957282506</v>
      </c>
      <c r="O84" s="31">
        <f t="shared" si="15"/>
        <v>197806.65831831843</v>
      </c>
      <c r="P84" s="31">
        <f t="shared" si="15"/>
        <v>231068.38123641536</v>
      </c>
      <c r="Q84" s="31">
        <f t="shared" si="15"/>
        <v>251897.0360955894</v>
      </c>
      <c r="R84" s="31">
        <f t="shared" si="15"/>
        <v>262430.49853212014</v>
      </c>
      <c r="S84" s="31">
        <f t="shared" si="15"/>
        <v>269564.52654090896</v>
      </c>
      <c r="T84" s="31">
        <f t="shared" si="15"/>
        <v>277585.01202810556</v>
      </c>
      <c r="U84" s="31">
        <f t="shared" si="15"/>
        <v>286604.73317889869</v>
      </c>
      <c r="V84" s="31">
        <f t="shared" si="15"/>
        <v>296571.3469475843</v>
      </c>
      <c r="W84" s="31">
        <f t="shared" si="15"/>
        <v>298421.84508137405</v>
      </c>
      <c r="X84" s="31">
        <f t="shared" si="15"/>
        <v>298907.22843983769</v>
      </c>
      <c r="Y84" s="31">
        <f t="shared" si="15"/>
        <v>298907.22843984514</v>
      </c>
      <c r="Z84" s="31">
        <f t="shared" si="15"/>
        <v>298907.22843983024</v>
      </c>
      <c r="AA84" s="31">
        <f t="shared" si="15"/>
        <v>298907.22843983769</v>
      </c>
      <c r="AB84" s="31">
        <f t="shared" si="15"/>
        <v>298907.22843984514</v>
      </c>
      <c r="AC84" s="31">
        <f>AC64</f>
        <v>298907.22843984514</v>
      </c>
      <c r="AD84" s="31">
        <f>AD64</f>
        <v>298907.22843983769</v>
      </c>
      <c r="AE84" s="31">
        <f>AE64</f>
        <v>298907.22843984514</v>
      </c>
      <c r="AF84" s="31">
        <f>AF64</f>
        <v>298907.22843983769</v>
      </c>
      <c r="AG84" s="31">
        <f>AG64</f>
        <v>298907.22843983769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20891.667684646323</v>
      </c>
      <c r="J87" s="183">
        <f t="shared" si="17"/>
        <v>-219559.59931230266</v>
      </c>
      <c r="K87" s="183">
        <f t="shared" si="17"/>
        <v>-210949.04613785067</v>
      </c>
      <c r="L87" s="183">
        <f t="shared" si="17"/>
        <v>-193032.87352155882</v>
      </c>
      <c r="M87" s="183">
        <f t="shared" si="17"/>
        <v>-163692.24444087205</v>
      </c>
      <c r="N87" s="183">
        <f t="shared" si="17"/>
        <v>-342888.0707503896</v>
      </c>
      <c r="O87" s="183">
        <f t="shared" si="17"/>
        <v>30383.687995103741</v>
      </c>
      <c r="P87" s="183">
        <f t="shared" si="17"/>
        <v>63645.410913200671</v>
      </c>
      <c r="Q87" s="183">
        <f t="shared" si="17"/>
        <v>84474.065772374714</v>
      </c>
      <c r="R87" s="183">
        <f t="shared" si="17"/>
        <v>95007.528208905453</v>
      </c>
      <c r="S87" s="183">
        <f t="shared" si="17"/>
        <v>102141.55621769428</v>
      </c>
      <c r="T87" s="183">
        <f t="shared" si="17"/>
        <v>110162.04170489087</v>
      </c>
      <c r="U87" s="183">
        <f t="shared" si="17"/>
        <v>119181.76285568401</v>
      </c>
      <c r="V87" s="183">
        <f t="shared" si="17"/>
        <v>129148.37662436962</v>
      </c>
      <c r="W87" s="183">
        <f t="shared" si="17"/>
        <v>130998.87475815936</v>
      </c>
      <c r="X87" s="183">
        <f t="shared" si="17"/>
        <v>131484.25811662301</v>
      </c>
      <c r="Y87" s="183">
        <f t="shared" si="17"/>
        <v>131484.25811663046</v>
      </c>
      <c r="Z87" s="183">
        <f t="shared" si="17"/>
        <v>131484.25811661556</v>
      </c>
      <c r="AA87" s="183">
        <f t="shared" si="17"/>
        <v>131484.25811662301</v>
      </c>
      <c r="AB87" s="183">
        <f t="shared" si="17"/>
        <v>131484.25811663046</v>
      </c>
      <c r="AC87" s="183">
        <f>SUM(AC82:AC86)</f>
        <v>131484.25811663046</v>
      </c>
      <c r="AD87" s="183">
        <f>SUM(AD82:AD86)</f>
        <v>131484.25811662301</v>
      </c>
      <c r="AE87" s="183">
        <f>SUM(AE82:AE86)</f>
        <v>131484.25811663046</v>
      </c>
      <c r="AF87" s="183">
        <f>SUM(AF82:AF86)</f>
        <v>131484.25811662301</v>
      </c>
      <c r="AG87" s="183">
        <f>SUM(AG82:AG86)</f>
        <v>131484.25811662301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20891.667684646323</v>
      </c>
      <c r="J106" s="31">
        <f t="shared" ref="J106:AG106" si="18">J87</f>
        <v>-219559.59931230266</v>
      </c>
      <c r="K106" s="31">
        <f t="shared" si="18"/>
        <v>-210949.04613785067</v>
      </c>
      <c r="L106" s="31">
        <f t="shared" si="18"/>
        <v>-193032.87352155882</v>
      </c>
      <c r="M106" s="31">
        <f t="shared" si="18"/>
        <v>-163692.24444087205</v>
      </c>
      <c r="N106" s="31">
        <f t="shared" si="18"/>
        <v>-342888.0707503896</v>
      </c>
      <c r="O106" s="31">
        <f t="shared" si="18"/>
        <v>30383.687995103741</v>
      </c>
      <c r="P106" s="31">
        <f t="shared" si="18"/>
        <v>63645.410913200671</v>
      </c>
      <c r="Q106" s="31">
        <f t="shared" si="18"/>
        <v>84474.065772374714</v>
      </c>
      <c r="R106" s="31">
        <f t="shared" si="18"/>
        <v>95007.528208905453</v>
      </c>
      <c r="S106" s="31">
        <f t="shared" si="18"/>
        <v>102141.55621769428</v>
      </c>
      <c r="T106" s="31">
        <f t="shared" si="18"/>
        <v>110162.04170489087</v>
      </c>
      <c r="U106" s="31">
        <f t="shared" si="18"/>
        <v>119181.76285568401</v>
      </c>
      <c r="V106" s="31">
        <f t="shared" si="18"/>
        <v>129148.37662436962</v>
      </c>
      <c r="W106" s="31">
        <f t="shared" si="18"/>
        <v>130998.87475815936</v>
      </c>
      <c r="X106" s="31">
        <f t="shared" si="18"/>
        <v>131484.25811662301</v>
      </c>
      <c r="Y106" s="31">
        <f t="shared" si="18"/>
        <v>131484.25811663046</v>
      </c>
      <c r="Z106" s="31">
        <f t="shared" si="18"/>
        <v>131484.25811661556</v>
      </c>
      <c r="AA106" s="31">
        <f t="shared" si="18"/>
        <v>131484.25811662301</v>
      </c>
      <c r="AB106" s="31">
        <f t="shared" si="18"/>
        <v>131484.25811663046</v>
      </c>
      <c r="AC106" s="31">
        <f t="shared" si="18"/>
        <v>131484.25811663046</v>
      </c>
      <c r="AD106" s="31">
        <f t="shared" si="18"/>
        <v>131484.25811662301</v>
      </c>
      <c r="AE106" s="31">
        <f t="shared" si="18"/>
        <v>131484.25811663046</v>
      </c>
      <c r="AF106" s="31">
        <f t="shared" si="18"/>
        <v>131484.25811662301</v>
      </c>
      <c r="AG106" s="31">
        <f t="shared" si="18"/>
        <v>131484.25811662301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-375706.52797375992</v>
      </c>
      <c r="K107" s="31">
        <f t="shared" si="19"/>
        <v>-406413.05594751978</v>
      </c>
      <c r="L107" s="31">
        <f t="shared" si="19"/>
        <v>-437119.58392127964</v>
      </c>
      <c r="M107" s="31">
        <f t="shared" si="19"/>
        <v>-467826.1118950395</v>
      </c>
      <c r="N107" s="31">
        <f t="shared" si="19"/>
        <v>-512422.97032321466</v>
      </c>
      <c r="O107" s="31">
        <f t="shared" si="19"/>
        <v>-167422.97032321469</v>
      </c>
      <c r="P107" s="31">
        <f t="shared" si="19"/>
        <v>-167422.97032321469</v>
      </c>
      <c r="Q107" s="31">
        <f t="shared" si="19"/>
        <v>-167422.97032321469</v>
      </c>
      <c r="R107" s="31">
        <f t="shared" si="19"/>
        <v>-167422.97032321469</v>
      </c>
      <c r="S107" s="31">
        <f t="shared" si="19"/>
        <v>-167422.97032321469</v>
      </c>
      <c r="T107" s="31">
        <f t="shared" si="19"/>
        <v>-167422.97032321469</v>
      </c>
      <c r="U107" s="31">
        <f t="shared" si="19"/>
        <v>-167422.97032321469</v>
      </c>
      <c r="V107" s="31">
        <f t="shared" si="19"/>
        <v>-167422.97032321469</v>
      </c>
      <c r="W107" s="31">
        <f t="shared" si="19"/>
        <v>-167422.97032321469</v>
      </c>
      <c r="X107" s="31">
        <f t="shared" si="19"/>
        <v>-167422.97032321469</v>
      </c>
      <c r="Y107" s="31">
        <f t="shared" si="19"/>
        <v>-167422.97032321469</v>
      </c>
      <c r="Z107" s="31">
        <f t="shared" si="19"/>
        <v>-167422.97032321469</v>
      </c>
      <c r="AA107" s="31">
        <f t="shared" si="19"/>
        <v>-167422.97032321469</v>
      </c>
      <c r="AB107" s="31">
        <f t="shared" si="19"/>
        <v>-167422.97032321469</v>
      </c>
      <c r="AC107" s="31">
        <f t="shared" si="19"/>
        <v>-167422.97032321469</v>
      </c>
      <c r="AD107" s="31">
        <f t="shared" si="19"/>
        <v>-167422.97032321469</v>
      </c>
      <c r="AE107" s="31">
        <f t="shared" si="19"/>
        <v>-167422.97032321469</v>
      </c>
      <c r="AF107" s="31">
        <f t="shared" si="19"/>
        <v>-167422.97032321469</v>
      </c>
      <c r="AG107" s="31">
        <f t="shared" si="19"/>
        <v>-167422.97032321469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20891.667684646323</v>
      </c>
      <c r="J108" s="31">
        <f t="shared" ref="J108:AG108" si="20">SUM(J84:J85)</f>
        <v>156146.92866145726</v>
      </c>
      <c r="K108" s="31">
        <f t="shared" si="20"/>
        <v>195464.00980966911</v>
      </c>
      <c r="L108" s="31">
        <f t="shared" si="20"/>
        <v>244086.71039972082</v>
      </c>
      <c r="M108" s="31">
        <f t="shared" si="20"/>
        <v>304133.86745416746</v>
      </c>
      <c r="N108" s="31">
        <f t="shared" si="20"/>
        <v>169534.89957282506</v>
      </c>
      <c r="O108" s="31">
        <f t="shared" si="20"/>
        <v>197806.65831831843</v>
      </c>
      <c r="P108" s="31">
        <f t="shared" si="20"/>
        <v>231068.38123641536</v>
      </c>
      <c r="Q108" s="31">
        <f t="shared" si="20"/>
        <v>251897.0360955894</v>
      </c>
      <c r="R108" s="31">
        <f t="shared" si="20"/>
        <v>262430.49853212014</v>
      </c>
      <c r="S108" s="31">
        <f t="shared" si="20"/>
        <v>269564.52654090896</v>
      </c>
      <c r="T108" s="31">
        <f t="shared" si="20"/>
        <v>277585.01202810556</v>
      </c>
      <c r="U108" s="31">
        <f t="shared" si="20"/>
        <v>286604.73317889869</v>
      </c>
      <c r="V108" s="31">
        <f t="shared" si="20"/>
        <v>296571.3469475843</v>
      </c>
      <c r="W108" s="31">
        <f t="shared" si="20"/>
        <v>298421.84508137405</v>
      </c>
      <c r="X108" s="31">
        <f t="shared" si="20"/>
        <v>298907.22843983769</v>
      </c>
      <c r="Y108" s="31">
        <f t="shared" si="20"/>
        <v>298907.22843984514</v>
      </c>
      <c r="Z108" s="31">
        <f t="shared" si="20"/>
        <v>298907.22843983024</v>
      </c>
      <c r="AA108" s="31">
        <f t="shared" si="20"/>
        <v>298907.22843983769</v>
      </c>
      <c r="AB108" s="31">
        <f t="shared" si="20"/>
        <v>298907.22843984514</v>
      </c>
      <c r="AC108" s="31">
        <f t="shared" si="20"/>
        <v>298907.22843984514</v>
      </c>
      <c r="AD108" s="31">
        <f t="shared" si="20"/>
        <v>298907.22843983769</v>
      </c>
      <c r="AE108" s="31">
        <f t="shared" si="20"/>
        <v>298907.22843984514</v>
      </c>
      <c r="AF108" s="31">
        <f t="shared" si="20"/>
        <v>298907.22843983769</v>
      </c>
      <c r="AG108" s="31">
        <f t="shared" si="20"/>
        <v>298907.22843983769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20891.667684646323</v>
      </c>
      <c r="J110" s="31" cm="1">
        <f t="array" ref="J110">J$106+IF($C110&lt;&gt;0,SUMPRODUCT((J$107:J$108)*TRANSPOSE(($D110:$E110))),0)</f>
        <v>-257130.25210967864</v>
      </c>
      <c r="K110" s="31" cm="1">
        <f t="array" ref="K110">K$106+IF($C110&lt;&gt;0,SUMPRODUCT((K$107:K$108)*TRANSPOSE(($D110:$E110))),0)</f>
        <v>-251590.35173260266</v>
      </c>
      <c r="L110" s="31" cm="1">
        <f t="array" ref="L110">L$106+IF($C110&lt;&gt;0,SUMPRODUCT((L$107:L$108)*TRANSPOSE(($D110:$E110))),0)</f>
        <v>-236744.83191368679</v>
      </c>
      <c r="M110" s="31" cm="1">
        <f t="array" ref="M110">M$106+IF($C110&lt;&gt;0,SUMPRODUCT((M$107:M$108)*TRANSPOSE(($D110:$E110))),0)</f>
        <v>-210474.855630376</v>
      </c>
      <c r="N110" s="31" cm="1">
        <f t="array" ref="N110">N$106+IF($C110&lt;&gt;0,SUMPRODUCT((N$107:N$108)*TRANSPOSE(($D110:$E110))),0)</f>
        <v>-394130.36778271105</v>
      </c>
      <c r="O110" s="31" cm="1">
        <f t="array" ref="O110">O$106+IF($C110&lt;&gt;0,SUMPRODUCT((O$107:O$108)*TRANSPOSE(($D110:$E110))),0)</f>
        <v>13641.390962782272</v>
      </c>
      <c r="P110" s="31" cm="1">
        <f t="array" ref="P110">P$106+IF($C110&lt;&gt;0,SUMPRODUCT((P$107:P$108)*TRANSPOSE(($D110:$E110))),0)</f>
        <v>46903.113880879202</v>
      </c>
      <c r="Q110" s="31" cm="1">
        <f t="array" ref="Q110">Q$106+IF($C110&lt;&gt;0,SUMPRODUCT((Q$107:Q$108)*TRANSPOSE(($D110:$E110))),0)</f>
        <v>67731.768740053245</v>
      </c>
      <c r="R110" s="31" cm="1">
        <f t="array" ref="R110">R$106+IF($C110&lt;&gt;0,SUMPRODUCT((R$107:R$108)*TRANSPOSE(($D110:$E110))),0)</f>
        <v>78265.231176583984</v>
      </c>
      <c r="S110" s="31" cm="1">
        <f t="array" ref="S110">S$106+IF($C110&lt;&gt;0,SUMPRODUCT((S$107:S$108)*TRANSPOSE(($D110:$E110))),0)</f>
        <v>85399.259185372808</v>
      </c>
      <c r="T110" s="31" cm="1">
        <f t="array" ref="T110">T$106+IF($C110&lt;&gt;0,SUMPRODUCT((T$107:T$108)*TRANSPOSE(($D110:$E110))),0)</f>
        <v>93419.744672569403</v>
      </c>
      <c r="U110" s="31" cm="1">
        <f t="array" ref="U110">U$106+IF($C110&lt;&gt;0,SUMPRODUCT((U$107:U$108)*TRANSPOSE(($D110:$E110))),0)</f>
        <v>102439.46582336254</v>
      </c>
      <c r="V110" s="31" cm="1">
        <f t="array" ref="V110">V$106+IF($C110&lt;&gt;0,SUMPRODUCT((V$107:V$108)*TRANSPOSE(($D110:$E110))),0)</f>
        <v>112406.07959204815</v>
      </c>
      <c r="W110" s="31" cm="1">
        <f t="array" ref="W110">W$106+IF($C110&lt;&gt;0,SUMPRODUCT((W$107:W$108)*TRANSPOSE(($D110:$E110))),0)</f>
        <v>114256.57772583789</v>
      </c>
      <c r="X110" s="31" cm="1">
        <f t="array" ref="X110">X$106+IF($C110&lt;&gt;0,SUMPRODUCT((X$107:X$108)*TRANSPOSE(($D110:$E110))),0)</f>
        <v>114741.96108430154</v>
      </c>
      <c r="Y110" s="31" cm="1">
        <f t="array" ref="Y110">Y$106+IF($C110&lt;&gt;0,SUMPRODUCT((Y$107:Y$108)*TRANSPOSE(($D110:$E110))),0)</f>
        <v>114741.96108430899</v>
      </c>
      <c r="Z110" s="31" cm="1">
        <f t="array" ref="Z110">Z$106+IF($C110&lt;&gt;0,SUMPRODUCT((Z$107:Z$108)*TRANSPOSE(($D110:$E110))),0)</f>
        <v>114741.96108429409</v>
      </c>
      <c r="AA110" s="31" cm="1">
        <f t="array" ref="AA110">AA$106+IF($C110&lt;&gt;0,SUMPRODUCT((AA$107:AA$108)*TRANSPOSE(($D110:$E110))),0)</f>
        <v>114741.96108430154</v>
      </c>
      <c r="AB110" s="31" cm="1">
        <f t="array" ref="AB110">AB$106+IF($C110&lt;&gt;0,SUMPRODUCT((AB$107:AB$108)*TRANSPOSE(($D110:$E110))),0)</f>
        <v>114741.96108430899</v>
      </c>
      <c r="AC110" s="31" cm="1">
        <f t="array" ref="AC110">AC$106+IF($C110&lt;&gt;0,SUMPRODUCT((AC$107:AC$108)*TRANSPOSE(($D110:$E110))),0)</f>
        <v>114741.96108430899</v>
      </c>
      <c r="AD110" s="31" cm="1">
        <f t="array" ref="AD110">AD$106+IF($C110&lt;&gt;0,SUMPRODUCT((AD$107:AD$108)*TRANSPOSE(($D110:$E110))),0)</f>
        <v>114741.96108430154</v>
      </c>
      <c r="AE110" s="31" cm="1">
        <f t="array" ref="AE110">AE$106+IF($C110&lt;&gt;0,SUMPRODUCT((AE$107:AE$108)*TRANSPOSE(($D110:$E110))),0)</f>
        <v>114741.96108430899</v>
      </c>
      <c r="AF110" s="31" cm="1">
        <f t="array" ref="AF110">AF$106+IF($C110&lt;&gt;0,SUMPRODUCT((AF$107:AF$108)*TRANSPOSE(($D110:$E110))),0)</f>
        <v>114741.96108430154</v>
      </c>
      <c r="AG110" s="31" cm="1">
        <f t="array" ref="AG110">AG$106+IF($C110&lt;&gt;0,SUMPRODUCT((AG$107:AG$108)*TRANSPOSE(($D110:$E110))),0)</f>
        <v>114741.96108430154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20891.667684646323</v>
      </c>
      <c r="J111" s="31" cm="1">
        <f t="array" ref="J111">J$106+IF($C111&lt;&gt;0,SUMPRODUCT((J$107:J$108)*TRANSPOSE(($D111:$E111))),0)</f>
        <v>-181988.94651492668</v>
      </c>
      <c r="K111" s="31" cm="1">
        <f t="array" ref="K111">K$106+IF($C111&lt;&gt;0,SUMPRODUCT((K$107:K$108)*TRANSPOSE(($D111:$E111))),0)</f>
        <v>-170307.74054309868</v>
      </c>
      <c r="L111" s="31" cm="1">
        <f t="array" ref="L111">L$106+IF($C111&lt;&gt;0,SUMPRODUCT((L$107:L$108)*TRANSPOSE(($D111:$E111))),0)</f>
        <v>-149320.91512943085</v>
      </c>
      <c r="M111" s="31" cm="1">
        <f t="array" ref="M111">M$106+IF($C111&lt;&gt;0,SUMPRODUCT((M$107:M$108)*TRANSPOSE(($D111:$E111))),0)</f>
        <v>-116909.6332513681</v>
      </c>
      <c r="N111" s="31" cm="1">
        <f t="array" ref="N111">N$106+IF($C111&lt;&gt;0,SUMPRODUCT((N$107:N$108)*TRANSPOSE(($D111:$E111))),0)</f>
        <v>-291645.77371806814</v>
      </c>
      <c r="O111" s="31" cm="1">
        <f t="array" ref="O111">O$106+IF($C111&lt;&gt;0,SUMPRODUCT((O$107:O$108)*TRANSPOSE(($D111:$E111))),0)</f>
        <v>47125.985027425209</v>
      </c>
      <c r="P111" s="31" cm="1">
        <f t="array" ref="P111">P$106+IF($C111&lt;&gt;0,SUMPRODUCT((P$107:P$108)*TRANSPOSE(($D111:$E111))),0)</f>
        <v>80387.707945522139</v>
      </c>
      <c r="Q111" s="31" cm="1">
        <f t="array" ref="Q111">Q$106+IF($C111&lt;&gt;0,SUMPRODUCT((Q$107:Q$108)*TRANSPOSE(($D111:$E111))),0)</f>
        <v>101216.36280469618</v>
      </c>
      <c r="R111" s="31" cm="1">
        <f t="array" ref="R111">R$106+IF($C111&lt;&gt;0,SUMPRODUCT((R$107:R$108)*TRANSPOSE(($D111:$E111))),0)</f>
        <v>111749.82524122692</v>
      </c>
      <c r="S111" s="31" cm="1">
        <f t="array" ref="S111">S$106+IF($C111&lt;&gt;0,SUMPRODUCT((S$107:S$108)*TRANSPOSE(($D111:$E111))),0)</f>
        <v>118883.85325001575</v>
      </c>
      <c r="T111" s="31" cm="1">
        <f t="array" ref="T111">T$106+IF($C111&lt;&gt;0,SUMPRODUCT((T$107:T$108)*TRANSPOSE(($D111:$E111))),0)</f>
        <v>126904.33873721234</v>
      </c>
      <c r="U111" s="31" cm="1">
        <f t="array" ref="U111">U$106+IF($C111&lt;&gt;0,SUMPRODUCT((U$107:U$108)*TRANSPOSE(($D111:$E111))),0)</f>
        <v>135924.05988800549</v>
      </c>
      <c r="V111" s="31" cm="1">
        <f t="array" ref="V111">V$106+IF($C111&lt;&gt;0,SUMPRODUCT((V$107:V$108)*TRANSPOSE(($D111:$E111))),0)</f>
        <v>145890.6736566911</v>
      </c>
      <c r="W111" s="31" cm="1">
        <f t="array" ref="W111">W$106+IF($C111&lt;&gt;0,SUMPRODUCT((W$107:W$108)*TRANSPOSE(($D111:$E111))),0)</f>
        <v>147741.17179048085</v>
      </c>
      <c r="X111" s="31" cm="1">
        <f t="array" ref="X111">X$106+IF($C111&lt;&gt;0,SUMPRODUCT((X$107:X$108)*TRANSPOSE(($D111:$E111))),0)</f>
        <v>148226.55514894449</v>
      </c>
      <c r="Y111" s="31" cm="1">
        <f t="array" ref="Y111">Y$106+IF($C111&lt;&gt;0,SUMPRODUCT((Y$107:Y$108)*TRANSPOSE(($D111:$E111))),0)</f>
        <v>148226.55514895194</v>
      </c>
      <c r="Z111" s="31" cm="1">
        <f t="array" ref="Z111">Z$106+IF($C111&lt;&gt;0,SUMPRODUCT((Z$107:Z$108)*TRANSPOSE(($D111:$E111))),0)</f>
        <v>148226.55514893704</v>
      </c>
      <c r="AA111" s="31" cm="1">
        <f t="array" ref="AA111">AA$106+IF($C111&lt;&gt;0,SUMPRODUCT((AA$107:AA$108)*TRANSPOSE(($D111:$E111))),0)</f>
        <v>148226.55514894449</v>
      </c>
      <c r="AB111" s="31" cm="1">
        <f t="array" ref="AB111">AB$106+IF($C111&lt;&gt;0,SUMPRODUCT((AB$107:AB$108)*TRANSPOSE(($D111:$E111))),0)</f>
        <v>148226.55514895194</v>
      </c>
      <c r="AC111" s="31" cm="1">
        <f t="array" ref="AC111">AC$106+IF($C111&lt;&gt;0,SUMPRODUCT((AC$107:AC$108)*TRANSPOSE(($D111:$E111))),0)</f>
        <v>148226.55514895194</v>
      </c>
      <c r="AD111" s="31" cm="1">
        <f t="array" ref="AD111">AD$106+IF($C111&lt;&gt;0,SUMPRODUCT((AD$107:AD$108)*TRANSPOSE(($D111:$E111))),0)</f>
        <v>148226.55514894449</v>
      </c>
      <c r="AE111" s="31" cm="1">
        <f t="array" ref="AE111">AE$106+IF($C111&lt;&gt;0,SUMPRODUCT((AE$107:AE$108)*TRANSPOSE(($D111:$E111))),0)</f>
        <v>148226.55514895194</v>
      </c>
      <c r="AF111" s="31" cm="1">
        <f t="array" ref="AF111">AF$106+IF($C111&lt;&gt;0,SUMPRODUCT((AF$107:AF$108)*TRANSPOSE(($D111:$E111))),0)</f>
        <v>148226.55514894449</v>
      </c>
      <c r="AG111" s="31" cm="1">
        <f t="array" ref="AG111">AG$106+IF($C111&lt;&gt;0,SUMPRODUCT((AG$107:AG$108)*TRANSPOSE(($D111:$E111))),0)</f>
        <v>148226.55514894449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22980.834453110954</v>
      </c>
      <c r="J112" s="31" cm="1">
        <f t="array" ref="J112">J$106+IF($C112&lt;&gt;0,SUMPRODUCT((J$107:J$108)*TRANSPOSE(($D112:$E112))),0)</f>
        <v>-203944.90644615694</v>
      </c>
      <c r="K112" s="31" cm="1">
        <f t="array" ref="K112">K$106+IF($C112&lt;&gt;0,SUMPRODUCT((K$107:K$108)*TRANSPOSE(($D112:$E112))),0)</f>
        <v>-191402.64515688375</v>
      </c>
      <c r="L112" s="31" cm="1">
        <f t="array" ref="L112">L$106+IF($C112&lt;&gt;0,SUMPRODUCT((L$107:L$108)*TRANSPOSE(($D112:$E112))),0)</f>
        <v>-168624.20248158675</v>
      </c>
      <c r="M112" s="31" cm="1">
        <f t="array" ref="M112">M$106+IF($C112&lt;&gt;0,SUMPRODUCT((M$107:M$108)*TRANSPOSE(($D112:$E112))),0)</f>
        <v>-133278.85769545531</v>
      </c>
      <c r="N112" s="31" cm="1">
        <f t="array" ref="N112">N$106+IF($C112&lt;&gt;0,SUMPRODUCT((N$107:N$108)*TRANSPOSE(($D112:$E112))),0)</f>
        <v>-325934.5807931071</v>
      </c>
      <c r="O112" s="31" cm="1">
        <f t="array" ref="O112">O$106+IF($C112&lt;&gt;0,SUMPRODUCT((O$107:O$108)*TRANSPOSE(($D112:$E112))),0)</f>
        <v>50164.353826935585</v>
      </c>
      <c r="P112" s="31" cm="1">
        <f t="array" ref="P112">P$106+IF($C112&lt;&gt;0,SUMPRODUCT((P$107:P$108)*TRANSPOSE(($D112:$E112))),0)</f>
        <v>86752.2490368422</v>
      </c>
      <c r="Q112" s="31" cm="1">
        <f t="array" ref="Q112">Q$106+IF($C112&lt;&gt;0,SUMPRODUCT((Q$107:Q$108)*TRANSPOSE(($D112:$E112))),0)</f>
        <v>109663.76938193366</v>
      </c>
      <c r="R112" s="31" cm="1">
        <f t="array" ref="R112">R$106+IF($C112&lt;&gt;0,SUMPRODUCT((R$107:R$108)*TRANSPOSE(($D112:$E112))),0)</f>
        <v>121250.57806211746</v>
      </c>
      <c r="S112" s="31" cm="1">
        <f t="array" ref="S112">S$106+IF($C112&lt;&gt;0,SUMPRODUCT((S$107:S$108)*TRANSPOSE(($D112:$E112))),0)</f>
        <v>129098.00887178518</v>
      </c>
      <c r="T112" s="31" cm="1">
        <f t="array" ref="T112">T$106+IF($C112&lt;&gt;0,SUMPRODUCT((T$107:T$108)*TRANSPOSE(($D112:$E112))),0)</f>
        <v>137920.54290770143</v>
      </c>
      <c r="U112" s="31" cm="1">
        <f t="array" ref="U112">U$106+IF($C112&lt;&gt;0,SUMPRODUCT((U$107:U$108)*TRANSPOSE(($D112:$E112))),0)</f>
        <v>147842.23617357388</v>
      </c>
      <c r="V112" s="31" cm="1">
        <f t="array" ref="V112">V$106+IF($C112&lt;&gt;0,SUMPRODUCT((V$107:V$108)*TRANSPOSE(($D112:$E112))),0)</f>
        <v>158805.51131912804</v>
      </c>
      <c r="W112" s="31" cm="1">
        <f t="array" ref="W112">W$106+IF($C112&lt;&gt;0,SUMPRODUCT((W$107:W$108)*TRANSPOSE(($D112:$E112))),0)</f>
        <v>160841.05926629677</v>
      </c>
      <c r="X112" s="31" cm="1">
        <f t="array" ref="X112">X$106+IF($C112&lt;&gt;0,SUMPRODUCT((X$107:X$108)*TRANSPOSE(($D112:$E112))),0)</f>
        <v>161374.98096060677</v>
      </c>
      <c r="Y112" s="31" cm="1">
        <f t="array" ref="Y112">Y$106+IF($C112&lt;&gt;0,SUMPRODUCT((Y$107:Y$108)*TRANSPOSE(($D112:$E112))),0)</f>
        <v>161374.98096061498</v>
      </c>
      <c r="Z112" s="31" cm="1">
        <f t="array" ref="Z112">Z$106+IF($C112&lt;&gt;0,SUMPRODUCT((Z$107:Z$108)*TRANSPOSE(($D112:$E112))),0)</f>
        <v>161374.98096059859</v>
      </c>
      <c r="AA112" s="31" cm="1">
        <f t="array" ref="AA112">AA$106+IF($C112&lt;&gt;0,SUMPRODUCT((AA$107:AA$108)*TRANSPOSE(($D112:$E112))),0)</f>
        <v>161374.98096060677</v>
      </c>
      <c r="AB112" s="31" cm="1">
        <f t="array" ref="AB112">AB$106+IF($C112&lt;&gt;0,SUMPRODUCT((AB$107:AB$108)*TRANSPOSE(($D112:$E112))),0)</f>
        <v>161374.98096061498</v>
      </c>
      <c r="AC112" s="31" cm="1">
        <f t="array" ref="AC112">AC$106+IF($C112&lt;&gt;0,SUMPRODUCT((AC$107:AC$108)*TRANSPOSE(($D112:$E112))),0)</f>
        <v>161374.98096061498</v>
      </c>
      <c r="AD112" s="31" cm="1">
        <f t="array" ref="AD112">AD$106+IF($C112&lt;&gt;0,SUMPRODUCT((AD$107:AD$108)*TRANSPOSE(($D112:$E112))),0)</f>
        <v>161374.98096060677</v>
      </c>
      <c r="AE112" s="31" cm="1">
        <f t="array" ref="AE112">AE$106+IF($C112&lt;&gt;0,SUMPRODUCT((AE$107:AE$108)*TRANSPOSE(($D112:$E112))),0)</f>
        <v>161374.98096061498</v>
      </c>
      <c r="AF112" s="31" cm="1">
        <f t="array" ref="AF112">AF$106+IF($C112&lt;&gt;0,SUMPRODUCT((AF$107:AF$108)*TRANSPOSE(($D112:$E112))),0)</f>
        <v>161374.98096060677</v>
      </c>
      <c r="AG112" s="31" cm="1">
        <f t="array" ref="AG112">AG$106+IF($C112&lt;&gt;0,SUMPRODUCT((AG$107:AG$108)*TRANSPOSE(($D112:$E112))),0)</f>
        <v>161374.98096060677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18802.500916181692</v>
      </c>
      <c r="J113" s="31" cm="1">
        <f t="array" ref="J113">J$106+IF($C113&lt;&gt;0,SUMPRODUCT((J$107:J$108)*TRANSPOSE(($D113:$E113))),0)</f>
        <v>-235174.29217844838</v>
      </c>
      <c r="K113" s="31" cm="1">
        <f t="array" ref="K113">K$106+IF($C113&lt;&gt;0,SUMPRODUCT((K$107:K$108)*TRANSPOSE(($D113:$E113))),0)</f>
        <v>-230495.4471188176</v>
      </c>
      <c r="L113" s="31" cm="1">
        <f t="array" ref="L113">L$106+IF($C113&lt;&gt;0,SUMPRODUCT((L$107:L$108)*TRANSPOSE(($D113:$E113))),0)</f>
        <v>-217441.5445615309</v>
      </c>
      <c r="M113" s="31" cm="1">
        <f t="array" ref="M113">M$106+IF($C113&lt;&gt;0,SUMPRODUCT((M$107:M$108)*TRANSPOSE(($D113:$E113))),0)</f>
        <v>-194105.63118628878</v>
      </c>
      <c r="N113" s="31" cm="1">
        <f t="array" ref="N113">N$106+IF($C113&lt;&gt;0,SUMPRODUCT((N$107:N$108)*TRANSPOSE(($D113:$E113))),0)</f>
        <v>-359841.56070767209</v>
      </c>
      <c r="O113" s="31" cm="1">
        <f t="array" ref="O113">O$106+IF($C113&lt;&gt;0,SUMPRODUCT((O$107:O$108)*TRANSPOSE(($D113:$E113))),0)</f>
        <v>10603.022163271897</v>
      </c>
      <c r="P113" s="31" cm="1">
        <f t="array" ref="P113">P$106+IF($C113&lt;&gt;0,SUMPRODUCT((P$107:P$108)*TRANSPOSE(($D113:$E113))),0)</f>
        <v>40538.572789559134</v>
      </c>
      <c r="Q113" s="31" cm="1">
        <f t="array" ref="Q113">Q$106+IF($C113&lt;&gt;0,SUMPRODUCT((Q$107:Q$108)*TRANSPOSE(($D113:$E113))),0)</f>
        <v>59284.362162815771</v>
      </c>
      <c r="R113" s="31" cm="1">
        <f t="array" ref="R113">R$106+IF($C113&lt;&gt;0,SUMPRODUCT((R$107:R$108)*TRANSPOSE(($D113:$E113))),0)</f>
        <v>68764.478355693442</v>
      </c>
      <c r="S113" s="31" cm="1">
        <f t="array" ref="S113">S$106+IF($C113&lt;&gt;0,SUMPRODUCT((S$107:S$108)*TRANSPOSE(($D113:$E113))),0)</f>
        <v>75185.103563603378</v>
      </c>
      <c r="T113" s="31" cm="1">
        <f t="array" ref="T113">T$106+IF($C113&lt;&gt;0,SUMPRODUCT((T$107:T$108)*TRANSPOSE(($D113:$E113))),0)</f>
        <v>82403.540502080315</v>
      </c>
      <c r="U113" s="31" cm="1">
        <f t="array" ref="U113">U$106+IF($C113&lt;&gt;0,SUMPRODUCT((U$107:U$108)*TRANSPOSE(($D113:$E113))),0)</f>
        <v>90521.289537794131</v>
      </c>
      <c r="V113" s="31" cm="1">
        <f t="array" ref="V113">V$106+IF($C113&lt;&gt;0,SUMPRODUCT((V$107:V$108)*TRANSPOSE(($D113:$E113))),0)</f>
        <v>99491.241929611191</v>
      </c>
      <c r="W113" s="31" cm="1">
        <f t="array" ref="W113">W$106+IF($C113&lt;&gt;0,SUMPRODUCT((W$107:W$108)*TRANSPOSE(($D113:$E113))),0)</f>
        <v>101156.69025002196</v>
      </c>
      <c r="X113" s="31" cm="1">
        <f t="array" ref="X113">X$106+IF($C113&lt;&gt;0,SUMPRODUCT((X$107:X$108)*TRANSPOSE(($D113:$E113))),0)</f>
        <v>101593.53527263924</v>
      </c>
      <c r="Y113" s="31" cm="1">
        <f t="array" ref="Y113">Y$106+IF($C113&lt;&gt;0,SUMPRODUCT((Y$107:Y$108)*TRANSPOSE(($D113:$E113))),0)</f>
        <v>101593.53527264594</v>
      </c>
      <c r="Z113" s="31" cm="1">
        <f t="array" ref="Z113">Z$106+IF($C113&lt;&gt;0,SUMPRODUCT((Z$107:Z$108)*TRANSPOSE(($D113:$E113))),0)</f>
        <v>101593.53527263254</v>
      </c>
      <c r="AA113" s="31" cm="1">
        <f t="array" ref="AA113">AA$106+IF($C113&lt;&gt;0,SUMPRODUCT((AA$107:AA$108)*TRANSPOSE(($D113:$E113))),0)</f>
        <v>101593.53527263924</v>
      </c>
      <c r="AB113" s="31" cm="1">
        <f t="array" ref="AB113">AB$106+IF($C113&lt;&gt;0,SUMPRODUCT((AB$107:AB$108)*TRANSPOSE(($D113:$E113))),0)</f>
        <v>101593.53527264594</v>
      </c>
      <c r="AC113" s="31" cm="1">
        <f t="array" ref="AC113">AC$106+IF($C113&lt;&gt;0,SUMPRODUCT((AC$107:AC$108)*TRANSPOSE(($D113:$E113))),0)</f>
        <v>101593.53527264594</v>
      </c>
      <c r="AD113" s="31" cm="1">
        <f t="array" ref="AD113">AD$106+IF($C113&lt;&gt;0,SUMPRODUCT((AD$107:AD$108)*TRANSPOSE(($D113:$E113))),0)</f>
        <v>101593.53527263924</v>
      </c>
      <c r="AE113" s="31" cm="1">
        <f t="array" ref="AE113">AE$106+IF($C113&lt;&gt;0,SUMPRODUCT((AE$107:AE$108)*TRANSPOSE(($D113:$E113))),0)</f>
        <v>101593.53527264594</v>
      </c>
      <c r="AF113" s="31" cm="1">
        <f t="array" ref="AF113">AF$106+IF($C113&lt;&gt;0,SUMPRODUCT((AF$107:AF$108)*TRANSPOSE(($D113:$E113))),0)</f>
        <v>101593.53527263924</v>
      </c>
      <c r="AG113" s="31" cm="1">
        <f t="array" ref="AG113">AG$106+IF($C113&lt;&gt;0,SUMPRODUCT((AG$107:AG$108)*TRANSPOSE(($D113:$E113))),0)</f>
        <v>101593.53527263924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18802.500916181692</v>
      </c>
      <c r="J114" s="31" cm="1">
        <f t="array" ref="J114">J$106+IF($C114&lt;&gt;0,SUMPRODUCT((J$107:J$108)*TRANSPOSE(($D114:$E114))),0)</f>
        <v>-272744.94497582439</v>
      </c>
      <c r="K114" s="31" cm="1">
        <f t="array" ref="K114">K$106+IF($C114&lt;&gt;0,SUMPRODUCT((K$107:K$108)*TRANSPOSE(($D114:$E114))),0)</f>
        <v>-271136.75271356956</v>
      </c>
      <c r="L114" s="31" cm="1">
        <f t="array" ref="L114">L$106+IF($C114&lt;&gt;0,SUMPRODUCT((L$107:L$108)*TRANSPOSE(($D114:$E114))),0)</f>
        <v>-261153.50295365887</v>
      </c>
      <c r="M114" s="31" cm="1">
        <f t="array" ref="M114">M$106+IF($C114&lt;&gt;0,SUMPRODUCT((M$107:M$108)*TRANSPOSE(($D114:$E114))),0)</f>
        <v>-240888.24237579276</v>
      </c>
      <c r="N114" s="31" cm="1">
        <f t="array" ref="N114">N$106+IF($C114&lt;&gt;0,SUMPRODUCT((N$107:N$108)*TRANSPOSE(($D114:$E114))),0)</f>
        <v>-411083.8577399936</v>
      </c>
      <c r="O114" s="31" cm="1">
        <f t="array" ref="O114">O$106+IF($C114&lt;&gt;0,SUMPRODUCT((O$107:O$108)*TRANSPOSE(($D114:$E114))),0)</f>
        <v>-6139.2748690495719</v>
      </c>
      <c r="P114" s="31" cm="1">
        <f t="array" ref="P114">P$106+IF($C114&lt;&gt;0,SUMPRODUCT((P$107:P$108)*TRANSPOSE(($D114:$E114))),0)</f>
        <v>23796.275757237665</v>
      </c>
      <c r="Q114" s="31" cm="1">
        <f t="array" ref="Q114">Q$106+IF($C114&lt;&gt;0,SUMPRODUCT((Q$107:Q$108)*TRANSPOSE(($D114:$E114))),0)</f>
        <v>42542.065130494302</v>
      </c>
      <c r="R114" s="31" cm="1">
        <f t="array" ref="R114">R$106+IF($C114&lt;&gt;0,SUMPRODUCT((R$107:R$108)*TRANSPOSE(($D114:$E114))),0)</f>
        <v>52022.181323371973</v>
      </c>
      <c r="S114" s="31" cm="1">
        <f t="array" ref="S114">S$106+IF($C114&lt;&gt;0,SUMPRODUCT((S$107:S$108)*TRANSPOSE(($D114:$E114))),0)</f>
        <v>58442.806531281909</v>
      </c>
      <c r="T114" s="31" cm="1">
        <f t="array" ref="T114">T$106+IF($C114&lt;&gt;0,SUMPRODUCT((T$107:T$108)*TRANSPOSE(($D114:$E114))),0)</f>
        <v>65661.243469758847</v>
      </c>
      <c r="U114" s="31" cm="1">
        <f t="array" ref="U114">U$106+IF($C114&lt;&gt;0,SUMPRODUCT((U$107:U$108)*TRANSPOSE(($D114:$E114))),0)</f>
        <v>73778.992505472663</v>
      </c>
      <c r="V114" s="31" cm="1">
        <f t="array" ref="V114">V$106+IF($C114&lt;&gt;0,SUMPRODUCT((V$107:V$108)*TRANSPOSE(($D114:$E114))),0)</f>
        <v>82748.944897289708</v>
      </c>
      <c r="W114" s="31" cm="1">
        <f t="array" ref="W114">W$106+IF($C114&lt;&gt;0,SUMPRODUCT((W$107:W$108)*TRANSPOSE(($D114:$E114))),0)</f>
        <v>84414.39321770049</v>
      </c>
      <c r="X114" s="31" cm="1">
        <f t="array" ref="X114">X$106+IF($C114&lt;&gt;0,SUMPRODUCT((X$107:X$108)*TRANSPOSE(($D114:$E114))),0)</f>
        <v>84851.238240317762</v>
      </c>
      <c r="Y114" s="31" cm="1">
        <f t="array" ref="Y114">Y$106+IF($C114&lt;&gt;0,SUMPRODUCT((Y$107:Y$108)*TRANSPOSE(($D114:$E114))),0)</f>
        <v>84851.23824032447</v>
      </c>
      <c r="Z114" s="31" cm="1">
        <f t="array" ref="Z114">Z$106+IF($C114&lt;&gt;0,SUMPRODUCT((Z$107:Z$108)*TRANSPOSE(($D114:$E114))),0)</f>
        <v>84851.238240311068</v>
      </c>
      <c r="AA114" s="31" cm="1">
        <f t="array" ref="AA114">AA$106+IF($C114&lt;&gt;0,SUMPRODUCT((AA$107:AA$108)*TRANSPOSE(($D114:$E114))),0)</f>
        <v>84851.238240317762</v>
      </c>
      <c r="AB114" s="31" cm="1">
        <f t="array" ref="AB114">AB$106+IF($C114&lt;&gt;0,SUMPRODUCT((AB$107:AB$108)*TRANSPOSE(($D114:$E114))),0)</f>
        <v>84851.23824032447</v>
      </c>
      <c r="AC114" s="31" cm="1">
        <f t="array" ref="AC114">AC$106+IF($C114&lt;&gt;0,SUMPRODUCT((AC$107:AC$108)*TRANSPOSE(($D114:$E114))),0)</f>
        <v>84851.23824032447</v>
      </c>
      <c r="AD114" s="31" cm="1">
        <f t="array" ref="AD114">AD$106+IF($C114&lt;&gt;0,SUMPRODUCT((AD$107:AD$108)*TRANSPOSE(($D114:$E114))),0)</f>
        <v>84851.238240317762</v>
      </c>
      <c r="AE114" s="31" cm="1">
        <f t="array" ref="AE114">AE$106+IF($C114&lt;&gt;0,SUMPRODUCT((AE$107:AE$108)*TRANSPOSE(($D114:$E114))),0)</f>
        <v>84851.23824032447</v>
      </c>
      <c r="AF114" s="31" cm="1">
        <f t="array" ref="AF114">AF$106+IF($C114&lt;&gt;0,SUMPRODUCT((AF$107:AF$108)*TRANSPOSE(($D114:$E114))),0)</f>
        <v>84851.238240317762</v>
      </c>
      <c r="AG114" s="31" cm="1">
        <f t="array" ref="AG114">AG$106+IF($C114&lt;&gt;0,SUMPRODUCT((AG$107:AG$108)*TRANSPOSE(($D114:$E114))),0)</f>
        <v>84851.238240317762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20891.667684646323</v>
      </c>
      <c r="J115" s="31" cm="1">
        <f t="array" ref="J115">J$106+IF($C115&lt;&gt;0,SUMPRODUCT((J$107:J$108)*TRANSPOSE(($D115:$E115))),0)</f>
        <v>-219559.59931230266</v>
      </c>
      <c r="K115" s="31" cm="1">
        <f t="array" ref="K115">K$106+IF($C115&lt;&gt;0,SUMPRODUCT((K$107:K$108)*TRANSPOSE(($D115:$E115))),0)</f>
        <v>-210949.04613785067</v>
      </c>
      <c r="L115" s="31" cm="1">
        <f t="array" ref="L115">L$106+IF($C115&lt;&gt;0,SUMPRODUCT((L$107:L$108)*TRANSPOSE(($D115:$E115))),0)</f>
        <v>-193032.87352155882</v>
      </c>
      <c r="M115" s="31" cm="1">
        <f t="array" ref="M115">M$106+IF($C115&lt;&gt;0,SUMPRODUCT((M$107:M$108)*TRANSPOSE(($D115:$E115))),0)</f>
        <v>-163692.24444087205</v>
      </c>
      <c r="N115" s="31" cm="1">
        <f t="array" ref="N115">N$106+IF($C115&lt;&gt;0,SUMPRODUCT((N$107:N$108)*TRANSPOSE(($D115:$E115))),0)</f>
        <v>-342888.0707503896</v>
      </c>
      <c r="O115" s="31" cm="1">
        <f t="array" ref="O115">O$106+IF($C115&lt;&gt;0,SUMPRODUCT((O$107:O$108)*TRANSPOSE(($D115:$E115))),0)</f>
        <v>30383.687995103741</v>
      </c>
      <c r="P115" s="31" cm="1">
        <f t="array" ref="P115">P$106+IF($C115&lt;&gt;0,SUMPRODUCT((P$107:P$108)*TRANSPOSE(($D115:$E115))),0)</f>
        <v>63645.410913200671</v>
      </c>
      <c r="Q115" s="31" cm="1">
        <f t="array" ref="Q115">Q$106+IF($C115&lt;&gt;0,SUMPRODUCT((Q$107:Q$108)*TRANSPOSE(($D115:$E115))),0)</f>
        <v>84474.065772374714</v>
      </c>
      <c r="R115" s="31" cm="1">
        <f t="array" ref="R115">R$106+IF($C115&lt;&gt;0,SUMPRODUCT((R$107:R$108)*TRANSPOSE(($D115:$E115))),0)</f>
        <v>95007.528208905453</v>
      </c>
      <c r="S115" s="31" cm="1">
        <f t="array" ref="S115">S$106+IF($C115&lt;&gt;0,SUMPRODUCT((S$107:S$108)*TRANSPOSE(($D115:$E115))),0)</f>
        <v>102141.55621769428</v>
      </c>
      <c r="T115" s="31" cm="1">
        <f t="array" ref="T115">T$106+IF($C115&lt;&gt;0,SUMPRODUCT((T$107:T$108)*TRANSPOSE(($D115:$E115))),0)</f>
        <v>110162.04170489087</v>
      </c>
      <c r="U115" s="31" cm="1">
        <f t="array" ref="U115">U$106+IF($C115&lt;&gt;0,SUMPRODUCT((U$107:U$108)*TRANSPOSE(($D115:$E115))),0)</f>
        <v>119181.76285568401</v>
      </c>
      <c r="V115" s="31" cm="1">
        <f t="array" ref="V115">V$106+IF($C115&lt;&gt;0,SUMPRODUCT((V$107:V$108)*TRANSPOSE(($D115:$E115))),0)</f>
        <v>129148.37662436962</v>
      </c>
      <c r="W115" s="31" cm="1">
        <f t="array" ref="W115">W$106+IF($C115&lt;&gt;0,SUMPRODUCT((W$107:W$108)*TRANSPOSE(($D115:$E115))),0)</f>
        <v>130998.87475815936</v>
      </c>
      <c r="X115" s="31" cm="1">
        <f t="array" ref="X115">X$106+IF($C115&lt;&gt;0,SUMPRODUCT((X$107:X$108)*TRANSPOSE(($D115:$E115))),0)</f>
        <v>131484.25811662301</v>
      </c>
      <c r="Y115" s="31" cm="1">
        <f t="array" ref="Y115">Y$106+IF($C115&lt;&gt;0,SUMPRODUCT((Y$107:Y$108)*TRANSPOSE(($D115:$E115))),0)</f>
        <v>131484.25811663046</v>
      </c>
      <c r="Z115" s="31" cm="1">
        <f t="array" ref="Z115">Z$106+IF($C115&lt;&gt;0,SUMPRODUCT((Z$107:Z$108)*TRANSPOSE(($D115:$E115))),0)</f>
        <v>131484.25811661556</v>
      </c>
      <c r="AA115" s="31" cm="1">
        <f t="array" ref="AA115">AA$106+IF($C115&lt;&gt;0,SUMPRODUCT((AA$107:AA$108)*TRANSPOSE(($D115:$E115))),0)</f>
        <v>131484.25811662301</v>
      </c>
      <c r="AB115" s="31" cm="1">
        <f t="array" ref="AB115">AB$106+IF($C115&lt;&gt;0,SUMPRODUCT((AB$107:AB$108)*TRANSPOSE(($D115:$E115))),0)</f>
        <v>131484.25811663046</v>
      </c>
      <c r="AC115" s="31" cm="1">
        <f t="array" ref="AC115">AC$106+IF($C115&lt;&gt;0,SUMPRODUCT((AC$107:AC$108)*TRANSPOSE(($D115:$E115))),0)</f>
        <v>131484.25811663046</v>
      </c>
      <c r="AD115" s="31" cm="1">
        <f t="array" ref="AD115">AD$106+IF($C115&lt;&gt;0,SUMPRODUCT((AD$107:AD$108)*TRANSPOSE(($D115:$E115))),0)</f>
        <v>131484.25811662301</v>
      </c>
      <c r="AE115" s="31" cm="1">
        <f t="array" ref="AE115">AE$106+IF($C115&lt;&gt;0,SUMPRODUCT((AE$107:AE$108)*TRANSPOSE(($D115:$E115))),0)</f>
        <v>131484.25811663046</v>
      </c>
      <c r="AF115" s="31" cm="1">
        <f t="array" ref="AF115">AF$106+IF($C115&lt;&gt;0,SUMPRODUCT((AF$107:AF$108)*TRANSPOSE(($D115:$E115))),0)</f>
        <v>131484.25811662301</v>
      </c>
      <c r="AG115" s="31" cm="1">
        <f t="array" ref="AG115">AG$106+IF($C115&lt;&gt;0,SUMPRODUCT((AG$107:AG$108)*TRANSPOSE(($D115:$E115))),0)</f>
        <v>131484.25811662301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20891.667684646323</v>
      </c>
      <c r="J116" s="31" cm="1">
        <f t="array" ref="J116">J$106+IF($C116&lt;&gt;0,SUMPRODUCT((J$107:J$108)*TRANSPOSE(($D116:$E116))),0)</f>
        <v>-219559.59931230266</v>
      </c>
      <c r="K116" s="31" cm="1">
        <f t="array" ref="K116">K$106+IF($C116&lt;&gt;0,SUMPRODUCT((K$107:K$108)*TRANSPOSE(($D116:$E116))),0)</f>
        <v>-210949.04613785067</v>
      </c>
      <c r="L116" s="31" cm="1">
        <f t="array" ref="L116">L$106+IF($C116&lt;&gt;0,SUMPRODUCT((L$107:L$108)*TRANSPOSE(($D116:$E116))),0)</f>
        <v>-193032.87352155882</v>
      </c>
      <c r="M116" s="31" cm="1">
        <f t="array" ref="M116">M$106+IF($C116&lt;&gt;0,SUMPRODUCT((M$107:M$108)*TRANSPOSE(($D116:$E116))),0)</f>
        <v>-163692.24444087205</v>
      </c>
      <c r="N116" s="31" cm="1">
        <f t="array" ref="N116">N$106+IF($C116&lt;&gt;0,SUMPRODUCT((N$107:N$108)*TRANSPOSE(($D116:$E116))),0)</f>
        <v>-342888.0707503896</v>
      </c>
      <c r="O116" s="31" cm="1">
        <f t="array" ref="O116">O$106+IF($C116&lt;&gt;0,SUMPRODUCT((O$107:O$108)*TRANSPOSE(($D116:$E116))),0)</f>
        <v>30383.687995103741</v>
      </c>
      <c r="P116" s="31" cm="1">
        <f t="array" ref="P116">P$106+IF($C116&lt;&gt;0,SUMPRODUCT((P$107:P$108)*TRANSPOSE(($D116:$E116))),0)</f>
        <v>63645.410913200671</v>
      </c>
      <c r="Q116" s="31" cm="1">
        <f t="array" ref="Q116">Q$106+IF($C116&lt;&gt;0,SUMPRODUCT((Q$107:Q$108)*TRANSPOSE(($D116:$E116))),0)</f>
        <v>84474.065772374714</v>
      </c>
      <c r="R116" s="31" cm="1">
        <f t="array" ref="R116">R$106+IF($C116&lt;&gt;0,SUMPRODUCT((R$107:R$108)*TRANSPOSE(($D116:$E116))),0)</f>
        <v>95007.528208905453</v>
      </c>
      <c r="S116" s="31" cm="1">
        <f t="array" ref="S116">S$106+IF($C116&lt;&gt;0,SUMPRODUCT((S$107:S$108)*TRANSPOSE(($D116:$E116))),0)</f>
        <v>102141.55621769428</v>
      </c>
      <c r="T116" s="31" cm="1">
        <f t="array" ref="T116">T$106+IF($C116&lt;&gt;0,SUMPRODUCT((T$107:T$108)*TRANSPOSE(($D116:$E116))),0)</f>
        <v>110162.04170489087</v>
      </c>
      <c r="U116" s="31" cm="1">
        <f t="array" ref="U116">U$106+IF($C116&lt;&gt;0,SUMPRODUCT((U$107:U$108)*TRANSPOSE(($D116:$E116))),0)</f>
        <v>119181.76285568401</v>
      </c>
      <c r="V116" s="31" cm="1">
        <f t="array" ref="V116">V$106+IF($C116&lt;&gt;0,SUMPRODUCT((V$107:V$108)*TRANSPOSE(($D116:$E116))),0)</f>
        <v>129148.37662436962</v>
      </c>
      <c r="W116" s="31" cm="1">
        <f t="array" ref="W116">W$106+IF($C116&lt;&gt;0,SUMPRODUCT((W$107:W$108)*TRANSPOSE(($D116:$E116))),0)</f>
        <v>130998.87475815936</v>
      </c>
      <c r="X116" s="31" cm="1">
        <f t="array" ref="X116">X$106+IF($C116&lt;&gt;0,SUMPRODUCT((X$107:X$108)*TRANSPOSE(($D116:$E116))),0)</f>
        <v>131484.25811662301</v>
      </c>
      <c r="Y116" s="31" cm="1">
        <f t="array" ref="Y116">Y$106+IF($C116&lt;&gt;0,SUMPRODUCT((Y$107:Y$108)*TRANSPOSE(($D116:$E116))),0)</f>
        <v>131484.25811663046</v>
      </c>
      <c r="Z116" s="31" cm="1">
        <f t="array" ref="Z116">Z$106+IF($C116&lt;&gt;0,SUMPRODUCT((Z$107:Z$108)*TRANSPOSE(($D116:$E116))),0)</f>
        <v>131484.25811661556</v>
      </c>
      <c r="AA116" s="31" cm="1">
        <f t="array" ref="AA116">AA$106+IF($C116&lt;&gt;0,SUMPRODUCT((AA$107:AA$108)*TRANSPOSE(($D116:$E116))),0)</f>
        <v>131484.25811662301</v>
      </c>
      <c r="AB116" s="31" cm="1">
        <f t="array" ref="AB116">AB$106+IF($C116&lt;&gt;0,SUMPRODUCT((AB$107:AB$108)*TRANSPOSE(($D116:$E116))),0)</f>
        <v>131484.25811663046</v>
      </c>
      <c r="AC116" s="31" cm="1">
        <f t="array" ref="AC116">AC$106+IF($C116&lt;&gt;0,SUMPRODUCT((AC$107:AC$108)*TRANSPOSE(($D116:$E116))),0)</f>
        <v>131484.25811663046</v>
      </c>
      <c r="AD116" s="31" cm="1">
        <f t="array" ref="AD116">AD$106+IF($C116&lt;&gt;0,SUMPRODUCT((AD$107:AD$108)*TRANSPOSE(($D116:$E116))),0)</f>
        <v>131484.25811662301</v>
      </c>
      <c r="AE116" s="31" cm="1">
        <f t="array" ref="AE116">AE$106+IF($C116&lt;&gt;0,SUMPRODUCT((AE$107:AE$108)*TRANSPOSE(($D116:$E116))),0)</f>
        <v>131484.25811663046</v>
      </c>
      <c r="AF116" s="31" cm="1">
        <f t="array" ref="AF116">AF$106+IF($C116&lt;&gt;0,SUMPRODUCT((AF$107:AF$108)*TRANSPOSE(($D116:$E116))),0)</f>
        <v>131484.25811662301</v>
      </c>
      <c r="AG116" s="31" cm="1">
        <f t="array" ref="AG116">AG$106+IF($C116&lt;&gt;0,SUMPRODUCT((AG$107:AG$108)*TRANSPOSE(($D116:$E116))),0)</f>
        <v>131484.25811662301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20891.667684646323</v>
      </c>
      <c r="J117" s="31" cm="1">
        <f t="array" ref="J117">J$106+IF($C117&lt;&gt;0,SUMPRODUCT((J$107:J$108)*TRANSPOSE(($D117:$E117))),0)</f>
        <v>-219559.59931230266</v>
      </c>
      <c r="K117" s="31" cm="1">
        <f t="array" ref="K117">K$106+IF($C117&lt;&gt;0,SUMPRODUCT((K$107:K$108)*TRANSPOSE(($D117:$E117))),0)</f>
        <v>-210949.04613785067</v>
      </c>
      <c r="L117" s="31" cm="1">
        <f t="array" ref="L117">L$106+IF($C117&lt;&gt;0,SUMPRODUCT((L$107:L$108)*TRANSPOSE(($D117:$E117))),0)</f>
        <v>-193032.87352155882</v>
      </c>
      <c r="M117" s="31" cm="1">
        <f t="array" ref="M117">M$106+IF($C117&lt;&gt;0,SUMPRODUCT((M$107:M$108)*TRANSPOSE(($D117:$E117))),0)</f>
        <v>-163692.24444087205</v>
      </c>
      <c r="N117" s="31" cm="1">
        <f t="array" ref="N117">N$106+IF($C117&lt;&gt;0,SUMPRODUCT((N$107:N$108)*TRANSPOSE(($D117:$E117))),0)</f>
        <v>-342888.0707503896</v>
      </c>
      <c r="O117" s="31" cm="1">
        <f t="array" ref="O117">O$106+IF($C117&lt;&gt;0,SUMPRODUCT((O$107:O$108)*TRANSPOSE(($D117:$E117))),0)</f>
        <v>30383.687995103741</v>
      </c>
      <c r="P117" s="31" cm="1">
        <f t="array" ref="P117">P$106+IF($C117&lt;&gt;0,SUMPRODUCT((P$107:P$108)*TRANSPOSE(($D117:$E117))),0)</f>
        <v>63645.410913200671</v>
      </c>
      <c r="Q117" s="31" cm="1">
        <f t="array" ref="Q117">Q$106+IF($C117&lt;&gt;0,SUMPRODUCT((Q$107:Q$108)*TRANSPOSE(($D117:$E117))),0)</f>
        <v>84474.065772374714</v>
      </c>
      <c r="R117" s="31" cm="1">
        <f t="array" ref="R117">R$106+IF($C117&lt;&gt;0,SUMPRODUCT((R$107:R$108)*TRANSPOSE(($D117:$E117))),0)</f>
        <v>95007.528208905453</v>
      </c>
      <c r="S117" s="31" cm="1">
        <f t="array" ref="S117">S$106+IF($C117&lt;&gt;0,SUMPRODUCT((S$107:S$108)*TRANSPOSE(($D117:$E117))),0)</f>
        <v>102141.55621769428</v>
      </c>
      <c r="T117" s="31" cm="1">
        <f t="array" ref="T117">T$106+IF($C117&lt;&gt;0,SUMPRODUCT((T$107:T$108)*TRANSPOSE(($D117:$E117))),0)</f>
        <v>110162.04170489087</v>
      </c>
      <c r="U117" s="31" cm="1">
        <f t="array" ref="U117">U$106+IF($C117&lt;&gt;0,SUMPRODUCT((U$107:U$108)*TRANSPOSE(($D117:$E117))),0)</f>
        <v>119181.76285568401</v>
      </c>
      <c r="V117" s="31" cm="1">
        <f t="array" ref="V117">V$106+IF($C117&lt;&gt;0,SUMPRODUCT((V$107:V$108)*TRANSPOSE(($D117:$E117))),0)</f>
        <v>129148.37662436962</v>
      </c>
      <c r="W117" s="31" cm="1">
        <f t="array" ref="W117">W$106+IF($C117&lt;&gt;0,SUMPRODUCT((W$107:W$108)*TRANSPOSE(($D117:$E117))),0)</f>
        <v>130998.87475815936</v>
      </c>
      <c r="X117" s="31" cm="1">
        <f t="array" ref="X117">X$106+IF($C117&lt;&gt;0,SUMPRODUCT((X$107:X$108)*TRANSPOSE(($D117:$E117))),0)</f>
        <v>131484.25811662301</v>
      </c>
      <c r="Y117" s="31" cm="1">
        <f t="array" ref="Y117">Y$106+IF($C117&lt;&gt;0,SUMPRODUCT((Y$107:Y$108)*TRANSPOSE(($D117:$E117))),0)</f>
        <v>131484.25811663046</v>
      </c>
      <c r="Z117" s="31" cm="1">
        <f t="array" ref="Z117">Z$106+IF($C117&lt;&gt;0,SUMPRODUCT((Z$107:Z$108)*TRANSPOSE(($D117:$E117))),0)</f>
        <v>131484.25811661556</v>
      </c>
      <c r="AA117" s="31" cm="1">
        <f t="array" ref="AA117">AA$106+IF($C117&lt;&gt;0,SUMPRODUCT((AA$107:AA$108)*TRANSPOSE(($D117:$E117))),0)</f>
        <v>131484.25811662301</v>
      </c>
      <c r="AB117" s="31" cm="1">
        <f t="array" ref="AB117">AB$106+IF($C117&lt;&gt;0,SUMPRODUCT((AB$107:AB$108)*TRANSPOSE(($D117:$E117))),0)</f>
        <v>131484.25811663046</v>
      </c>
      <c r="AC117" s="31" cm="1">
        <f t="array" ref="AC117">AC$106+IF($C117&lt;&gt;0,SUMPRODUCT((AC$107:AC$108)*TRANSPOSE(($D117:$E117))),0)</f>
        <v>131484.25811663046</v>
      </c>
      <c r="AD117" s="31" cm="1">
        <f t="array" ref="AD117">AD$106+IF($C117&lt;&gt;0,SUMPRODUCT((AD$107:AD$108)*TRANSPOSE(($D117:$E117))),0)</f>
        <v>131484.25811662301</v>
      </c>
      <c r="AE117" s="31" cm="1">
        <f t="array" ref="AE117">AE$106+IF($C117&lt;&gt;0,SUMPRODUCT((AE$107:AE$108)*TRANSPOSE(($D117:$E117))),0)</f>
        <v>131484.25811663046</v>
      </c>
      <c r="AF117" s="31" cm="1">
        <f t="array" ref="AF117">AF$106+IF($C117&lt;&gt;0,SUMPRODUCT((AF$107:AF$108)*TRANSPOSE(($D117:$E117))),0)</f>
        <v>131484.25811662301</v>
      </c>
      <c r="AG117" s="31" cm="1">
        <f t="array" ref="AG117">AG$106+IF($C117&lt;&gt;0,SUMPRODUCT((AG$107:AG$108)*TRANSPOSE(($D117:$E117))),0)</f>
        <v>131484.25811662301</v>
      </c>
    </row>
  </sheetData>
  <conditionalFormatting sqref="E28">
    <cfRule type="expression" dxfId="2" priority="2">
      <formula>AND(SUM($I$27:$AG$27)&gt;0, $E$28=0)</formula>
    </cfRule>
  </conditionalFormatting>
  <conditionalFormatting sqref="E14:E16">
    <cfRule type="expression" dxfId="1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54" activePane="bottomRight" state="frozen"/>
      <selection activeCell="D33" sqref="D33"/>
      <selection pane="topRight" activeCell="D33" sqref="D33"/>
      <selection pane="bottomLeft" activeCell="D33" sqref="D33"/>
      <selection pane="bottomRight" activeCell="K65" sqref="K65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HV cable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6.7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hidden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4.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75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238478948.80210528</v>
      </c>
      <c r="G14" s="276">
        <f>output_dollars</f>
        <v>46203</v>
      </c>
      <c r="H14" s="277"/>
      <c r="I14" s="31">
        <f>'Option1 (base case)'!I$28*conv_2026</f>
        <v>4336453.6050796015</v>
      </c>
      <c r="J14" s="31">
        <f>'Option1 (base case)'!J$28*conv_2026</f>
        <v>4776285.7257428011</v>
      </c>
      <c r="K14" s="31">
        <f>'Option1 (base case)'!K$28*conv_2026</f>
        <v>5287231.220238897</v>
      </c>
      <c r="L14" s="31">
        <f>'Option1 (base case)'!L$28*conv_2026</f>
        <v>5874255.2716101455</v>
      </c>
      <c r="M14" s="31">
        <f>'Option1 (base case)'!M$28*conv_2026</f>
        <v>6547934.5692542596</v>
      </c>
      <c r="N14" s="31">
        <f>'Option1 (base case)'!N$28*conv_2026</f>
        <v>7322286.7493987018</v>
      </c>
      <c r="O14" s="31">
        <f>'Option1 (base case)'!O$28*conv_2026</f>
        <v>8212672.0303873066</v>
      </c>
      <c r="P14" s="31">
        <f>'Option1 (base case)'!P$28*conv_2026</f>
        <v>9231954.1868101414</v>
      </c>
      <c r="Q14" s="31">
        <f>'Option1 (base case)'!Q$28*conv_2026</f>
        <v>10349645.458341714</v>
      </c>
      <c r="R14" s="31">
        <f>'Option1 (base case)'!R$28*conv_2026</f>
        <v>11538943.334083319</v>
      </c>
      <c r="S14" s="31">
        <f>'Option1 (base case)'!S$28*conv_2026</f>
        <v>12792940.595363284</v>
      </c>
      <c r="T14" s="31">
        <f>'Option1 (base case)'!T$28*conv_2026</f>
        <v>14182076.835968418</v>
      </c>
      <c r="U14" s="31">
        <f>'Option1 (base case)'!U$28*conv_2026</f>
        <v>15692951.711767877</v>
      </c>
      <c r="V14" s="31">
        <f>'Option1 (base case)'!V$28*conv_2026</f>
        <v>17248064.812536284</v>
      </c>
      <c r="W14" s="31">
        <f>'Option1 (base case)'!W$28*conv_2026</f>
        <v>18724604.090825479</v>
      </c>
      <c r="X14" s="31">
        <f>'Option1 (base case)'!X$28*conv_2026</f>
        <v>20146945.281181708</v>
      </c>
      <c r="Y14" s="31">
        <f>'Option1 (base case)'!Y$28*conv_2026</f>
        <v>21539593.707330875</v>
      </c>
      <c r="Z14" s="31">
        <f>'Option1 (base case)'!Z$28*conv_2026</f>
        <v>22850497.23971175</v>
      </c>
      <c r="AA14" s="31">
        <f>'Option1 (base case)'!AA$28*conv_2026</f>
        <v>24050700.466284286</v>
      </c>
      <c r="AB14" s="31">
        <f>'Option1 (base case)'!AB$28*conv_2026</f>
        <v>25097583.302441563</v>
      </c>
      <c r="AC14" s="31">
        <f>'Option1 (base case)'!AC$28*conv_2026</f>
        <v>26153461.996821091</v>
      </c>
      <c r="AD14" s="31">
        <f>'Option1 (base case)'!AD$28*conv_2026</f>
        <v>27230951.910994783</v>
      </c>
      <c r="AE14" s="31">
        <f>'Option1 (base case)'!AE$28*conv_2026</f>
        <v>28311300.674884882</v>
      </c>
      <c r="AF14" s="31">
        <f>'Option1 (base case)'!AF$28*conv_2026</f>
        <v>29414400.848275818</v>
      </c>
      <c r="AG14" s="31">
        <f>'Option1 (base case)'!AG$28*conv_2026</f>
        <v>30522720.177089047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334443452.25041807</v>
      </c>
      <c r="G16" s="229">
        <f>output_dollars</f>
        <v>46203</v>
      </c>
      <c r="H16" s="31"/>
      <c r="I16" s="31">
        <f>'Option1 (base case)'!I$36*conv_2026</f>
        <v>8370599.034053646</v>
      </c>
      <c r="J16" s="31">
        <f>'Option1 (base case)'!J$36*conv_2026</f>
        <v>9219601.1587521676</v>
      </c>
      <c r="K16" s="31">
        <f>'Option1 (base case)'!K$36*conv_2026</f>
        <v>10205872.488318151</v>
      </c>
      <c r="L16" s="31">
        <f>'Option1 (base case)'!L$36*conv_2026</f>
        <v>11338997.249901814</v>
      </c>
      <c r="M16" s="31">
        <f>'Option1 (base case)'!M$36*conv_2026</f>
        <v>12639391.487145878</v>
      </c>
      <c r="N16" s="31">
        <f>'Option1 (base case)'!N$36*conv_2026</f>
        <v>14134113.2578439</v>
      </c>
      <c r="O16" s="31">
        <f>'Option1 (base case)'!O$36*conv_2026</f>
        <v>15852812.188289853</v>
      </c>
      <c r="P16" s="31">
        <f>'Option1 (base case)'!P$36*conv_2026</f>
        <v>17820319.052421164</v>
      </c>
      <c r="Q16" s="31">
        <f>'Option1 (base case)'!Q$36*conv_2026</f>
        <v>19977783.729754116</v>
      </c>
      <c r="R16" s="31">
        <f>'Option1 (base case)'!R$36*conv_2026</f>
        <v>22273469.688027382</v>
      </c>
      <c r="S16" s="31">
        <f>'Option1 (base case)'!S$36*conv_2026</f>
        <v>24694044.014403306</v>
      </c>
      <c r="T16" s="31">
        <f>'Option1 (base case)'!T$36*conv_2026</f>
        <v>27375475.325038712</v>
      </c>
      <c r="U16" s="31">
        <f>'Option1 (base case)'!U$36*conv_2026</f>
        <v>30291897.112909015</v>
      </c>
      <c r="V16" s="31">
        <f>'Option1 (base case)'!V$36*conv_2026</f>
        <v>33293711.361281972</v>
      </c>
      <c r="W16" s="31">
        <f>'Option1 (base case)'!W$36*conv_2026</f>
        <v>36143855.599447504</v>
      </c>
      <c r="X16" s="31">
        <f>'Option1 (base case)'!X$36*conv_2026</f>
        <v>38889381.985373646</v>
      </c>
      <c r="Y16" s="31">
        <f>'Option1 (base case)'!Y$36*conv_2026</f>
        <v>41577592.821307763</v>
      </c>
      <c r="Z16" s="31">
        <f>'Option1 (base case)'!Z$36*conv_2026</f>
        <v>44108012.570070043</v>
      </c>
      <c r="AA16" s="31">
        <f>'Option1 (base case)'!AA$36*conv_2026</f>
        <v>46424748.982803263</v>
      </c>
      <c r="AB16" s="31">
        <f>'Option1 (base case)'!AB$36*conv_2026</f>
        <v>48445533.073941857</v>
      </c>
      <c r="AC16" s="31">
        <f>'Option1 (base case)'!AC$36*conv_2026</f>
        <v>50483681.751215406</v>
      </c>
      <c r="AD16" s="31">
        <f>'Option1 (base case)'!AD$36*conv_2026</f>
        <v>52563546.280198246</v>
      </c>
      <c r="AE16" s="31">
        <f>'Option1 (base case)'!AE$36*conv_2026</f>
        <v>54648929.208973639</v>
      </c>
      <c r="AF16" s="31">
        <f>'Option1 (base case)'!AF$36*conv_2026</f>
        <v>56778228.882567421</v>
      </c>
      <c r="AG16" s="31">
        <f>'Option1 (base case)'!AG$36*conv_2026</f>
        <v>58917603.022837207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case)'!C$87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237819889.80943727</v>
      </c>
      <c r="G28" s="276">
        <f>output_dollars</f>
        <v>46203</v>
      </c>
      <c r="H28" s="277"/>
      <c r="I28" s="31">
        <f>Option2!I$28*conv_2026</f>
        <v>4336453.6050796015</v>
      </c>
      <c r="J28" s="31">
        <f>Option2!J$28*conv_2026</f>
        <v>4772785.598884102</v>
      </c>
      <c r="K28" s="31">
        <f>Option2!K$28*conv_2026</f>
        <v>5279068.2872847961</v>
      </c>
      <c r="L28" s="31">
        <f>Option2!L$28*conv_2026</f>
        <v>5859971.0332909897</v>
      </c>
      <c r="M28" s="31">
        <f>Option2!M$28*conv_2026</f>
        <v>6525701.2212503338</v>
      </c>
      <c r="N28" s="31">
        <f>Option2!N$28*conv_2026</f>
        <v>7289815.3578683138</v>
      </c>
      <c r="O28" s="31">
        <f>Option2!O$28*conv_2026</f>
        <v>8174693.4723903602</v>
      </c>
      <c r="P28" s="31">
        <f>Option2!P$28*conv_2026</f>
        <v>9187481.7807819489</v>
      </c>
      <c r="Q28" s="31">
        <f>Option2!Q$28*conv_2026</f>
        <v>10301364.107281351</v>
      </c>
      <c r="R28" s="31">
        <f>Option2!R$28*conv_2026</f>
        <v>11489011.441915633</v>
      </c>
      <c r="S28" s="31">
        <f>Option2!S$28*conv_2026</f>
        <v>12741904.956841275</v>
      </c>
      <c r="T28" s="31">
        <f>Option2!T$28*conv_2026</f>
        <v>14129796.593457926</v>
      </c>
      <c r="U28" s="31">
        <f>Option2!U$28*conv_2026</f>
        <v>15639267.703136431</v>
      </c>
      <c r="V28" s="31">
        <f>Option2!V$28*conv_2026</f>
        <v>17192830.731383957</v>
      </c>
      <c r="W28" s="31">
        <f>Option2!W$28*conv_2026</f>
        <v>18669370.009673152</v>
      </c>
      <c r="X28" s="31">
        <f>Option2!X$28*conv_2026</f>
        <v>20091711.200029381</v>
      </c>
      <c r="Y28" s="31">
        <f>Option2!Y$28*conv_2026</f>
        <v>21484359.626178548</v>
      </c>
      <c r="Z28" s="31">
        <f>Option2!Z$28*conv_2026</f>
        <v>22795263.158559419</v>
      </c>
      <c r="AA28" s="31">
        <f>Option2!AA$28*conv_2026</f>
        <v>23995466.385131955</v>
      </c>
      <c r="AB28" s="31">
        <f>Option2!AB$28*conv_2026</f>
        <v>25042349.221289236</v>
      </c>
      <c r="AC28" s="31">
        <f>Option2!AC$28*conv_2026</f>
        <v>26098227.915668759</v>
      </c>
      <c r="AD28" s="31">
        <f>Option2!AD$28*conv_2026</f>
        <v>27175717.829842452</v>
      </c>
      <c r="AE28" s="31">
        <f>Option2!AE$28*conv_2026</f>
        <v>28256066.593732551</v>
      </c>
      <c r="AF28" s="31">
        <f>Option2!AF$28*conv_2026</f>
        <v>29359166.767123494</v>
      </c>
      <c r="AG28" s="31">
        <f>Option2!AG$28*conv_2026</f>
        <v>30467486.095936719</v>
      </c>
    </row>
    <row r="29" spans="1:33" s="2" customFormat="1" x14ac:dyDescent="0.2">
      <c r="A29" s="138" t="str">
        <f>Data!B10</f>
        <v>Option 2</v>
      </c>
      <c r="B29" s="138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-3915647.9414076954</v>
      </c>
      <c r="G29" s="229">
        <f>output_dollars</f>
        <v>46203</v>
      </c>
      <c r="H29" s="31"/>
      <c r="I29" s="31">
        <f>SUM(Option2!I$67:I$69)*conv_2026*I$7</f>
        <v>-852453.44399776089</v>
      </c>
      <c r="J29" s="31">
        <f>SUM(Option2!J$67:J$69)*conv_2026*J$7</f>
        <v>-852453.44399776089</v>
      </c>
      <c r="K29" s="31">
        <f>SUM(Option2!K$67:K$69)*conv_2026*K$7</f>
        <v>-852453.44399776089</v>
      </c>
      <c r="L29" s="31">
        <f>SUM(Option2!L$67:L$69)*conv_2026*L$7</f>
        <v>-852453.44399776089</v>
      </c>
      <c r="M29" s="31">
        <f>SUM(Option2!M$67:M$69)*conv_2026*M$7</f>
        <v>-852453.44399776089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331739946.27996755</v>
      </c>
      <c r="G30" s="229">
        <f>output_dollars</f>
        <v>46203</v>
      </c>
      <c r="H30" s="31"/>
      <c r="I30" s="31">
        <f>Option2!I$36*conv_2026*I$7</f>
        <v>8370599.034053646</v>
      </c>
      <c r="J30" s="31">
        <f>Option2!J$36*conv_2026*J$7</f>
        <v>9201799.3083795961</v>
      </c>
      <c r="K30" s="31">
        <f>Option2!K$36*conv_2026*K$7</f>
        <v>10164355.332821628</v>
      </c>
      <c r="L30" s="31">
        <f>Option2!L$36*conv_2026*L$7</f>
        <v>11266346.776502056</v>
      </c>
      <c r="M30" s="31">
        <f>Option2!M$36*conv_2026*M$7</f>
        <v>12526311.375931222</v>
      </c>
      <c r="N30" s="31">
        <f>Option2!N$36*conv_2026*N$7</f>
        <v>13968961.857123572</v>
      </c>
      <c r="O30" s="31">
        <f>Option2!O$36*conv_2026*O$7</f>
        <v>15659651.01610343</v>
      </c>
      <c r="P30" s="31">
        <f>Option2!P$36*conv_2026*P$7</f>
        <v>17594129.788493689</v>
      </c>
      <c r="Q30" s="31">
        <f>Option2!Q$36*conv_2026*Q$7</f>
        <v>19732221.948121611</v>
      </c>
      <c r="R30" s="31">
        <f>Option2!R$36*conv_2026*R$7</f>
        <v>22019513.15757218</v>
      </c>
      <c r="S30" s="31">
        <f>Option2!S$36*conv_2026*S$7</f>
        <v>24434473.765290998</v>
      </c>
      <c r="T30" s="31">
        <f>Option2!T$36*conv_2026*T$7</f>
        <v>27109574.947085213</v>
      </c>
      <c r="U30" s="31">
        <f>Option2!U$36*conv_2026*U$7</f>
        <v>30018857.098178867</v>
      </c>
      <c r="V30" s="31">
        <f>Option2!V$36*conv_2026*V$7</f>
        <v>33012787.586848997</v>
      </c>
      <c r="W30" s="31">
        <f>Option2!W$36*conv_2026*W$7</f>
        <v>35862931.825014539</v>
      </c>
      <c r="X30" s="31">
        <f>Option2!X$36*conv_2026*X$7</f>
        <v>38608458.210940674</v>
      </c>
      <c r="Y30" s="31">
        <f>Option2!Y$36*conv_2026*Y$7</f>
        <v>41296669.046874791</v>
      </c>
      <c r="Z30" s="31">
        <f>Option2!Z$36*conv_2026*Z$7</f>
        <v>43827088.795637086</v>
      </c>
      <c r="AA30" s="31">
        <f>Option2!AA$36*conv_2026*AA$7</f>
        <v>46143825.208370283</v>
      </c>
      <c r="AB30" s="31">
        <f>Option2!AB$36*conv_2026*AB$7</f>
        <v>48164609.299508899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-1988869.8161826823</v>
      </c>
      <c r="G32" s="229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-34173.683309542357</v>
      </c>
      <c r="K32" s="31">
        <f>Option2!K$82*conv_2026*K$7</f>
        <v>-68347.366619084714</v>
      </c>
      <c r="L32" s="31">
        <f>Option2!L$82*conv_2026*L$7</f>
        <v>-102521.04992862708</v>
      </c>
      <c r="M32" s="31">
        <f>Option2!M$82*conv_2026*M$7</f>
        <v>-136694.73323816943</v>
      </c>
      <c r="N32" s="31">
        <f>Option2!N$82*conv_2026*N$7</f>
        <v>-170868.41654771179</v>
      </c>
      <c r="O32" s="31">
        <f>Option2!O$82*conv_2026*O$7</f>
        <v>-170868.41654771179</v>
      </c>
      <c r="P32" s="31">
        <f>Option2!P$82*conv_2026*P$7</f>
        <v>-170868.41654771179</v>
      </c>
      <c r="Q32" s="31">
        <f>Option2!Q$82*conv_2026*Q$7</f>
        <v>-170868.41654771179</v>
      </c>
      <c r="R32" s="31">
        <f>Option2!R$82*conv_2026*R$7</f>
        <v>-170868.41654771179</v>
      </c>
      <c r="S32" s="31">
        <f>Option2!S$82*conv_2026*S$7</f>
        <v>-170868.41654771179</v>
      </c>
      <c r="T32" s="31">
        <f>Option2!T$82*conv_2026*T$7</f>
        <v>-170868.41654771179</v>
      </c>
      <c r="U32" s="31">
        <f>Option2!U$82*conv_2026*U$7</f>
        <v>-170868.41654771179</v>
      </c>
      <c r="V32" s="31">
        <f>Option2!V$82*conv_2026*V$7</f>
        <v>-170868.41654771179</v>
      </c>
      <c r="W32" s="31">
        <f>Option2!W$82*conv_2026*W$7</f>
        <v>-170868.41654771179</v>
      </c>
      <c r="X32" s="31">
        <f>Option2!X$82*conv_2026*X$7</f>
        <v>-170868.41654771179</v>
      </c>
      <c r="Y32" s="31">
        <f>Option2!Y$82*conv_2026*Y$7</f>
        <v>-170868.41654771179</v>
      </c>
      <c r="Z32" s="31">
        <f>Option2!Z$82*conv_2026*Z$7</f>
        <v>-170868.41654771179</v>
      </c>
      <c r="AA32" s="31">
        <f>Option2!AA$82*conv_2026*AA$7</f>
        <v>-170868.41654771179</v>
      </c>
      <c r="AB32" s="31">
        <f>Option2!AB$82*conv_2026*AB$7</f>
        <v>-170868.41654771179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2703505.9704504232</v>
      </c>
      <c r="G34" s="229">
        <f t="shared" si="8"/>
        <v>46203</v>
      </c>
      <c r="H34" s="31"/>
      <c r="I34" s="31">
        <f>Option2!I$84*conv_2026*I$7</f>
        <v>0</v>
      </c>
      <c r="J34" s="31">
        <f>Option2!J$84*conv_2026*J$7</f>
        <v>17801.850372572404</v>
      </c>
      <c r="K34" s="31">
        <f>Option2!K$84*conv_2026*K$7</f>
        <v>41517.155496522784</v>
      </c>
      <c r="L34" s="31">
        <f>Option2!L$84*conv_2026*L$7</f>
        <v>72650.473399756913</v>
      </c>
      <c r="M34" s="31">
        <f>Option2!M$84*conv_2026*M$7</f>
        <v>113080.11121465705</v>
      </c>
      <c r="N34" s="31">
        <f>Option2!N$84*conv_2026*N$7</f>
        <v>165151.40072032675</v>
      </c>
      <c r="O34" s="31">
        <f>Option2!O$84*conv_2026*O$7</f>
        <v>193161.17218642242</v>
      </c>
      <c r="P34" s="31">
        <f>Option2!P$84*conv_2026*P$7</f>
        <v>226189.26392747427</v>
      </c>
      <c r="Q34" s="31">
        <f>Option2!Q$84*conv_2026*Q$7</f>
        <v>245561.78163250652</v>
      </c>
      <c r="R34" s="31">
        <f>Option2!R$84*conv_2026*R$7</f>
        <v>253956.5304552</v>
      </c>
      <c r="S34" s="31">
        <f>Option2!S$84*conv_2026*S$7</f>
        <v>259570.24911230837</v>
      </c>
      <c r="T34" s="31">
        <f>Option2!T$84*conv_2026*T$7</f>
        <v>265900.37795349822</v>
      </c>
      <c r="U34" s="31">
        <f>Option2!U$84*conv_2026*U$7</f>
        <v>273040.01473014744</v>
      </c>
      <c r="V34" s="31">
        <f>Option2!V$84*conv_2026*V$7</f>
        <v>280923.7744329737</v>
      </c>
      <c r="W34" s="31">
        <f>Option2!W$84*conv_2026*W$7</f>
        <v>280923.77443296544</v>
      </c>
      <c r="X34" s="31">
        <f>Option2!X$84*conv_2026*X$7</f>
        <v>280923.77443296957</v>
      </c>
      <c r="Y34" s="31">
        <f>Option2!Y$84*conv_2026*Y$7</f>
        <v>280923.77443296957</v>
      </c>
      <c r="Z34" s="31">
        <f>Option2!Z$84*conv_2026*Z$7</f>
        <v>280923.77443296125</v>
      </c>
      <c r="AA34" s="31">
        <f>Option2!AA$84*conv_2026*AA$7</f>
        <v>280923.77443297784</v>
      </c>
      <c r="AB34" s="31">
        <f>Option2!AB$84*conv_2026*AB$7</f>
        <v>280923.77443296125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Option2!C87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0</v>
      </c>
      <c r="J36" s="52">
        <f t="shared" ref="J36:AG36" si="9">SUM(J32:J35)</f>
        <v>-16371.832936969953</v>
      </c>
      <c r="K36" s="52">
        <f t="shared" si="9"/>
        <v>-26830.21112256193</v>
      </c>
      <c r="L36" s="52">
        <f t="shared" si="9"/>
        <v>-29870.576528870166</v>
      </c>
      <c r="M36" s="52">
        <f t="shared" si="9"/>
        <v>-23614.622023512376</v>
      </c>
      <c r="N36" s="52">
        <f t="shared" si="9"/>
        <v>-5717.0158273850393</v>
      </c>
      <c r="O36" s="52">
        <f t="shared" si="9"/>
        <v>22292.755638710631</v>
      </c>
      <c r="P36" s="52">
        <f t="shared" si="9"/>
        <v>55320.847379762476</v>
      </c>
      <c r="Q36" s="52">
        <f t="shared" si="9"/>
        <v>74693.365084794728</v>
      </c>
      <c r="R36" s="52">
        <f t="shared" si="9"/>
        <v>83088.113907488208</v>
      </c>
      <c r="S36" s="52">
        <f t="shared" si="9"/>
        <v>88701.832564596582</v>
      </c>
      <c r="T36" s="52">
        <f t="shared" si="9"/>
        <v>95031.961405786424</v>
      </c>
      <c r="U36" s="52">
        <f t="shared" si="9"/>
        <v>102171.59818243564</v>
      </c>
      <c r="V36" s="52">
        <f t="shared" si="9"/>
        <v>110055.35788526191</v>
      </c>
      <c r="W36" s="52">
        <f t="shared" si="9"/>
        <v>110055.35788525364</v>
      </c>
      <c r="X36" s="52">
        <f t="shared" si="9"/>
        <v>110055.35788525778</v>
      </c>
      <c r="Y36" s="52">
        <f t="shared" si="9"/>
        <v>110055.35788525778</v>
      </c>
      <c r="Z36" s="52">
        <f t="shared" si="9"/>
        <v>110055.35788524945</v>
      </c>
      <c r="AA36" s="52">
        <f t="shared" si="9"/>
        <v>110055.35788526604</v>
      </c>
      <c r="AB36" s="52">
        <f t="shared" si="9"/>
        <v>110055.35788524945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714636.15426774055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189</v>
      </c>
      <c r="D38" s="38" t="str">
        <f t="shared" si="6"/>
        <v>Option 2PV of costs</v>
      </c>
      <c r="E38" s="1"/>
      <c r="F38" s="108">
        <f>SUM(F32:F33)</f>
        <v>-1988869.8161826823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190</v>
      </c>
      <c r="D39" s="38" t="str">
        <f t="shared" si="6"/>
        <v>Option 2PV of benefits</v>
      </c>
      <c r="E39" s="1"/>
      <c r="F39" s="108">
        <f>SUM(F34:F35)</f>
        <v>2703505.9704504232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237402158.18343517</v>
      </c>
      <c r="G42" s="276">
        <f>output_dollars</f>
        <v>46203</v>
      </c>
      <c r="H42" s="277"/>
      <c r="I42" s="31">
        <f>Option3!I$28*conv_2026</f>
        <v>4336453.6050796015</v>
      </c>
      <c r="J42" s="31">
        <f>Option3!J$28*conv_2026</f>
        <v>4770789.0764619159</v>
      </c>
      <c r="K42" s="31">
        <f>Option3!K$28*conv_2026</f>
        <v>5274454.6054016454</v>
      </c>
      <c r="L42" s="31">
        <f>Option3!L$28*conv_2026</f>
        <v>5851976.7509373715</v>
      </c>
      <c r="M42" s="31">
        <f>Option3!M$28*conv_2026</f>
        <v>6513388.242620402</v>
      </c>
      <c r="N42" s="31">
        <f>Option3!N$28*conv_2026</f>
        <v>7272031.9140805425</v>
      </c>
      <c r="O42" s="31">
        <f>Option3!O$28*conv_2026</f>
        <v>8154137.4882820966</v>
      </c>
      <c r="P42" s="31">
        <f>Option3!P$28*conv_2026</f>
        <v>9163707.2352743372</v>
      </c>
      <c r="Q42" s="31">
        <f>Option3!Q$28*conv_2026</f>
        <v>10274722.154202439</v>
      </c>
      <c r="R42" s="31">
        <f>Option3!R$28*conv_2026</f>
        <v>11459115.639445772</v>
      </c>
      <c r="S42" s="31">
        <f>Option3!S$28*conv_2026</f>
        <v>12710426.380249213</v>
      </c>
      <c r="T42" s="31">
        <f>Option3!T$28*conv_2026</f>
        <v>14096533.252660165</v>
      </c>
      <c r="U42" s="31">
        <f>Option3!U$28*conv_2026</f>
        <v>15603991.359368222</v>
      </c>
      <c r="V42" s="31">
        <f>Option3!V$28*conv_2026</f>
        <v>17155331.581022564</v>
      </c>
      <c r="W42" s="31">
        <f>Option3!W$28*conv_2026</f>
        <v>18631870.859311759</v>
      </c>
      <c r="X42" s="31">
        <f>Option3!X$28*conv_2026</f>
        <v>20054212.049667984</v>
      </c>
      <c r="Y42" s="31">
        <f>Option3!Y$28*conv_2026</f>
        <v>21446860.475817155</v>
      </c>
      <c r="Z42" s="31">
        <f>Option3!Z$28*conv_2026</f>
        <v>22757764.008198034</v>
      </c>
      <c r="AA42" s="31">
        <f>Option3!AA$28*conv_2026</f>
        <v>23957967.234770562</v>
      </c>
      <c r="AB42" s="31">
        <f>Option3!AB$28*conv_2026</f>
        <v>25004850.070927843</v>
      </c>
      <c r="AC42" s="31">
        <f>Option3!AC$28*conv_2026</f>
        <v>26060728.765307367</v>
      </c>
      <c r="AD42" s="31">
        <f>Option3!AD$28*conv_2026</f>
        <v>27138218.679481059</v>
      </c>
      <c r="AE42" s="31">
        <f>Option3!AE$28*conv_2026</f>
        <v>28218567.443371158</v>
      </c>
      <c r="AF42" s="31">
        <f>Option3!AF$28*conv_2026</f>
        <v>29321667.616762102</v>
      </c>
      <c r="AG42" s="31">
        <f>Option3!AG$28*conv_2026</f>
        <v>30429986.945575327</v>
      </c>
    </row>
    <row r="43" spans="1:33" s="2" customFormat="1" x14ac:dyDescent="0.2">
      <c r="A43" s="138" t="str">
        <f>Data!B11</f>
        <v>Option 3</v>
      </c>
      <c r="B43" s="138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-7463612.6964886384</v>
      </c>
      <c r="G43" s="229">
        <f>output_dollars</f>
        <v>46203</v>
      </c>
      <c r="H43" s="31"/>
      <c r="I43" s="31">
        <f>SUM(Option3!I$67:I$69)*conv_2026*I$7</f>
        <v>-1624860.6726119113</v>
      </c>
      <c r="J43" s="31">
        <f>SUM(Option3!J$67:J$69)*conv_2026*J$7</f>
        <v>-1624860.6726119113</v>
      </c>
      <c r="K43" s="31">
        <f>SUM(Option3!K$67:K$69)*conv_2026*K$7</f>
        <v>-1624860.6726119113</v>
      </c>
      <c r="L43" s="31">
        <f>SUM(Option3!L$67:L$69)*conv_2026*L$7</f>
        <v>-1624860.6726119113</v>
      </c>
      <c r="M43" s="31">
        <f>SUM(Option3!M$67:M$69)*conv_2026*M$7</f>
        <v>-1624860.6726119113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329548538.70176393</v>
      </c>
      <c r="G44" s="229">
        <f>output_dollars</f>
        <v>46203</v>
      </c>
      <c r="H44" s="31"/>
      <c r="I44" s="31">
        <f>Option3!I$36*conv_2026*I$7</f>
        <v>8370599.034053646</v>
      </c>
      <c r="J44" s="31">
        <f>Option3!J$36*conv_2026*J$7</f>
        <v>9188414.111781003</v>
      </c>
      <c r="K44" s="31">
        <f>Option3!K$36*conv_2026*K$7</f>
        <v>10133380.163139701</v>
      </c>
      <c r="L44" s="31">
        <f>Option3!L$36*conv_2026*L$7</f>
        <v>11212592.737777298</v>
      </c>
      <c r="M44" s="31">
        <f>Option3!M$36*conv_2026*M$7</f>
        <v>12443381.544296149</v>
      </c>
      <c r="N44" s="31">
        <f>Option3!N$36*conv_2026*N$7</f>
        <v>13848975.926079636</v>
      </c>
      <c r="O44" s="31">
        <f>Option3!O$36*conv_2026*O$7</f>
        <v>15520697.21773514</v>
      </c>
      <c r="P44" s="31">
        <f>Option3!P$36*conv_2026*P$7</f>
        <v>17433097.533561021</v>
      </c>
      <c r="Q44" s="31">
        <f>Option3!Q$36*conv_2026*Q$7</f>
        <v>19552681.729240421</v>
      </c>
      <c r="R44" s="31">
        <f>Option3!R$36*conv_2026*R$7</f>
        <v>21820541.015477978</v>
      </c>
      <c r="S44" s="31">
        <f>Option3!S$36*conv_2026*S$7</f>
        <v>24225872.484613262</v>
      </c>
      <c r="T44" s="31">
        <f>Option3!T$36*conv_2026*T$7</f>
        <v>26890115.67875497</v>
      </c>
      <c r="U44" s="31">
        <f>Option3!U$36*conv_2026*U$7</f>
        <v>29787151.303765342</v>
      </c>
      <c r="V44" s="31">
        <f>Option3!V$36*conv_2026*V$7</f>
        <v>32767558.881977245</v>
      </c>
      <c r="W44" s="31">
        <f>Option3!W$36*conv_2026*W$7</f>
        <v>35617703.12014278</v>
      </c>
      <c r="X44" s="31">
        <f>Option3!X$36*conv_2026*X$7</f>
        <v>38363229.506068908</v>
      </c>
      <c r="Y44" s="31">
        <f>Option3!Y$36*conv_2026*Y$7</f>
        <v>41051440.34200304</v>
      </c>
      <c r="Z44" s="31">
        <f>Option3!Z$36*conv_2026*Z$7</f>
        <v>43581860.090765335</v>
      </c>
      <c r="AA44" s="31">
        <f>Option3!AA$36*conv_2026*AA$7</f>
        <v>45898596.503498532</v>
      </c>
      <c r="AB44" s="31">
        <f>Option3!AB$36*conv_2026*AB$7</f>
        <v>47919380.594637126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-3790982.8038287694</v>
      </c>
      <c r="G46" s="229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-65138.424202454502</v>
      </c>
      <c r="K46" s="31">
        <f>Option3!K$82*conv_2026*K$7</f>
        <v>-130276.848404909</v>
      </c>
      <c r="L46" s="31">
        <f>Option3!L$82*conv_2026*L$7</f>
        <v>-195415.27260736353</v>
      </c>
      <c r="M46" s="31">
        <f>Option3!M$82*conv_2026*M$7</f>
        <v>-260553.69680981801</v>
      </c>
      <c r="N46" s="31">
        <f>Option3!N$82*conv_2026*N$7</f>
        <v>-325692.12101227255</v>
      </c>
      <c r="O46" s="31">
        <f>Option3!O$82*conv_2026*O$7</f>
        <v>-325692.12101227255</v>
      </c>
      <c r="P46" s="31">
        <f>Option3!P$82*conv_2026*P$7</f>
        <v>-325692.12101227255</v>
      </c>
      <c r="Q46" s="31">
        <f>Option3!Q$82*conv_2026*Q$7</f>
        <v>-325692.12101227255</v>
      </c>
      <c r="R46" s="31">
        <f>Option3!R$82*conv_2026*R$7</f>
        <v>-325692.12101227255</v>
      </c>
      <c r="S46" s="31">
        <f>Option3!S$82*conv_2026*S$7</f>
        <v>-325692.12101227255</v>
      </c>
      <c r="T46" s="31">
        <f>Option3!T$82*conv_2026*T$7</f>
        <v>-325692.12101227255</v>
      </c>
      <c r="U46" s="31">
        <f>Option3!U$82*conv_2026*U$7</f>
        <v>-325692.12101227255</v>
      </c>
      <c r="V46" s="31">
        <f>Option3!V$82*conv_2026*V$7</f>
        <v>-325692.12101227255</v>
      </c>
      <c r="W46" s="31">
        <f>Option3!W$82*conv_2026*W$7</f>
        <v>-325692.12101227255</v>
      </c>
      <c r="X46" s="31">
        <f>Option3!X$82*conv_2026*X$7</f>
        <v>-325692.12101227255</v>
      </c>
      <c r="Y46" s="31">
        <f>Option3!Y$82*conv_2026*Y$7</f>
        <v>-325692.12101227255</v>
      </c>
      <c r="Z46" s="31">
        <f>Option3!Z$82*conv_2026*Z$7</f>
        <v>-325692.12101227255</v>
      </c>
      <c r="AA46" s="31">
        <f>Option3!AA$82*conv_2026*AA$7</f>
        <v>-325692.12101227255</v>
      </c>
      <c r="AB46" s="31">
        <f>Option3!AB$82*conv_2026*AB$7</f>
        <v>-325692.12101227255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4894913.5486541521</v>
      </c>
      <c r="G48" s="229">
        <f t="shared" si="12"/>
        <v>46203</v>
      </c>
      <c r="H48" s="31"/>
      <c r="I48" s="31">
        <f>Option3!I$84*conv_2026*I$7</f>
        <v>0</v>
      </c>
      <c r="J48" s="31">
        <f>Option3!J$84*conv_2026*J$7</f>
        <v>31187.046971164975</v>
      </c>
      <c r="K48" s="31">
        <f>Option3!K$84*conv_2026*K$7</f>
        <v>72492.325178451007</v>
      </c>
      <c r="L48" s="31">
        <f>Option3!L$84*conv_2026*L$7</f>
        <v>126404.51212451563</v>
      </c>
      <c r="M48" s="31">
        <f>Option3!M$84*conv_2026*M$7</f>
        <v>196009.94284973003</v>
      </c>
      <c r="N48" s="31">
        <f>Option3!N$84*conv_2026*N$7</f>
        <v>285137.33176426269</v>
      </c>
      <c r="O48" s="31">
        <f>Option3!O$84*conv_2026*O$7</f>
        <v>332114.97055471252</v>
      </c>
      <c r="P48" s="31">
        <f>Option3!P$84*conv_2026*P$7</f>
        <v>387221.51886014413</v>
      </c>
      <c r="Q48" s="31">
        <f>Option3!Q$84*conv_2026*Q$7</f>
        <v>425102.00051369547</v>
      </c>
      <c r="R48" s="31">
        <f>Option3!R$84*conv_2026*R$7</f>
        <v>452928.67254940397</v>
      </c>
      <c r="S48" s="31">
        <f>Option3!S$84*conv_2026*S$7</f>
        <v>468171.52979004325</v>
      </c>
      <c r="T48" s="31">
        <f>Option3!T$84*conv_2026*T$7</f>
        <v>485359.64628374233</v>
      </c>
      <c r="U48" s="31">
        <f>Option3!U$84*conv_2026*U$7</f>
        <v>504745.80914367264</v>
      </c>
      <c r="V48" s="31">
        <f>Option3!V$84*conv_2026*V$7</f>
        <v>526152.47930472705</v>
      </c>
      <c r="W48" s="31">
        <f>Option3!W$84*conv_2026*W$7</f>
        <v>526152.47930472705</v>
      </c>
      <c r="X48" s="31">
        <f>Option3!X$84*conv_2026*X$7</f>
        <v>526152.47930473124</v>
      </c>
      <c r="Y48" s="31">
        <f>Option3!Y$84*conv_2026*Y$7</f>
        <v>526152.47930472298</v>
      </c>
      <c r="Z48" s="31">
        <f>Option3!Z$84*conv_2026*Z$7</f>
        <v>526152.47930471471</v>
      </c>
      <c r="AA48" s="31">
        <f>Option3!AA$84*conv_2026*AA$7</f>
        <v>526152.47930473124</v>
      </c>
      <c r="AB48" s="31">
        <f>Option3!AB$84*conv_2026*AB$7</f>
        <v>526152.47930473124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Option3!C87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0</v>
      </c>
      <c r="J50" s="52">
        <f t="shared" si="13"/>
        <v>-33951.377231289531</v>
      </c>
      <c r="K50" s="52">
        <f t="shared" si="13"/>
        <v>-57784.523226457997</v>
      </c>
      <c r="L50" s="52">
        <f t="shared" si="13"/>
        <v>-69010.760482847894</v>
      </c>
      <c r="M50" s="52">
        <f t="shared" si="13"/>
        <v>-64543.753960087983</v>
      </c>
      <c r="N50" s="52">
        <f t="shared" si="13"/>
        <v>-40554.789248009853</v>
      </c>
      <c r="O50" s="52">
        <f t="shared" si="13"/>
        <v>6422.8495424399734</v>
      </c>
      <c r="P50" s="52">
        <f t="shared" si="13"/>
        <v>61529.397847871587</v>
      </c>
      <c r="Q50" s="52">
        <f t="shared" si="13"/>
        <v>99409.879501422925</v>
      </c>
      <c r="R50" s="52">
        <f t="shared" si="13"/>
        <v>127236.55153713142</v>
      </c>
      <c r="S50" s="52">
        <f t="shared" si="13"/>
        <v>142479.4087777707</v>
      </c>
      <c r="T50" s="52">
        <f t="shared" si="13"/>
        <v>159667.52527146979</v>
      </c>
      <c r="U50" s="52">
        <f t="shared" si="13"/>
        <v>179053.68813140009</v>
      </c>
      <c r="V50" s="52">
        <f t="shared" si="13"/>
        <v>200460.3582924545</v>
      </c>
      <c r="W50" s="52">
        <f t="shared" si="13"/>
        <v>200460.3582924545</v>
      </c>
      <c r="X50" s="52">
        <f t="shared" si="13"/>
        <v>200460.3582924587</v>
      </c>
      <c r="Y50" s="52">
        <f t="shared" si="13"/>
        <v>200460.35829245043</v>
      </c>
      <c r="Z50" s="52">
        <f t="shared" si="13"/>
        <v>200460.35829244216</v>
      </c>
      <c r="AA50" s="52">
        <f t="shared" si="13"/>
        <v>200460.3582924587</v>
      </c>
      <c r="AB50" s="52">
        <f t="shared" si="13"/>
        <v>200460.3582924587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1103930.7448253825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189</v>
      </c>
      <c r="D52" s="38" t="str">
        <f t="shared" si="11"/>
        <v>Option 3PV of costs</v>
      </c>
      <c r="E52" s="1"/>
      <c r="F52" s="108">
        <f>SUM(F46:F47)</f>
        <v>-3790982.8038287694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190</v>
      </c>
      <c r="D53" s="38" t="str">
        <f t="shared" si="11"/>
        <v>Option 3PV of benefits</v>
      </c>
      <c r="E53" s="1"/>
      <c r="F53" s="108">
        <f>SUM(F48:F49)</f>
        <v>4894913.5486541521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237574830.80016458</v>
      </c>
      <c r="G56" s="276">
        <f>output_dollars</f>
        <v>46203</v>
      </c>
      <c r="H56" s="277"/>
      <c r="I56" s="31">
        <f>Option4!I$28*conv_2026</f>
        <v>4243845.8755983412</v>
      </c>
      <c r="J56" s="31">
        <f>Option4!J$28*conv_2026</f>
        <v>4671281.7434822917</v>
      </c>
      <c r="K56" s="31">
        <f>Option4!K$28*conv_2026</f>
        <v>5167927.2673915224</v>
      </c>
      <c r="L56" s="31">
        <f>Option4!L$28*conv_2026</f>
        <v>5738421.6187239233</v>
      </c>
      <c r="M56" s="31">
        <f>Option4!M$28*conv_2026</f>
        <v>6392954.670310243</v>
      </c>
      <c r="N56" s="31">
        <f>Option4!N$28*conv_2026</f>
        <v>7305716.0432970487</v>
      </c>
      <c r="O56" s="31">
        <f>Option4!O$28*conv_2026</f>
        <v>8193516.733891773</v>
      </c>
      <c r="P56" s="31">
        <f>Option4!P$28*conv_2026</f>
        <v>9209867.8242287226</v>
      </c>
      <c r="Q56" s="31">
        <f>Option4!Q$28*conv_2026</f>
        <v>10325062.660971684</v>
      </c>
      <c r="R56" s="31">
        <f>Option4!R$28*conv_2026</f>
        <v>11512582.990905385</v>
      </c>
      <c r="S56" s="31">
        <f>Option4!S$28*conv_2026</f>
        <v>12765388.242434055</v>
      </c>
      <c r="T56" s="31">
        <f>Option4!T$28*conv_2026</f>
        <v>14153223.127078492</v>
      </c>
      <c r="U56" s="31">
        <f>Option4!U$28*conv_2026</f>
        <v>15662745.268448696</v>
      </c>
      <c r="V56" s="31">
        <f>Option4!V$28*conv_2026</f>
        <v>17216373.570756111</v>
      </c>
      <c r="W56" s="31">
        <f>Option4!W$28*conv_2026</f>
        <v>18691948.054427154</v>
      </c>
      <c r="X56" s="31">
        <f>Option4!X$28*conv_2026</f>
        <v>20113933.398835305</v>
      </c>
      <c r="Y56" s="31">
        <f>Option4!Y$28*conv_2026</f>
        <v>21506482.771409925</v>
      </c>
      <c r="Z56" s="31">
        <f>Option4!Z$28*conv_2026</f>
        <v>22817279.278968632</v>
      </c>
      <c r="AA56" s="31">
        <f>Option4!AA$28*conv_2026</f>
        <v>24017366.855907016</v>
      </c>
      <c r="AB56" s="31">
        <f>Option4!AB$28*conv_2026</f>
        <v>25064124.709842715</v>
      </c>
      <c r="AC56" s="31">
        <f>Option4!AC$28*conv_2026</f>
        <v>26119868.322896346</v>
      </c>
      <c r="AD56" s="31">
        <f>Option4!AD$28*conv_2026</f>
        <v>27197212.226470754</v>
      </c>
      <c r="AE56" s="31">
        <f>Option4!AE$28*conv_2026</f>
        <v>28277403.15134367</v>
      </c>
      <c r="AF56" s="31">
        <f>Option4!AF$28*conv_2026</f>
        <v>29380351.549589608</v>
      </c>
      <c r="AG56" s="31">
        <f>Option4!AG$28*conv_2026</f>
        <v>30488670.878402837</v>
      </c>
    </row>
    <row r="57" spans="1:33" s="2" customFormat="1" x14ac:dyDescent="0.2">
      <c r="A57" s="138" t="str">
        <f>Data!B12</f>
        <v>Option 4</v>
      </c>
      <c r="B57" s="138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-6662145.9076218</v>
      </c>
      <c r="G57" s="229">
        <f>output_dollars</f>
        <v>46203</v>
      </c>
      <c r="H57" s="31"/>
      <c r="I57" s="31">
        <f>SUM(Option4!I$67:I$69)*conv_2026*I$7</f>
        <v>-1112912.6464165968</v>
      </c>
      <c r="J57" s="31">
        <f>SUM(Option4!J$67:J$69)*conv_2026*J$7</f>
        <v>-1542253.1949444397</v>
      </c>
      <c r="K57" s="31">
        <f>SUM(Option4!K$67:K$69)*conv_2026*K$7</f>
        <v>-1542253.1949444397</v>
      </c>
      <c r="L57" s="31">
        <f>SUM(Option4!L$67:L$69)*conv_2026*L$7</f>
        <v>-1542253.1949444397</v>
      </c>
      <c r="M57" s="31">
        <f>SUM(Option4!M$67:M$69)*conv_2026*M$7</f>
        <v>-1542253.1949444397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330949314.32873595</v>
      </c>
      <c r="G58" s="229">
        <f>output_dollars</f>
        <v>46203</v>
      </c>
      <c r="H58" s="31"/>
      <c r="I58" s="31">
        <f>Option4!I$36*conv_2026*I$7</f>
        <v>7978831.0664642062</v>
      </c>
      <c r="J58" s="31">
        <f>Option4!J$36*conv_2026*J$7</f>
        <v>8775392.0527798459</v>
      </c>
      <c r="K58" s="31">
        <f>Option4!K$36*conv_2026*K$7</f>
        <v>9701168.7514463849</v>
      </c>
      <c r="L58" s="31">
        <f>Option4!L$36*conv_2026*L$7</f>
        <v>10764366.229148278</v>
      </c>
      <c r="M58" s="31">
        <f>Option4!M$36*conv_2026*M$7</f>
        <v>11983764.139767706</v>
      </c>
      <c r="N58" s="31">
        <f>Option4!N$36*conv_2026*N$7</f>
        <v>14064012.50181273</v>
      </c>
      <c r="O58" s="31">
        <f>Option4!O$36*conv_2026*O$7</f>
        <v>15771777.574671045</v>
      </c>
      <c r="P58" s="31">
        <f>Option4!P$36*conv_2026*P$7</f>
        <v>17726884.849591296</v>
      </c>
      <c r="Q58" s="31">
        <f>Option4!Q$36*conv_2026*Q$7</f>
        <v>19873788.603026938</v>
      </c>
      <c r="R58" s="31">
        <f>Option4!R$36*conv_2026*R$7</f>
        <v>22161954.827122945</v>
      </c>
      <c r="S58" s="31">
        <f>Option4!S$36*conv_2026*S$7</f>
        <v>24577486.472502057</v>
      </c>
      <c r="T58" s="31">
        <f>Option4!T$36*conv_2026*T$7</f>
        <v>27253412.523666278</v>
      </c>
      <c r="U58" s="31">
        <f>Option4!U$36*conv_2026*U$7</f>
        <v>30164111.700465061</v>
      </c>
      <c r="V58" s="31">
        <f>Option4!V$36*conv_2026*V$7</f>
        <v>33159644.653760374</v>
      </c>
      <c r="W58" s="31">
        <f>Option4!W$36*conv_2026*W$7</f>
        <v>36005707.422389686</v>
      </c>
      <c r="X58" s="31">
        <f>Option4!X$36*conv_2026*X$7</f>
        <v>38749728.43673794</v>
      </c>
      <c r="Y58" s="31">
        <f>Option4!Y$36*conv_2026*Y$7</f>
        <v>41437520.236185603</v>
      </c>
      <c r="Z58" s="31">
        <f>Option4!Z$36*conv_2026*Z$7</f>
        <v>43967487.226875752</v>
      </c>
      <c r="AA58" s="31">
        <f>Option4!AA$36*conv_2026*AA$7</f>
        <v>46283734.395110935</v>
      </c>
      <c r="AB58" s="31">
        <f>Option4!AB$36*conv_2026*AB$7</f>
        <v>48303989.761150591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-5881792.4042270426</v>
      </c>
      <c r="G60" s="229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-1151864.5890411779</v>
      </c>
      <c r="K60" s="31">
        <f>Option4!K$82*conv_2026*K$7</f>
        <v>-1169076.2597085256</v>
      </c>
      <c r="L60" s="31">
        <f>Option4!L$82*conv_2026*L$7</f>
        <v>-1186287.9303758733</v>
      </c>
      <c r="M60" s="31">
        <f>Option4!M$82*conv_2026*M$7</f>
        <v>-1203499.6010432208</v>
      </c>
      <c r="N60" s="31">
        <f>Option4!N$82*conv_2026*N$7</f>
        <v>-1220711.2717105683</v>
      </c>
      <c r="O60" s="31">
        <f>Option4!O$82*conv_2026*O$7</f>
        <v>-68846.682669390444</v>
      </c>
      <c r="P60" s="31">
        <f>Option4!P$82*conv_2026*P$7</f>
        <v>-68846.682669390444</v>
      </c>
      <c r="Q60" s="31">
        <f>Option4!Q$82*conv_2026*Q$7</f>
        <v>-68846.682669390444</v>
      </c>
      <c r="R60" s="31">
        <f>Option4!R$82*conv_2026*R$7</f>
        <v>-68846.682669390444</v>
      </c>
      <c r="S60" s="31">
        <f>Option4!S$82*conv_2026*S$7</f>
        <v>-68846.682669390444</v>
      </c>
      <c r="T60" s="31">
        <f>Option4!T$82*conv_2026*T$7</f>
        <v>-68846.682669390444</v>
      </c>
      <c r="U60" s="31">
        <f>Option4!U$82*conv_2026*U$7</f>
        <v>-68846.682669390444</v>
      </c>
      <c r="V60" s="31">
        <f>Option4!V$82*conv_2026*V$7</f>
        <v>-68846.682669390444</v>
      </c>
      <c r="W60" s="31">
        <f>Option4!W$82*conv_2026*W$7</f>
        <v>-68846.682669390444</v>
      </c>
      <c r="X60" s="31">
        <f>Option4!X$82*conv_2026*X$7</f>
        <v>-68846.682669390444</v>
      </c>
      <c r="Y60" s="31">
        <f>Option4!Y$82*conv_2026*Y$7</f>
        <v>-68846.682669390444</v>
      </c>
      <c r="Z60" s="31">
        <f>Option4!Z$82*conv_2026*Z$7</f>
        <v>-68846.682669390444</v>
      </c>
      <c r="AA60" s="31">
        <f>Option4!AA$82*conv_2026*AA$7</f>
        <v>-68846.682669390444</v>
      </c>
      <c r="AB60" s="31">
        <f>Option4!AB$82*conv_2026*AB$7</f>
        <v>-68846.682669390444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3494137.9216820844</v>
      </c>
      <c r="G62" s="229">
        <f t="shared" si="16"/>
        <v>46203</v>
      </c>
      <c r="H62" s="31"/>
      <c r="I62" s="31">
        <f>Option4!I$84*conv_2026*I$7</f>
        <v>391767.96758944029</v>
      </c>
      <c r="J62" s="31">
        <f>Option4!J$84*conv_2026*J$7</f>
        <v>444209.10597232316</v>
      </c>
      <c r="K62" s="31">
        <f>Option4!K$84*conv_2026*K$7</f>
        <v>504703.73687176692</v>
      </c>
      <c r="L62" s="31">
        <f>Option4!L$84*conv_2026*L$7</f>
        <v>574631.02075353637</v>
      </c>
      <c r="M62" s="31">
        <f>Option4!M$84*conv_2026*M$7</f>
        <v>655627.34737817268</v>
      </c>
      <c r="N62" s="31">
        <f>Option4!N$84*conv_2026*N$7</f>
        <v>70100.756031170517</v>
      </c>
      <c r="O62" s="31">
        <f>Option4!O$84*conv_2026*O$7</f>
        <v>81034.613618807722</v>
      </c>
      <c r="P62" s="31">
        <f>Option4!P$84*conv_2026*P$7</f>
        <v>93434.202829869071</v>
      </c>
      <c r="Q62" s="31">
        <f>Option4!Q$84*conv_2026*Q$7</f>
        <v>103995.12672718098</v>
      </c>
      <c r="R62" s="31">
        <f>Option4!R$84*conv_2026*R$7</f>
        <v>111514.86090443724</v>
      </c>
      <c r="S62" s="31">
        <f>Option4!S$84*conv_2026*S$7</f>
        <v>116557.54190124893</v>
      </c>
      <c r="T62" s="31">
        <f>Option4!T$84*conv_2026*T$7</f>
        <v>122062.80137243609</v>
      </c>
      <c r="U62" s="31">
        <f>Option4!U$84*conv_2026*U$7</f>
        <v>127785.41244395514</v>
      </c>
      <c r="V62" s="31">
        <f>Option4!V$84*conv_2026*V$7</f>
        <v>134066.70752159745</v>
      </c>
      <c r="W62" s="31">
        <f>Option4!W$84*conv_2026*W$7</f>
        <v>138148.17705781723</v>
      </c>
      <c r="X62" s="31">
        <f>Option4!X$84*conv_2026*X$7</f>
        <v>139653.54863569944</v>
      </c>
      <c r="Y62" s="31">
        <f>Option4!Y$84*conv_2026*Y$7</f>
        <v>140072.58512216364</v>
      </c>
      <c r="Z62" s="31">
        <f>Option4!Z$84*conv_2026*Z$7</f>
        <v>140525.34319429737</v>
      </c>
      <c r="AA62" s="31">
        <f>Option4!AA$84*conv_2026*AA$7</f>
        <v>141014.5876923257</v>
      </c>
      <c r="AB62" s="31">
        <f>Option4!AB$84*conv_2026*AB$7</f>
        <v>141543.31279127166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Option4!C87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391767.96758944029</v>
      </c>
      <c r="J64" s="52">
        <f t="shared" si="17"/>
        <v>-707655.48306885478</v>
      </c>
      <c r="K64" s="52">
        <f t="shared" si="17"/>
        <v>-664372.52283675876</v>
      </c>
      <c r="L64" s="52">
        <f t="shared" si="17"/>
        <v>-611656.90962233697</v>
      </c>
      <c r="M64" s="52">
        <f t="shared" si="17"/>
        <v>-547872.25366504816</v>
      </c>
      <c r="N64" s="52">
        <f t="shared" si="17"/>
        <v>-1150610.5156793979</v>
      </c>
      <c r="O64" s="52">
        <f t="shared" si="17"/>
        <v>12187.930949417278</v>
      </c>
      <c r="P64" s="52">
        <f t="shared" si="17"/>
        <v>24587.520160478627</v>
      </c>
      <c r="Q64" s="52">
        <f t="shared" si="17"/>
        <v>35148.444057790533</v>
      </c>
      <c r="R64" s="52">
        <f t="shared" si="17"/>
        <v>42668.178235046798</v>
      </c>
      <c r="S64" s="52">
        <f t="shared" si="17"/>
        <v>47710.859231858485</v>
      </c>
      <c r="T64" s="52">
        <f t="shared" si="17"/>
        <v>53216.118703045649</v>
      </c>
      <c r="U64" s="52">
        <f t="shared" si="17"/>
        <v>58938.729774564694</v>
      </c>
      <c r="V64" s="52">
        <f t="shared" si="17"/>
        <v>65220.024852207003</v>
      </c>
      <c r="W64" s="52">
        <f t="shared" si="17"/>
        <v>69301.494388426785</v>
      </c>
      <c r="X64" s="52">
        <f t="shared" si="17"/>
        <v>70806.865966308993</v>
      </c>
      <c r="Y64" s="52">
        <f t="shared" si="17"/>
        <v>71225.902452773196</v>
      </c>
      <c r="Z64" s="52">
        <f t="shared" si="17"/>
        <v>71678.660524906925</v>
      </c>
      <c r="AA64" s="52">
        <f t="shared" si="17"/>
        <v>72167.905022935258</v>
      </c>
      <c r="AB64" s="52">
        <f t="shared" si="17"/>
        <v>72696.630121881215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-2387654.4825449572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189</v>
      </c>
      <c r="D66" s="38" t="str">
        <f t="shared" si="14"/>
        <v>Option 4PV of costs</v>
      </c>
      <c r="E66" s="1"/>
      <c r="F66" s="108">
        <f>SUM(F60:F61)</f>
        <v>-5881792.4042270426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190</v>
      </c>
      <c r="D67" s="38" t="str">
        <f t="shared" si="14"/>
        <v>Option 4PV of benefits</v>
      </c>
      <c r="E67" s="1"/>
      <c r="F67" s="108">
        <f>SUM(F62:F63)</f>
        <v>3494137.9216820844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237584687.35066378</v>
      </c>
      <c r="G70" s="276">
        <f>output_dollars</f>
        <v>46203</v>
      </c>
      <c r="H70" s="277"/>
      <c r="I70" s="31">
        <f>Option5!I$28*conv_2026</f>
        <v>4313203.0039086267</v>
      </c>
      <c r="J70" s="31">
        <f>Option5!J$28*conv_2026</f>
        <v>4744694.0927425474</v>
      </c>
      <c r="K70" s="31">
        <f>Option5!K$28*conv_2026</f>
        <v>5247367.3377081379</v>
      </c>
      <c r="L70" s="31">
        <f>Option5!L$28*conv_2026</f>
        <v>5824131.4431004506</v>
      </c>
      <c r="M70" s="31">
        <f>Option5!M$28*conv_2026</f>
        <v>6485107.3854002384</v>
      </c>
      <c r="N70" s="31">
        <f>Option5!N$28*conv_2026</f>
        <v>7285851.006973437</v>
      </c>
      <c r="O70" s="31">
        <f>Option5!O$28*conv_2026</f>
        <v>8170153.2671197942</v>
      </c>
      <c r="P70" s="31">
        <f>Option5!P$28*conv_2026</f>
        <v>9182277.6410542522</v>
      </c>
      <c r="Q70" s="31">
        <f>Option5!Q$28*conv_2026</f>
        <v>10295506.142047688</v>
      </c>
      <c r="R70" s="31">
        <f>Option5!R$28*conv_2026</f>
        <v>11482567.949198887</v>
      </c>
      <c r="S70" s="31">
        <f>Option5!S$28*conv_2026</f>
        <v>12735051.849370768</v>
      </c>
      <c r="T70" s="31">
        <f>Option5!T$28*conv_2026</f>
        <v>14122486.401831441</v>
      </c>
      <c r="U70" s="31">
        <f>Option5!U$28*conv_2026</f>
        <v>15631447.273797387</v>
      </c>
      <c r="V70" s="31">
        <f>Option5!V$28*conv_2026</f>
        <v>17184445.518353604</v>
      </c>
      <c r="W70" s="31">
        <f>Option5!W$28*conv_2026</f>
        <v>18660613.888079461</v>
      </c>
      <c r="X70" s="31">
        <f>Option5!X$28*conv_2026</f>
        <v>20082857.789580937</v>
      </c>
      <c r="Y70" s="31">
        <f>Option5!Y$28*conv_2026</f>
        <v>21475506.215730101</v>
      </c>
      <c r="Z70" s="31">
        <f>Option5!Z$28*conv_2026</f>
        <v>22786409.74811098</v>
      </c>
      <c r="AA70" s="31">
        <f>Option5!AA$28*conv_2026</f>
        <v>23986612.974683516</v>
      </c>
      <c r="AB70" s="31">
        <f>Option5!AB$28*conv_2026</f>
        <v>25033495.810840793</v>
      </c>
      <c r="AC70" s="31">
        <f>Option5!AC$28*conv_2026</f>
        <v>26089374.505220316</v>
      </c>
      <c r="AD70" s="31">
        <f>Option5!AD$28*conv_2026</f>
        <v>27166864.419394009</v>
      </c>
      <c r="AE70" s="31">
        <f>Option5!AE$28*conv_2026</f>
        <v>28247213.183284104</v>
      </c>
      <c r="AF70" s="31">
        <f>Option5!AF$28*conv_2026</f>
        <v>29350313.356675044</v>
      </c>
      <c r="AG70" s="31">
        <f>Option5!AG$28*conv_2026</f>
        <v>30458632.685488272</v>
      </c>
    </row>
    <row r="71" spans="1:33" s="2" customFormat="1" x14ac:dyDescent="0.2">
      <c r="A71" s="138" t="str">
        <f>Data!B13</f>
        <v>Option 5</v>
      </c>
      <c r="B71" s="138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-5949969.9170510462</v>
      </c>
      <c r="G71" s="229">
        <f>output_dollars</f>
        <v>46203</v>
      </c>
      <c r="H71" s="31"/>
      <c r="I71" s="31">
        <f>SUM(Option5!I$67:I$69)*conv_2026*I$7</f>
        <v>-1223424.3261366265</v>
      </c>
      <c r="J71" s="31">
        <f>SUM(Option5!J$67:J$69)*conv_2026*J$7</f>
        <v>-1223424.3261366265</v>
      </c>
      <c r="K71" s="31">
        <f>SUM(Option5!K$67:K$69)*conv_2026*K$7</f>
        <v>-1223424.3261366265</v>
      </c>
      <c r="L71" s="31">
        <f>SUM(Option5!L$67:L$69)*conv_2026*L$7</f>
        <v>-1223424.3261366265</v>
      </c>
      <c r="M71" s="31">
        <f>SUM(Option5!M$67:M$69)*conv_2026*M$7</f>
        <v>-1609038.096741101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330628716.59807223</v>
      </c>
      <c r="G72" s="229">
        <f>output_dollars</f>
        <v>46203</v>
      </c>
      <c r="H72" s="31"/>
      <c r="I72" s="31">
        <f>Option5!I$36*conv_2026*I$7</f>
        <v>8347348.4328826703</v>
      </c>
      <c r="J72" s="31">
        <f>Option5!J$36*conv_2026*J$7</f>
        <v>9045823.2671457231</v>
      </c>
      <c r="K72" s="31">
        <f>Option5!K$36*conv_2026*K$7</f>
        <v>9988338.1198816728</v>
      </c>
      <c r="L72" s="31">
        <f>Option5!L$36*conv_2026*L$7</f>
        <v>11067350.063075738</v>
      </c>
      <c r="M72" s="31">
        <f>Option5!M$36*conv_2026*M$7</f>
        <v>12300917.059852548</v>
      </c>
      <c r="N72" s="31">
        <f>Option5!N$36*conv_2026*N$7</f>
        <v>13945435.724100335</v>
      </c>
      <c r="O72" s="31">
        <f>Option5!O$36*conv_2026*O$7</f>
        <v>15632670.656701989</v>
      </c>
      <c r="P72" s="31">
        <f>Option5!P$36*conv_2026*P$7</f>
        <v>17563160.128756147</v>
      </c>
      <c r="Q72" s="31">
        <f>Option5!Q$36*conv_2026*Q$7</f>
        <v>19697444.332688477</v>
      </c>
      <c r="R72" s="31">
        <f>Option5!R$36*conv_2026*R$7</f>
        <v>21981407.467405573</v>
      </c>
      <c r="S72" s="31">
        <f>Option5!S$36*conv_2026*S$7</f>
        <v>24394042.243790627</v>
      </c>
      <c r="T72" s="31">
        <f>Option5!T$36*conv_2026*T$7</f>
        <v>27066547.454696931</v>
      </c>
      <c r="U72" s="31">
        <f>Option5!U$36*conv_2026*U$7</f>
        <v>29972931.080831364</v>
      </c>
      <c r="V72" s="31">
        <f>Option5!V$36*conv_2026*V$7</f>
        <v>32963653.358699199</v>
      </c>
      <c r="W72" s="31">
        <f>Option5!W$36*conv_2026*W$7</f>
        <v>35811738.154089466</v>
      </c>
      <c r="X72" s="31">
        <f>Option5!X$36*conv_2026*X$7</f>
        <v>38556724.350737609</v>
      </c>
      <c r="Y72" s="31">
        <f>Option5!Y$36*conv_2026*Y$7</f>
        <v>41244935.186671726</v>
      </c>
      <c r="Z72" s="31">
        <f>Option5!Z$36*conv_2026*Z$7</f>
        <v>43775354.935434021</v>
      </c>
      <c r="AA72" s="31">
        <f>Option5!AA$36*conv_2026*AA$7</f>
        <v>46092091.348167233</v>
      </c>
      <c r="AB72" s="31">
        <f>Option5!AB$36*conv_2026*AB$7</f>
        <v>48112875.43930582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-3845391.8868192271</v>
      </c>
      <c r="G74" s="229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-418128.54632326833</v>
      </c>
      <c r="K74" s="31">
        <f>Option5!K$82*conv_2026*K$7</f>
        <v>-452302.22963281069</v>
      </c>
      <c r="L74" s="31">
        <f>Option5!L$82*conv_2026*L$7</f>
        <v>-486475.912942353</v>
      </c>
      <c r="M74" s="31">
        <f>Option5!M$82*conv_2026*M$7</f>
        <v>-520649.59625189536</v>
      </c>
      <c r="N74" s="31">
        <f>Option5!N$82*conv_2026*N$7</f>
        <v>-570282.00398706202</v>
      </c>
      <c r="O74" s="31">
        <f>Option5!O$82*conv_2026*O$7</f>
        <v>-186327.14097333621</v>
      </c>
      <c r="P74" s="31">
        <f>Option5!P$82*conv_2026*P$7</f>
        <v>-186327.14097333621</v>
      </c>
      <c r="Q74" s="31">
        <f>Option5!Q$82*conv_2026*Q$7</f>
        <v>-186327.14097333621</v>
      </c>
      <c r="R74" s="31">
        <f>Option5!R$82*conv_2026*R$7</f>
        <v>-186327.14097333621</v>
      </c>
      <c r="S74" s="31">
        <f>Option5!S$82*conv_2026*S$7</f>
        <v>-186327.14097333621</v>
      </c>
      <c r="T74" s="31">
        <f>Option5!T$82*conv_2026*T$7</f>
        <v>-186327.14097333621</v>
      </c>
      <c r="U74" s="31">
        <f>Option5!U$82*conv_2026*U$7</f>
        <v>-186327.14097333621</v>
      </c>
      <c r="V74" s="31">
        <f>Option5!V$82*conv_2026*V$7</f>
        <v>-186327.14097333621</v>
      </c>
      <c r="W74" s="31">
        <f>Option5!W$82*conv_2026*W$7</f>
        <v>-186327.14097333621</v>
      </c>
      <c r="X74" s="31">
        <f>Option5!X$82*conv_2026*X$7</f>
        <v>-186327.14097333621</v>
      </c>
      <c r="Y74" s="31">
        <f>Option5!Y$82*conv_2026*Y$7</f>
        <v>-186327.14097333621</v>
      </c>
      <c r="Z74" s="31">
        <f>Option5!Z$82*conv_2026*Z$7</f>
        <v>-186327.14097333621</v>
      </c>
      <c r="AA74" s="31">
        <f>Option5!AA$82*conv_2026*AA$7</f>
        <v>-186327.14097333621</v>
      </c>
      <c r="AB74" s="31">
        <f>Option5!AB$82*conv_2026*AB$7</f>
        <v>-186327.14097333621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3814735.6523458967</v>
      </c>
      <c r="G76" s="229">
        <f t="shared" si="20"/>
        <v>46203</v>
      </c>
      <c r="H76" s="31"/>
      <c r="I76" s="31">
        <f>Option5!I$84*conv_2026*I$7</f>
        <v>23250.601170975835</v>
      </c>
      <c r="J76" s="31">
        <f>Option5!J$84*conv_2026*J$7</f>
        <v>173777.89160644595</v>
      </c>
      <c r="K76" s="31">
        <f>Option5!K$84*conv_2026*K$7</f>
        <v>217534.36843647849</v>
      </c>
      <c r="L76" s="31">
        <f>Option5!L$84*conv_2026*L$7</f>
        <v>271647.18682607479</v>
      </c>
      <c r="M76" s="31">
        <f>Option5!M$84*conv_2026*M$7</f>
        <v>338474.427293332</v>
      </c>
      <c r="N76" s="31">
        <f>Option5!N$84*conv_2026*N$7</f>
        <v>188677.53374356471</v>
      </c>
      <c r="O76" s="31">
        <f>Option5!O$84*conv_2026*O$7</f>
        <v>220141.53158786328</v>
      </c>
      <c r="P76" s="31">
        <f>Option5!P$84*conv_2026*P$7</f>
        <v>257158.92366501811</v>
      </c>
      <c r="Q76" s="31">
        <f>Option5!Q$84*conv_2026*Q$7</f>
        <v>280339.39706563944</v>
      </c>
      <c r="R76" s="31">
        <f>Option5!R$84*conv_2026*R$7</f>
        <v>292062.22062180866</v>
      </c>
      <c r="S76" s="31">
        <f>Option5!S$84*conv_2026*S$7</f>
        <v>300001.77061267995</v>
      </c>
      <c r="T76" s="31">
        <f>Option5!T$84*conv_2026*T$7</f>
        <v>308927.87034178182</v>
      </c>
      <c r="U76" s="31">
        <f>Option5!U$84*conv_2026*U$7</f>
        <v>318966.03207765077</v>
      </c>
      <c r="V76" s="31">
        <f>Option5!V$84*conv_2026*V$7</f>
        <v>330058.00258277077</v>
      </c>
      <c r="W76" s="31">
        <f>Option5!W$84*conv_2026*W$7</f>
        <v>332117.44535803568</v>
      </c>
      <c r="X76" s="31">
        <f>Option5!X$84*conv_2026*X$7</f>
        <v>332657.63463603001</v>
      </c>
      <c r="Y76" s="31">
        <f>Option5!Y$84*conv_2026*Y$7</f>
        <v>332657.63463603833</v>
      </c>
      <c r="Z76" s="31">
        <f>Option5!Z$84*conv_2026*Z$7</f>
        <v>332657.63463602174</v>
      </c>
      <c r="AA76" s="31">
        <f>Option5!AA$84*conv_2026*AA$7</f>
        <v>332657.63463603001</v>
      </c>
      <c r="AB76" s="31">
        <f>Option5!AB$84*conv_2026*AB$7</f>
        <v>332657.63463603833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Option5!C87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23250.601170975835</v>
      </c>
      <c r="J78" s="52">
        <f t="shared" si="21"/>
        <v>-244350.65471682238</v>
      </c>
      <c r="K78" s="52">
        <f t="shared" si="21"/>
        <v>-234767.8611963322</v>
      </c>
      <c r="L78" s="52">
        <f t="shared" si="21"/>
        <v>-214828.72611627821</v>
      </c>
      <c r="M78" s="52">
        <f t="shared" si="21"/>
        <v>-182175.16895856336</v>
      </c>
      <c r="N78" s="52">
        <f t="shared" si="21"/>
        <v>-381604.47024349729</v>
      </c>
      <c r="O78" s="52">
        <f t="shared" si="21"/>
        <v>33814.390614527074</v>
      </c>
      <c r="P78" s="52">
        <f t="shared" si="21"/>
        <v>70831.782691681903</v>
      </c>
      <c r="Q78" s="52">
        <f t="shared" si="21"/>
        <v>94012.256092303229</v>
      </c>
      <c r="R78" s="52">
        <f t="shared" si="21"/>
        <v>105735.07964847246</v>
      </c>
      <c r="S78" s="52">
        <f t="shared" si="21"/>
        <v>113674.62963934374</v>
      </c>
      <c r="T78" s="52">
        <f t="shared" si="21"/>
        <v>122600.72936844561</v>
      </c>
      <c r="U78" s="52">
        <f t="shared" si="21"/>
        <v>132638.89110431456</v>
      </c>
      <c r="V78" s="52">
        <f t="shared" si="21"/>
        <v>143730.86160943456</v>
      </c>
      <c r="W78" s="52">
        <f t="shared" si="21"/>
        <v>145790.30438469947</v>
      </c>
      <c r="X78" s="52">
        <f t="shared" si="21"/>
        <v>146330.4936626938</v>
      </c>
      <c r="Y78" s="52">
        <f t="shared" si="21"/>
        <v>146330.49366270212</v>
      </c>
      <c r="Z78" s="52">
        <f t="shared" si="21"/>
        <v>146330.49366268553</v>
      </c>
      <c r="AA78" s="52">
        <f t="shared" si="21"/>
        <v>146330.4936626938</v>
      </c>
      <c r="AB78" s="52">
        <f t="shared" si="21"/>
        <v>146330.49366270212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-30656.234473332283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189</v>
      </c>
      <c r="D80" s="38" t="str">
        <f t="shared" si="18"/>
        <v>Option 5PV of costs</v>
      </c>
      <c r="E80" s="1"/>
      <c r="F80" s="108">
        <f>SUM(F74:F75)</f>
        <v>-3845391.8868192271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190</v>
      </c>
      <c r="D81" s="38" t="str">
        <f t="shared" si="18"/>
        <v>Option 5PV of benefits</v>
      </c>
      <c r="E81" s="1"/>
      <c r="F81" s="108">
        <f>SUM(F76:F77)</f>
        <v>3814735.6523458967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202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FY27</v>
      </c>
      <c r="J88" s="203" t="str">
        <f t="shared" ref="J88:AG88" si="22">"FY"&amp;RIGHT(J$9,2)</f>
        <v>FY28</v>
      </c>
      <c r="K88" s="203" t="str">
        <f t="shared" si="22"/>
        <v>FY29</v>
      </c>
      <c r="L88" s="203" t="str">
        <f t="shared" si="22"/>
        <v>FY30</v>
      </c>
      <c r="M88" s="203" t="str">
        <f t="shared" si="22"/>
        <v>FY31</v>
      </c>
      <c r="N88" s="203" t="str">
        <f t="shared" si="22"/>
        <v>FY32</v>
      </c>
      <c r="O88" s="203" t="str">
        <f t="shared" si="22"/>
        <v>FY33</v>
      </c>
      <c r="P88" s="203" t="str">
        <f t="shared" si="22"/>
        <v>FY34</v>
      </c>
      <c r="Q88" s="203" t="str">
        <f t="shared" si="22"/>
        <v>FY35</v>
      </c>
      <c r="R88" s="203" t="str">
        <f t="shared" si="22"/>
        <v>FY36</v>
      </c>
      <c r="S88" s="203" t="str">
        <f t="shared" si="22"/>
        <v>FY37</v>
      </c>
      <c r="T88" s="203" t="str">
        <f t="shared" si="22"/>
        <v>FY38</v>
      </c>
      <c r="U88" s="203" t="str">
        <f t="shared" si="22"/>
        <v>FY39</v>
      </c>
      <c r="V88" s="203" t="str">
        <f t="shared" si="22"/>
        <v>FY40</v>
      </c>
      <c r="W88" s="203" t="str">
        <f t="shared" si="22"/>
        <v>FY41</v>
      </c>
      <c r="X88" s="203" t="str">
        <f t="shared" si="22"/>
        <v>FY42</v>
      </c>
      <c r="Y88" s="203" t="str">
        <f t="shared" si="22"/>
        <v>FY43</v>
      </c>
      <c r="Z88" s="203" t="str">
        <f t="shared" si="22"/>
        <v>FY44</v>
      </c>
      <c r="AA88" s="203" t="str">
        <f t="shared" si="22"/>
        <v>FY45</v>
      </c>
      <c r="AB88" s="203" t="str">
        <f t="shared" si="22"/>
        <v>FY46</v>
      </c>
      <c r="AC88" s="203" t="str">
        <f t="shared" si="22"/>
        <v>FY47</v>
      </c>
      <c r="AD88" s="203" t="str">
        <f t="shared" si="22"/>
        <v>FY48</v>
      </c>
      <c r="AE88" s="203" t="str">
        <f t="shared" si="22"/>
        <v>FY49</v>
      </c>
      <c r="AF88" s="203" t="str">
        <f t="shared" si="22"/>
        <v>FY50</v>
      </c>
      <c r="AG88" s="203" t="str">
        <f t="shared" si="22"/>
        <v>FY51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3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3 annualised capex</v>
      </c>
      <c r="I91" s="302" cm="1">
        <f t="array" ref="I91">MAX($D91*INDEX(I$15:W$81, MATCH($A91&amp;$C91, $D$15:$D$81,0),))/mill_conv</f>
        <v>0.32569212101227257</v>
      </c>
      <c r="J91" s="302" cm="1">
        <f t="array" ref="J91">MAX($D91*INDEX(J$15:X$81, MATCH($A91&amp;$C91, $D$15:$D$81,0),))/mill_conv</f>
        <v>0.32569212101227257</v>
      </c>
      <c r="K91" s="302" cm="1">
        <f t="array" ref="K91">MAX($D91*INDEX(K$15:Y$81, MATCH($A91&amp;$C91, $D$15:$D$81,0),))/mill_conv</f>
        <v>0.32569212101227257</v>
      </c>
      <c r="L91" s="302" cm="1">
        <f t="array" ref="L91">MAX($D91*INDEX(L$15:Z$81, MATCH($A91&amp;$C91, $D$15:$D$81,0),))/mill_conv</f>
        <v>0.32569212101227257</v>
      </c>
      <c r="M91" s="302" cm="1">
        <f t="array" ref="M91">MAX($D91*INDEX(M$15:AA$81, MATCH($A91&amp;$C91, $D$15:$D$81,0),))/mill_conv</f>
        <v>0.32569212101227257</v>
      </c>
      <c r="N91" s="302" cm="1">
        <f t="array" ref="N91">MAX($D91*INDEX(N$15:AB$81, MATCH($A91&amp;$C91, $D$15:$D$81,0),))/mill_conv</f>
        <v>0.32569212101227257</v>
      </c>
      <c r="O91" s="302" cm="1">
        <f t="array" ref="O91">MAX($D91*INDEX(O$15:AC$81, MATCH($A91&amp;$C91, $D$15:$D$81,0),))/mill_conv</f>
        <v>0.32569212101227257</v>
      </c>
      <c r="P91" s="302" cm="1">
        <f t="array" ref="P91">MAX($D91*INDEX(P$15:AD$81, MATCH($A91&amp;$C91, $D$15:$D$81,0),))/mill_conv</f>
        <v>0.32569212101227257</v>
      </c>
      <c r="Q91" s="302" cm="1">
        <f t="array" ref="Q91">MAX($D91*INDEX(Q$15:AE$81, MATCH($A91&amp;$C91, $D$15:$D$81,0),))/mill_conv</f>
        <v>0.32569212101227257</v>
      </c>
      <c r="R91" s="302" cm="1">
        <f t="array" ref="R91">MAX($D91*INDEX(R$15:AF$81, MATCH($A91&amp;$C91, $D$15:$D$81,0),))/mill_conv</f>
        <v>0.32569212101227257</v>
      </c>
      <c r="S91" s="302" cm="1">
        <f t="array" ref="S91">MAX($D91*INDEX(S$15:AG$81, MATCH($A91&amp;$C91, $D$15:$D$81,0),))/mill_conv</f>
        <v>0.32569212101227257</v>
      </c>
      <c r="T91" s="302" cm="1">
        <f t="array" ref="T91">MAX($D91*INDEX(T$15:AH$81, MATCH($A91&amp;$C91, $D$15:$D$81,0),))/mill_conv</f>
        <v>0.32569212101227257</v>
      </c>
      <c r="U91" s="302" cm="1">
        <f t="array" ref="U91">MAX($D91*INDEX(U$15:AI$81, MATCH($A91&amp;$C91, $D$15:$D$81,0),))/mill_conv</f>
        <v>0.32569212101227257</v>
      </c>
      <c r="V91" s="302" cm="1">
        <f t="array" ref="V91">MAX($D91*INDEX(V$15:AJ$81, MATCH($A91&amp;$C91, $D$15:$D$81,0),))/mill_conv</f>
        <v>0.32569212101227257</v>
      </c>
      <c r="W91" s="302" cm="1">
        <f t="array" ref="W91">MAX($D91*INDEX(W$15:AK$81, MATCH($A91&amp;$C91, $D$15:$D$81,0),))/mill_conv</f>
        <v>0.32569212101227257</v>
      </c>
      <c r="X91" s="302" cm="1">
        <f t="array" ref="X91">MAX($D91*INDEX(X$15:AL$81, MATCH($A91&amp;$C91, $D$15:$D$81,0),))/mill_conv</f>
        <v>0.32569212101227257</v>
      </c>
      <c r="Y91" s="302" cm="1">
        <f t="array" ref="Y91">MAX($D91*INDEX(Y$15:AM$81, MATCH($A91&amp;$C91, $D$15:$D$81,0),))/mill_conv</f>
        <v>0.32569212101227257</v>
      </c>
      <c r="Z91" s="302" cm="1">
        <f t="array" ref="Z91">MAX($D91*INDEX(Z$15:AN$81, MATCH($A91&amp;$C91, $D$15:$D$81,0),))/mill_conv</f>
        <v>0.32569212101227257</v>
      </c>
      <c r="AA91" s="302" cm="1">
        <f t="array" ref="AA91">MAX($D91*INDEX(AA$15:AO$81, MATCH($A91&amp;$C91, $D$15:$D$81,0),))/mill_conv</f>
        <v>0.32569212101227257</v>
      </c>
      <c r="AB91" s="302" cm="1">
        <f t="array" ref="AB91">MAX($D91*INDEX(AB$15:AP$81, MATCH($A91&amp;$C91, $D$15:$D$81,0),))/mill_conv</f>
        <v>0.32569212101227257</v>
      </c>
      <c r="AC91" s="302" cm="1">
        <f t="array" ref="AC91">MAX($D91*INDEX(AC$15:AQ$81, MATCH($A91&amp;$C91, $D$15:$D$81,0),))/mill_conv</f>
        <v>0</v>
      </c>
      <c r="AD91" s="302" cm="1">
        <f t="array" ref="AD91">MAX($D91*INDEX(AD$15:AR$81, MATCH($A91&amp;$C91, $D$15:$D$81,0),))/mill_conv</f>
        <v>0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A91</f>
        <v>Option 3</v>
      </c>
      <c r="B92" s="142"/>
      <c r="C92" s="201" t="s">
        <v>173</v>
      </c>
      <c r="D92" s="118">
        <f>INDEX(Data!$C$30:$C$36, MATCH(C92, Data!$B$30:$B$36,0))</f>
        <v>1</v>
      </c>
      <c r="E92" s="84"/>
      <c r="H92" s="119" t="str">
        <f>A92&amp;" risk mitigated"</f>
        <v>Option 3 risk mitigated</v>
      </c>
      <c r="I92" s="302">
        <f t="shared" ref="I92:R92" si="23">$D92*INDEX(I$15:I$81, MATCH($A92&amp;$C92, $D$15:$D$81,0))/mill_conv</f>
        <v>8.3705990340536456</v>
      </c>
      <c r="J92" s="302">
        <f t="shared" si="23"/>
        <v>9.1884141117810021</v>
      </c>
      <c r="K92" s="302">
        <f t="shared" si="23"/>
        <v>10.133380163139702</v>
      </c>
      <c r="L92" s="302">
        <f t="shared" si="23"/>
        <v>11.212592737777298</v>
      </c>
      <c r="M92" s="302">
        <f t="shared" si="23"/>
        <v>12.44338154429615</v>
      </c>
      <c r="N92" s="302">
        <f t="shared" si="23"/>
        <v>13.848975926079637</v>
      </c>
      <c r="O92" s="302">
        <f t="shared" si="23"/>
        <v>15.52069721773514</v>
      </c>
      <c r="P92" s="302">
        <f t="shared" si="23"/>
        <v>17.433097533561021</v>
      </c>
      <c r="Q92" s="302">
        <f t="shared" si="23"/>
        <v>19.552681729240422</v>
      </c>
      <c r="R92" s="302">
        <f t="shared" si="23"/>
        <v>21.820541015477978</v>
      </c>
      <c r="S92" s="302">
        <f t="shared" ref="S92:AG92" si="24">$D92*INDEX(S$15:S$81, MATCH($A92&amp;$C92, $D$15:$D$81,0))/mill_conv</f>
        <v>24.225872484613262</v>
      </c>
      <c r="T92" s="302">
        <f t="shared" si="24"/>
        <v>26.89011567875497</v>
      </c>
      <c r="U92" s="302">
        <f t="shared" si="24"/>
        <v>29.787151303765341</v>
      </c>
      <c r="V92" s="302">
        <f t="shared" si="24"/>
        <v>32.767558881977244</v>
      </c>
      <c r="W92" s="302">
        <f t="shared" si="24"/>
        <v>35.617703120142778</v>
      </c>
      <c r="X92" s="302">
        <f t="shared" si="24"/>
        <v>38.363229506068905</v>
      </c>
      <c r="Y92" s="302">
        <f t="shared" si="24"/>
        <v>41.05144034200304</v>
      </c>
      <c r="Z92" s="302">
        <f t="shared" si="24"/>
        <v>43.581860090765332</v>
      </c>
      <c r="AA92" s="302">
        <f t="shared" si="24"/>
        <v>45.898596503498531</v>
      </c>
      <c r="AB92" s="302">
        <f t="shared" si="24"/>
        <v>47.919380594637126</v>
      </c>
      <c r="AC92" s="302">
        <f t="shared" si="24"/>
        <v>0</v>
      </c>
      <c r="AD92" s="302">
        <f t="shared" si="24"/>
        <v>0</v>
      </c>
      <c r="AE92" s="302">
        <f t="shared" si="24"/>
        <v>0</v>
      </c>
      <c r="AF92" s="302">
        <f t="shared" si="24"/>
        <v>0</v>
      </c>
      <c r="AG92" s="302">
        <f t="shared" si="24"/>
        <v>0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FY27</v>
      </c>
      <c r="J97" s="299" t="str">
        <f t="shared" ref="J97:AG97" si="25">J88</f>
        <v>FY28</v>
      </c>
      <c r="K97" s="299" t="str">
        <f t="shared" si="25"/>
        <v>FY29</v>
      </c>
      <c r="L97" s="299" t="str">
        <f t="shared" si="25"/>
        <v>FY30</v>
      </c>
      <c r="M97" s="299" t="str">
        <f t="shared" si="25"/>
        <v>FY31</v>
      </c>
      <c r="N97" s="299" t="str">
        <f t="shared" si="25"/>
        <v>FY32</v>
      </c>
      <c r="O97" s="299" t="str">
        <f t="shared" si="25"/>
        <v>FY33</v>
      </c>
      <c r="P97" s="299" t="str">
        <f t="shared" si="25"/>
        <v>FY34</v>
      </c>
      <c r="Q97" s="299" t="str">
        <f t="shared" si="25"/>
        <v>FY35</v>
      </c>
      <c r="R97" s="299" t="str">
        <f t="shared" si="25"/>
        <v>FY36</v>
      </c>
      <c r="S97" s="299" t="str">
        <f t="shared" si="25"/>
        <v>FY37</v>
      </c>
      <c r="T97" s="299" t="str">
        <f t="shared" si="25"/>
        <v>FY38</v>
      </c>
      <c r="U97" s="299" t="str">
        <f t="shared" si="25"/>
        <v>FY39</v>
      </c>
      <c r="V97" s="299" t="str">
        <f t="shared" si="25"/>
        <v>FY40</v>
      </c>
      <c r="W97" s="299" t="str">
        <f t="shared" si="25"/>
        <v>FY41</v>
      </c>
      <c r="X97" s="299" t="str">
        <f t="shared" si="25"/>
        <v>FY42</v>
      </c>
      <c r="Y97" s="299" t="str">
        <f t="shared" si="25"/>
        <v>FY43</v>
      </c>
      <c r="Z97" s="299" t="str">
        <f t="shared" si="25"/>
        <v>FY44</v>
      </c>
      <c r="AA97" s="299" t="str">
        <f t="shared" si="25"/>
        <v>FY45</v>
      </c>
      <c r="AB97" s="299" t="str">
        <f t="shared" si="25"/>
        <v>FY46</v>
      </c>
      <c r="AC97" s="299" t="str">
        <f t="shared" si="25"/>
        <v>FY47</v>
      </c>
      <c r="AD97" s="299" t="str">
        <f t="shared" si="25"/>
        <v>FY48</v>
      </c>
      <c r="AE97" s="299" t="str">
        <f t="shared" si="25"/>
        <v>FY49</v>
      </c>
      <c r="AF97" s="299" t="str">
        <f t="shared" si="25"/>
        <v>FY50</v>
      </c>
      <c r="AG97" s="299" t="str">
        <f t="shared" si="25"/>
        <v>FY51</v>
      </c>
    </row>
    <row r="98" spans="1:33" x14ac:dyDescent="0.2">
      <c r="A98" s="202" t="s">
        <v>235</v>
      </c>
      <c r="B98" s="142"/>
      <c r="C98" s="200" t="s">
        <v>123</v>
      </c>
      <c r="D98" s="194">
        <f>MAX(H98:AG98)</f>
        <v>573.52782096648707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81.482802725768195</v>
      </c>
      <c r="J98" s="119">
        <f>INDEX('Option1 (base case)'!J$14:J$87, MATCH($C98, 'Option1 (base case)'!$C$14:$C$87,0))</f>
        <v>89.747333419345836</v>
      </c>
      <c r="K98" s="119">
        <f>INDEX('Option1 (base case)'!K$14:K$87, MATCH($C98, 'Option1 (base case)'!$C$14:$C$87,0))</f>
        <v>99.348098173954838</v>
      </c>
      <c r="L98" s="119">
        <f>INDEX('Option1 (base case)'!L$14:L$87, MATCH($C98, 'Option1 (base case)'!$C$14:$C$87,0))</f>
        <v>110.37839374016018</v>
      </c>
      <c r="M98" s="119">
        <f>INDEX('Option1 (base case)'!M$14:M$87, MATCH($C98, 'Option1 (base case)'!$C$14:$C$87,0))</f>
        <v>123.0369581592673</v>
      </c>
      <c r="N98" s="119">
        <f>INDEX('Option1 (base case)'!N$14:N$87, MATCH($C98, 'Option1 (base case)'!$C$14:$C$87,0))</f>
        <v>137.58718552963941</v>
      </c>
      <c r="O98" s="119">
        <f>INDEX('Option1 (base case)'!O$14:O$87, MATCH($C98, 'Option1 (base case)'!$C$14:$C$87,0))</f>
        <v>154.31769732751448</v>
      </c>
      <c r="P98" s="119">
        <f>INDEX('Option1 (base case)'!P$14:P$87, MATCH($C98, 'Option1 (base case)'!$C$14:$C$87,0))</f>
        <v>173.47020636771506</v>
      </c>
      <c r="Q98" s="119">
        <f>INDEX('Option1 (base case)'!Q$14:Q$87, MATCH($C98, 'Option1 (base case)'!$C$14:$C$87,0))</f>
        <v>194.471841731654</v>
      </c>
      <c r="R98" s="119">
        <f>INDEX('Option1 (base case)'!R$14:R$87, MATCH($C98, 'Option1 (base case)'!$C$14:$C$87,0))</f>
        <v>216.81897905089423</v>
      </c>
      <c r="S98" s="119">
        <f>INDEX('Option1 (base case)'!S$14:S$87, MATCH($C98, 'Option1 (base case)'!$C$14:$C$87,0))</f>
        <v>240.38183034943899</v>
      </c>
      <c r="T98" s="119">
        <f>INDEX('Option1 (base case)'!T$14:T$87, MATCH($C98, 'Option1 (base case)'!$C$14:$C$87,0))</f>
        <v>266.48396923081776</v>
      </c>
      <c r="U98" s="119">
        <f>INDEX('Option1 (base case)'!U$14:U$87, MATCH($C98, 'Option1 (base case)'!$C$14:$C$87,0))</f>
        <v>294.87360063466326</v>
      </c>
      <c r="V98" s="119">
        <f>INDEX('Option1 (base case)'!V$14:V$87, MATCH($C98, 'Option1 (base case)'!$C$14:$C$87,0))</f>
        <v>324.09447684967438</v>
      </c>
      <c r="W98" s="119">
        <f>INDEX('Option1 (base case)'!W$14:W$87, MATCH($C98, 'Option1 (base case)'!$C$14:$C$87,0))</f>
        <v>351.83893572933493</v>
      </c>
      <c r="X98" s="119">
        <f>INDEX('Option1 (base case)'!X$14:X$87, MATCH($C98, 'Option1 (base case)'!$C$14:$C$87,0))</f>
        <v>378.56500204462372</v>
      </c>
      <c r="Y98" s="119">
        <f>INDEX('Option1 (base case)'!Y$14:Y$87, MATCH($C98, 'Option1 (base case)'!$C$14:$C$87,0))</f>
        <v>404.73313557229267</v>
      </c>
      <c r="Z98" s="119">
        <f>INDEX('Option1 (base case)'!Z$14:Z$87, MATCH($C98, 'Option1 (base case)'!$C$14:$C$87,0))</f>
        <v>429.36526672120709</v>
      </c>
      <c r="AA98" s="119">
        <f>INDEX('Option1 (base case)'!AA$14:AA$87, MATCH($C98, 'Option1 (base case)'!$C$14:$C$87,0))</f>
        <v>451.91731769370796</v>
      </c>
      <c r="AB98" s="119">
        <f>INDEX('Option1 (base case)'!AB$14:AB$87, MATCH($C98, 'Option1 (base case)'!$C$14:$C$87,0))</f>
        <v>471.5884488492851</v>
      </c>
      <c r="AC98" s="119">
        <f>INDEX('Option1 (base case)'!AC$14:AC$87, MATCH($C98, 'Option1 (base case)'!$C$14:$C$87,0))</f>
        <v>491.42861392235045</v>
      </c>
      <c r="AD98" s="119">
        <f>INDEX('Option1 (base case)'!AD$14:AD$87, MATCH($C98, 'Option1 (base case)'!$C$14:$C$87,0))</f>
        <v>511.67485799902568</v>
      </c>
      <c r="AE98" s="119">
        <f>INDEX('Option1 (base case)'!AE$14:AE$87, MATCH($C98, 'Option1 (base case)'!$C$14:$C$87,0))</f>
        <v>531.9748204153118</v>
      </c>
      <c r="AF98" s="119">
        <f>INDEX('Option1 (base case)'!AF$14:AF$87, MATCH($C98, 'Option1 (base case)'!$C$14:$C$87,0))</f>
        <v>552.70228622052355</v>
      </c>
      <c r="AG98" s="119">
        <f>INDEX('Option1 (base case)'!AG$14:AG$87, MATCH($C98, 'Option1 (base case)'!$C$14:$C$87,0))</f>
        <v>573.52782096648707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27.425980174964668</v>
      </c>
      <c r="E99" s="298"/>
      <c r="H99" s="119" t="str">
        <f>A99&amp;" risk cost"</f>
        <v>Option 1 (base case) risk cost</v>
      </c>
      <c r="I99" s="119">
        <f>INDEX('Option1 (base case)'!I$14:I$87, MATCH($C99, 'Option1 (base case)'!$C$14:$C$87,0))/10^6</f>
        <v>3.8964905458144434</v>
      </c>
      <c r="J99" s="119">
        <f>INDEX('Option1 (base case)'!J$14:J$87, MATCH($C99, 'Option1 (base case)'!$C$14:$C$87,0))/10^6</f>
        <v>4.2916986711595815</v>
      </c>
      <c r="K99" s="119">
        <f>INDEX('Option1 (base case)'!K$14:K$87, MATCH($C99, 'Option1 (base case)'!$C$14:$C$87,0))/10^6</f>
        <v>4.7508052292001057</v>
      </c>
      <c r="L99" s="119">
        <f>INDEX('Option1 (base case)'!L$14:L$87, MATCH($C99, 'Option1 (base case)'!$C$14:$C$87,0))/10^6</f>
        <v>5.278271650991047</v>
      </c>
      <c r="M99" s="119">
        <f>INDEX('Option1 (base case)'!M$14:M$87, MATCH($C99, 'Option1 (base case)'!$C$14:$C$87,0))/10^6</f>
        <v>5.8836015480079018</v>
      </c>
      <c r="N99" s="119">
        <f>INDEX('Option1 (base case)'!N$14:N$87, MATCH($C99, 'Option1 (base case)'!$C$14:$C$87,0))/10^6</f>
        <v>6.5793903708213843</v>
      </c>
      <c r="O99" s="119">
        <f>INDEX('Option1 (base case)'!O$14:O$87, MATCH($C99, 'Option1 (base case)'!$C$14:$C$87,0))/10^6</f>
        <v>7.3794399379239826</v>
      </c>
      <c r="P99" s="119">
        <f>INDEX('Option1 (base case)'!P$14:P$87, MATCH($C99, 'Option1 (base case)'!$C$14:$C$87,0))/10^6</f>
        <v>8.2953089054523534</v>
      </c>
      <c r="Q99" s="119">
        <f>INDEX('Option1 (base case)'!Q$14:Q$87, MATCH($C99, 'Option1 (base case)'!$C$14:$C$87,0))/10^6</f>
        <v>9.2996027061656097</v>
      </c>
      <c r="R99" s="119">
        <f>INDEX('Option1 (base case)'!R$14:R$87, MATCH($C99, 'Option1 (base case)'!$C$14:$C$87,0))/10^6</f>
        <v>10.368238128335495</v>
      </c>
      <c r="S99" s="119">
        <f>INDEX('Option1 (base case)'!S$14:S$87, MATCH($C99, 'Option1 (base case)'!$C$14:$C$87,0))/10^6</f>
        <v>11.495008738156166</v>
      </c>
      <c r="T99" s="119">
        <f>INDEX('Option1 (base case)'!T$14:T$87, MATCH($C99, 'Option1 (base case)'!$C$14:$C$87,0))/10^6</f>
        <v>12.743207547899171</v>
      </c>
      <c r="U99" s="119">
        <f>INDEX('Option1 (base case)'!U$14:U$87, MATCH($C99, 'Option1 (base case)'!$C$14:$C$87,0))/10^6</f>
        <v>14.100793770559358</v>
      </c>
      <c r="V99" s="119">
        <f>INDEX('Option1 (base case)'!V$14:V$87, MATCH($C99, 'Option1 (base case)'!$C$14:$C$87,0))/10^6</f>
        <v>15.498129945842859</v>
      </c>
      <c r="W99" s="119">
        <f>INDEX('Option1 (base case)'!W$14:W$87, MATCH($C99, 'Option1 (base case)'!$C$14:$C$87,0))/10^6</f>
        <v>16.82486415363843</v>
      </c>
      <c r="X99" s="119">
        <f>INDEX('Option1 (base case)'!X$14:X$87, MATCH($C99, 'Option1 (base case)'!$C$14:$C$87,0))/10^6</f>
        <v>18.10289904248253</v>
      </c>
      <c r="Y99" s="119">
        <f>INDEX('Option1 (base case)'!Y$14:Y$87, MATCH($C99, 'Option1 (base case)'!$C$14:$C$87,0))/10^6</f>
        <v>19.354253702377246</v>
      </c>
      <c r="Z99" s="119">
        <f>INDEX('Option1 (base case)'!Z$14:Z$87, MATCH($C99, 'Option1 (base case)'!$C$14:$C$87,0))/10^6</f>
        <v>20.53215705049875</v>
      </c>
      <c r="AA99" s="119">
        <f>INDEX('Option1 (base case)'!AA$14:AA$87, MATCH($C99, 'Option1 (base case)'!$C$14:$C$87,0))/10^6</f>
        <v>21.610591400613288</v>
      </c>
      <c r="AB99" s="119">
        <f>INDEX('Option1 (base case)'!AB$14:AB$87, MATCH($C99, 'Option1 (base case)'!$C$14:$C$87,0))/10^6</f>
        <v>22.551260768984719</v>
      </c>
      <c r="AC99" s="119">
        <f>INDEX('Option1 (base case)'!AC$14:AC$87, MATCH($C99, 'Option1 (base case)'!$C$14:$C$87,0))/10^6</f>
        <v>23.500013303857326</v>
      </c>
      <c r="AD99" s="119">
        <f>INDEX('Option1 (base case)'!AD$14:AD$87, MATCH($C99, 'Option1 (base case)'!$C$14:$C$87,0))/10^6</f>
        <v>24.468184451559743</v>
      </c>
      <c r="AE99" s="119">
        <f>INDEX('Option1 (base case)'!AE$14:AE$87, MATCH($C99, 'Option1 (base case)'!$C$14:$C$87,0))/10^6</f>
        <v>25.438924399001849</v>
      </c>
      <c r="AF99" s="119">
        <f>INDEX('Option1 (base case)'!AF$14:AF$87, MATCH($C99, 'Option1 (base case)'!$C$14:$C$87,0))/10^6</f>
        <v>26.430107468888551</v>
      </c>
      <c r="AG99" s="119">
        <f>INDEX('Option1 (base case)'!AG$14:AG$87, MATCH($C99, 'Option1 (base case)'!$C$14:$C$87,0))/10^6</f>
        <v>27.425980174964668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HV cable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224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195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0</v>
      </c>
      <c r="AD7" s="260" t="b">
        <f>Consol!AD7</f>
        <v>0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75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110055.35788526604</v>
      </c>
      <c r="AA12" s="31">
        <f>Consol!AB36</f>
        <v>110055.35788524945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143</v>
      </c>
      <c r="B14" s="258" t="s">
        <v>119</v>
      </c>
      <c r="C14" s="258" t="s">
        <v>188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143</v>
      </c>
      <c r="B16" s="258" t="str">
        <f>'Option1 (base case)'!A110</f>
        <v>sens1</v>
      </c>
      <c r="C16" s="258" t="str">
        <f>'Option1 (base case)'!C110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8" t="s">
        <v>143</v>
      </c>
      <c r="B17" s="258" t="str">
        <f>'Option1 (base case)'!A111</f>
        <v>sens2</v>
      </c>
      <c r="C17" s="258" t="str">
        <f>'Option1 (base case)'!C111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8" t="s">
        <v>143</v>
      </c>
      <c r="B18" s="258" t="str">
        <f>'Option1 (base case)'!A112</f>
        <v>sens3</v>
      </c>
      <c r="C18" s="258" t="str">
        <f>'Option1 (base case)'!C112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8" t="s">
        <v>143</v>
      </c>
      <c r="B19" s="258" t="str">
        <f>'Option1 (base case)'!A113</f>
        <v>sens4</v>
      </c>
      <c r="C19" s="258" t="str">
        <f>'Option1 (base case)'!C113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8" t="s">
        <v>143</v>
      </c>
      <c r="B20" s="258" t="str">
        <f>'Option1 (base case)'!A114</f>
        <v>sens5</v>
      </c>
      <c r="C20" s="258" t="str">
        <f>'Option1 (base case)'!C114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8" t="s">
        <v>143</v>
      </c>
      <c r="B21" s="258" t="str">
        <f>'Option1 (base case)'!A115</f>
        <v>sens</v>
      </c>
      <c r="C21" s="258">
        <f>'Option1 (base case)'!C115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8" t="s">
        <v>143</v>
      </c>
      <c r="B22" s="258" t="str">
        <f>'Option1 (base case)'!A116</f>
        <v>sens</v>
      </c>
      <c r="C22" s="258">
        <f>'Option1 (base case)'!C116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8" t="s">
        <v>143</v>
      </c>
      <c r="B23" s="258" t="str">
        <f>'Option1 (base case)'!A117</f>
        <v>sens</v>
      </c>
      <c r="C23" s="258">
        <f>'Option1 (base case)'!C117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188</v>
      </c>
      <c r="D28" s="258" t="str">
        <f>A28&amp;B28</f>
        <v>Option 2NPV</v>
      </c>
      <c r="E28" s="259"/>
      <c r="F28" s="31">
        <f>SUMPRODUCT($H28:$AG28, $H$5:$AG$5)</f>
        <v>714636.15426774055</v>
      </c>
      <c r="G28" s="251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-16371.832936969957</v>
      </c>
      <c r="K28" s="31">
        <f>(INDEX(Option2!K$106:K$117, MATCH($D28, Option2!$G$106:$G$117,0)))*conv_2026*K$7</f>
        <v>-26830.211122561934</v>
      </c>
      <c r="L28" s="31">
        <f>(INDEX(Option2!L$106:L$117, MATCH($D28, Option2!$G$106:$G$117,0)))*conv_2026*L$7</f>
        <v>-29870.576528870159</v>
      </c>
      <c r="M28" s="31">
        <f>(INDEX(Option2!M$106:M$117, MATCH($D28, Option2!$G$106:$G$117,0)))*conv_2026*M$7</f>
        <v>-23614.622023512391</v>
      </c>
      <c r="N28" s="31">
        <f>(INDEX(Option2!N$106:N$117, MATCH($D28, Option2!$G$106:$G$117,0)))*conv_2026*N$7</f>
        <v>-5717.0158273850493</v>
      </c>
      <c r="O28" s="31">
        <f>(INDEX(Option2!O$106:O$117, MATCH($D28, Option2!$G$106:$G$117,0)))*conv_2026*O$7</f>
        <v>22292.755638710616</v>
      </c>
      <c r="P28" s="31">
        <f>(INDEX(Option2!P$106:P$117, MATCH($D28, Option2!$G$106:$G$117,0)))*conv_2026*P$7</f>
        <v>55320.847379762461</v>
      </c>
      <c r="Q28" s="31">
        <f>(INDEX(Option2!Q$106:Q$117, MATCH($D28, Option2!$G$106:$G$117,0)))*conv_2026*Q$7</f>
        <v>74693.365084794714</v>
      </c>
      <c r="R28" s="31">
        <f>(INDEX(Option2!R$106:R$117, MATCH($D28, Option2!$G$106:$G$117,0)))*conv_2026*R$7</f>
        <v>83088.113907488179</v>
      </c>
      <c r="S28" s="31">
        <f>(INDEX(Option2!S$106:S$117, MATCH($D28, Option2!$G$106:$G$117,0)))*conv_2026*S$7</f>
        <v>88701.832564596567</v>
      </c>
      <c r="T28" s="31">
        <f>(INDEX(Option2!T$106:T$117, MATCH($D28, Option2!$G$106:$G$117,0)))*conv_2026*T$7</f>
        <v>95031.961405786438</v>
      </c>
      <c r="U28" s="31">
        <f>(INDEX(Option2!U$106:U$117, MATCH($D28, Option2!$G$106:$G$117,0)))*conv_2026*U$7</f>
        <v>102171.59818243564</v>
      </c>
      <c r="V28" s="31">
        <f>(INDEX(Option2!V$106:V$117, MATCH($D28, Option2!$G$106:$G$117,0)))*conv_2026*V$7</f>
        <v>110055.3578852619</v>
      </c>
      <c r="W28" s="31">
        <f>(INDEX(Option2!W$106:W$117, MATCH($D28, Option2!$G$106:$G$117,0)))*conv_2026*W$7</f>
        <v>110055.3578852536</v>
      </c>
      <c r="X28" s="31">
        <f>(INDEX(Option2!X$106:X$117, MATCH($D28, Option2!$G$106:$G$117,0)))*conv_2026*X$7</f>
        <v>110055.35788525775</v>
      </c>
      <c r="Y28" s="31">
        <f>(INDEX(Option2!Y$106:Y$117, MATCH($D28, Option2!$G$106:$G$117,0)))*conv_2026*Y$7</f>
        <v>110055.35788525775</v>
      </c>
      <c r="Z28" s="31">
        <f>(INDEX(Option2!Z$106:Z$117, MATCH($D28, Option2!$G$106:$G$117,0)))*conv_2026*Z$7</f>
        <v>110055.35788524947</v>
      </c>
      <c r="AA28" s="31">
        <f>(INDEX(Option2!AA$106:AA$117, MATCH($D28, Option2!$G$106:$G$117,0)))*conv_2026*AA$7</f>
        <v>110055.35788526604</v>
      </c>
      <c r="AB28" s="31">
        <f>(INDEX(Option2!AB$106:AB$117, MATCH($D28, Option2!$G$106:$G$117,0)))*conv_2026*AB$7</f>
        <v>110055.35788524947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Option2!A110</f>
        <v>sens1</v>
      </c>
      <c r="C30" s="258" t="str">
        <f>Option2!C110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515749.17264947225</v>
      </c>
      <c r="G30" s="251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-19789.201267924193</v>
      </c>
      <c r="K30" s="31">
        <f>IF($B30=0,0, (INDEX(Option2!K$106:K$117, MATCH($D30, Option2!$G$106:$G$117,0)))*conv_2026*K$7)</f>
        <v>-33664.947784470409</v>
      </c>
      <c r="L30" s="31">
        <f>IF($B30=0,0, (INDEX(Option2!L$106:L$117, MATCH($D30, Option2!$G$106:$G$117,0)))*conv_2026*L$7)</f>
        <v>-40122.681521732869</v>
      </c>
      <c r="M30" s="31">
        <f>IF($B30=0,0, (INDEX(Option2!M$106:M$117, MATCH($D30, Option2!$G$106:$G$117,0)))*conv_2026*M$7)</f>
        <v>-37284.095347329341</v>
      </c>
      <c r="N30" s="31">
        <f>IF($B30=0,0, (INDEX(Option2!N$106:N$117, MATCH($D30, Option2!$G$106:$G$117,0)))*conv_2026*N$7)</f>
        <v>-22803.857482156232</v>
      </c>
      <c r="O30" s="31">
        <f>IF($B30=0,0, (INDEX(Option2!O$106:O$117, MATCH($D30, Option2!$G$106:$G$117,0)))*conv_2026*O$7)</f>
        <v>5205.9139839394329</v>
      </c>
      <c r="P30" s="31">
        <f>IF($B30=0,0, (INDEX(Option2!P$106:P$117, MATCH($D30, Option2!$G$106:$G$117,0)))*conv_2026*P$7)</f>
        <v>38234.005724991279</v>
      </c>
      <c r="Q30" s="31">
        <f>IF($B30=0,0, (INDEX(Option2!Q$106:Q$117, MATCH($D30, Option2!$G$106:$G$117,0)))*conv_2026*Q$7)</f>
        <v>57606.523430023532</v>
      </c>
      <c r="R30" s="31">
        <f>IF($B30=0,0, (INDEX(Option2!R$106:R$117, MATCH($D30, Option2!$G$106:$G$117,0)))*conv_2026*R$7)</f>
        <v>66001.272252716997</v>
      </c>
      <c r="S30" s="31">
        <f>IF($B30=0,0, (INDEX(Option2!S$106:S$117, MATCH($D30, Option2!$G$106:$G$117,0)))*conv_2026*S$7)</f>
        <v>71614.990909825385</v>
      </c>
      <c r="T30" s="31">
        <f>IF($B30=0,0, (INDEX(Option2!T$106:T$117, MATCH($D30, Option2!$G$106:$G$117,0)))*conv_2026*T$7)</f>
        <v>77945.119751015271</v>
      </c>
      <c r="U30" s="31">
        <f>IF($B30=0,0, (INDEX(Option2!U$106:U$117, MATCH($D30, Option2!$G$106:$G$117,0)))*conv_2026*U$7)</f>
        <v>85084.756527664475</v>
      </c>
      <c r="V30" s="31">
        <f>IF($B30=0,0, (INDEX(Option2!V$106:V$117, MATCH($D30, Option2!$G$106:$G$117,0)))*conv_2026*V$7)</f>
        <v>92968.516230490728</v>
      </c>
      <c r="W30" s="31">
        <f>IF($B30=0,0, (INDEX(Option2!W$106:W$117, MATCH($D30, Option2!$G$106:$G$117,0)))*conv_2026*W$7)</f>
        <v>92968.516230482433</v>
      </c>
      <c r="X30" s="31">
        <f>IF($B30=0,0, (INDEX(Option2!X$106:X$117, MATCH($D30, Option2!$G$106:$G$117,0)))*conv_2026*X$7)</f>
        <v>92968.516230486581</v>
      </c>
      <c r="Y30" s="31">
        <f>IF($B30=0,0, (INDEX(Option2!Y$106:Y$117, MATCH($D30, Option2!$G$106:$G$117,0)))*conv_2026*Y$7)</f>
        <v>92968.516230486581</v>
      </c>
      <c r="Z30" s="31">
        <f>IF($B30=0,0, (INDEX(Option2!Z$106:Z$117, MATCH($D30, Option2!$G$106:$G$117,0)))*conv_2026*Z$7)</f>
        <v>92968.516230478286</v>
      </c>
      <c r="AA30" s="31">
        <f>IF($B30=0,0, (INDEX(Option2!AA$106:AA$117, MATCH($D30, Option2!$G$106:$G$117,0)))*conv_2026*AA$7)</f>
        <v>92968.516230494875</v>
      </c>
      <c r="AB30" s="31">
        <f>IF($B30=0,0, (INDEX(Option2!AB$106:AB$117, MATCH($D30, Option2!$G$106:$G$117,0)))*conv_2026*AB$7)</f>
        <v>92968.516230478286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8" t="s">
        <v>131</v>
      </c>
      <c r="B31" s="258" t="str">
        <f>Option2!A111</f>
        <v>sens2</v>
      </c>
      <c r="C31" s="258" t="str">
        <f>Option2!C111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913523.13588600873</v>
      </c>
      <c r="G31" s="258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-12954.464606015719</v>
      </c>
      <c r="K31" s="31">
        <f>IF($B31=0,0, (INDEX(Option2!K$106:K$117, MATCH($D31, Option2!$G$106:$G$117,0)))*conv_2026*K$7)</f>
        <v>-19995.474460653462</v>
      </c>
      <c r="L31" s="31">
        <f>IF($B31=0,0, (INDEX(Option2!L$106:L$117, MATCH($D31, Option2!$G$106:$G$117,0)))*conv_2026*L$7)</f>
        <v>-19618.471536007452</v>
      </c>
      <c r="M31" s="31">
        <f>IF($B31=0,0, (INDEX(Option2!M$106:M$117, MATCH($D31, Option2!$G$106:$G$117,0)))*conv_2026*M$7)</f>
        <v>-9945.1486996954463</v>
      </c>
      <c r="N31" s="31">
        <f>IF($B31=0,0, (INDEX(Option2!N$106:N$117, MATCH($D31, Option2!$G$106:$G$117,0)))*conv_2026*N$7)</f>
        <v>11369.825827386132</v>
      </c>
      <c r="O31" s="31">
        <f>IF($B31=0,0, (INDEX(Option2!O$106:O$117, MATCH($D31, Option2!$G$106:$G$117,0)))*conv_2026*O$7)</f>
        <v>39379.597293481798</v>
      </c>
      <c r="P31" s="31">
        <f>IF($B31=0,0, (INDEX(Option2!P$106:P$117, MATCH($D31, Option2!$G$106:$G$117,0)))*conv_2026*P$7)</f>
        <v>72407.689034533643</v>
      </c>
      <c r="Q31" s="31">
        <f>IF($B31=0,0, (INDEX(Option2!Q$106:Q$117, MATCH($D31, Option2!$G$106:$G$117,0)))*conv_2026*Q$7)</f>
        <v>91780.206739565881</v>
      </c>
      <c r="R31" s="31">
        <f>IF($B31=0,0, (INDEX(Option2!R$106:R$117, MATCH($D31, Option2!$G$106:$G$117,0)))*conv_2026*R$7)</f>
        <v>100174.95556225936</v>
      </c>
      <c r="S31" s="31">
        <f>IF($B31=0,0, (INDEX(Option2!S$106:S$117, MATCH($D31, Option2!$G$106:$G$117,0)))*conv_2026*S$7)</f>
        <v>105788.67421936773</v>
      </c>
      <c r="T31" s="31">
        <f>IF($B31=0,0, (INDEX(Option2!T$106:T$117, MATCH($D31, Option2!$G$106:$G$117,0)))*conv_2026*T$7)</f>
        <v>112118.80306055761</v>
      </c>
      <c r="U31" s="31">
        <f>IF($B31=0,0, (INDEX(Option2!U$106:U$117, MATCH($D31, Option2!$G$106:$G$117,0)))*conv_2026*U$7)</f>
        <v>119258.43983720682</v>
      </c>
      <c r="V31" s="31">
        <f>IF($B31=0,0, (INDEX(Option2!V$106:V$117, MATCH($D31, Option2!$G$106:$G$117,0)))*conv_2026*V$7)</f>
        <v>127142.19954003308</v>
      </c>
      <c r="W31" s="31">
        <f>IF($B31=0,0, (INDEX(Option2!W$106:W$117, MATCH($D31, Option2!$G$106:$G$117,0)))*conv_2026*W$7)</f>
        <v>127142.19954002478</v>
      </c>
      <c r="X31" s="31">
        <f>IF($B31=0,0, (INDEX(Option2!X$106:X$117, MATCH($D31, Option2!$G$106:$G$117,0)))*conv_2026*X$7)</f>
        <v>127142.19954002893</v>
      </c>
      <c r="Y31" s="31">
        <f>IF($B31=0,0, (INDEX(Option2!Y$106:Y$117, MATCH($D31, Option2!$G$106:$G$117,0)))*conv_2026*Y$7)</f>
        <v>127142.19954002893</v>
      </c>
      <c r="Z31" s="31">
        <f>IF($B31=0,0, (INDEX(Option2!Z$106:Z$117, MATCH($D31, Option2!$G$106:$G$117,0)))*conv_2026*Z$7)</f>
        <v>127142.19954002064</v>
      </c>
      <c r="AA31" s="31">
        <f>IF($B31=0,0, (INDEX(Option2!AA$106:AA$117, MATCH($D31, Option2!$G$106:$G$117,0)))*conv_2026*AA$7)</f>
        <v>127142.19954003723</v>
      </c>
      <c r="AB31" s="31">
        <f>IF($B31=0,0, (INDEX(Option2!AB$106:AB$117, MATCH($D31, Option2!$G$106:$G$117,0)))*conv_2026*AB$7)</f>
        <v>127142.19954002064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8" t="s">
        <v>131</v>
      </c>
      <c r="B32" s="258" t="str">
        <f>Option2!A112</f>
        <v>sens3</v>
      </c>
      <c r="C32" s="258" t="str">
        <f>Option2!C112</f>
        <v>Total benefits 10% higher</v>
      </c>
      <c r="D32" s="258" t="str">
        <f t="shared" si="2"/>
        <v>Option 2sens3</v>
      </c>
      <c r="E32" s="259"/>
      <c r="F32" s="31">
        <f t="shared" si="3"/>
        <v>984986.75131278276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-14591.647899712716</v>
      </c>
      <c r="K32" s="31">
        <f>IF($B32=0,0, (INDEX(Option2!K$106:K$117, MATCH($D32, Option2!$G$106:$G$117,0)))*conv_2026*K$7)</f>
        <v>-22678.495572909658</v>
      </c>
      <c r="L32" s="31">
        <f>IF($B32=0,0, (INDEX(Option2!L$106:L$117, MATCH($D32, Option2!$G$106:$G$117,0)))*conv_2026*L$7)</f>
        <v>-22605.52918889447</v>
      </c>
      <c r="M32" s="31">
        <f>IF($B32=0,0, (INDEX(Option2!M$106:M$117, MATCH($D32, Option2!$G$106:$G$117,0)))*conv_2026*M$7)</f>
        <v>-12306.610902046687</v>
      </c>
      <c r="N32" s="31">
        <f>IF($B32=0,0, (INDEX(Option2!N$106:N$117, MATCH($D32, Option2!$G$106:$G$117,0)))*conv_2026*N$7)</f>
        <v>10798.124244647628</v>
      </c>
      <c r="O32" s="31">
        <f>IF($B32=0,0, (INDEX(Option2!O$106:O$117, MATCH($D32, Option2!$G$106:$G$117,0)))*conv_2026*O$7)</f>
        <v>41608.872857352857</v>
      </c>
      <c r="P32" s="31">
        <f>IF($B32=0,0, (INDEX(Option2!P$106:P$117, MATCH($D32, Option2!$G$106:$G$117,0)))*conv_2026*P$7)</f>
        <v>77939.77377250987</v>
      </c>
      <c r="Q32" s="31">
        <f>IF($B32=0,0, (INDEX(Option2!Q$106:Q$117, MATCH($D32, Option2!$G$106:$G$117,0)))*conv_2026*Q$7)</f>
        <v>99249.54324804536</v>
      </c>
      <c r="R32" s="31">
        <f>IF($B32=0,0, (INDEX(Option2!R$106:R$117, MATCH($D32, Option2!$G$106:$G$117,0)))*conv_2026*R$7)</f>
        <v>108483.76695300818</v>
      </c>
      <c r="S32" s="31">
        <f>IF($B32=0,0, (INDEX(Option2!S$106:S$117, MATCH($D32, Option2!$G$106:$G$117,0)))*conv_2026*S$7)</f>
        <v>114658.8574758274</v>
      </c>
      <c r="T32" s="31">
        <f>IF($B32=0,0, (INDEX(Option2!T$106:T$117, MATCH($D32, Option2!$G$106:$G$117,0)))*conv_2026*T$7)</f>
        <v>121621.99920113626</v>
      </c>
      <c r="U32" s="31">
        <f>IF($B32=0,0, (INDEX(Option2!U$106:U$117, MATCH($D32, Option2!$G$106:$G$117,0)))*conv_2026*U$7)</f>
        <v>129475.59965545039</v>
      </c>
      <c r="V32" s="31">
        <f>IF($B32=0,0, (INDEX(Option2!V$106:V$117, MATCH($D32, Option2!$G$106:$G$117,0)))*conv_2026*V$7)</f>
        <v>138147.73532855927</v>
      </c>
      <c r="W32" s="31">
        <f>IF($B32=0,0, (INDEX(Option2!W$106:W$117, MATCH($D32, Option2!$G$106:$G$117,0)))*conv_2026*W$7)</f>
        <v>138147.73532855016</v>
      </c>
      <c r="X32" s="31">
        <f>IF($B32=0,0, (INDEX(Option2!X$106:X$117, MATCH($D32, Option2!$G$106:$G$117,0)))*conv_2026*X$7)</f>
        <v>138147.7353285547</v>
      </c>
      <c r="Y32" s="31">
        <f>IF($B32=0,0, (INDEX(Option2!Y$106:Y$117, MATCH($D32, Option2!$G$106:$G$117,0)))*conv_2026*Y$7)</f>
        <v>138147.7353285547</v>
      </c>
      <c r="Z32" s="31">
        <f>IF($B32=0,0, (INDEX(Option2!Z$106:Z$117, MATCH($D32, Option2!$G$106:$G$117,0)))*conv_2026*Z$7)</f>
        <v>138147.73532854559</v>
      </c>
      <c r="AA32" s="31">
        <f>IF($B32=0,0, (INDEX(Option2!AA$106:AA$117, MATCH($D32, Option2!$G$106:$G$117,0)))*conv_2026*AA$7)</f>
        <v>138147.73532856384</v>
      </c>
      <c r="AB32" s="31">
        <f>IF($B32=0,0, (INDEX(Option2!AB$106:AB$117, MATCH($D32, Option2!$G$106:$G$117,0)))*conv_2026*AB$7)</f>
        <v>138147.73532854559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8" t="s">
        <v>131</v>
      </c>
      <c r="B33" s="258" t="str">
        <f>Option2!A113</f>
        <v>sens4</v>
      </c>
      <c r="C33" s="258" t="str">
        <f>Option2!C113</f>
        <v>Total benefits 10% lower</v>
      </c>
      <c r="D33" s="258" t="str">
        <f t="shared" si="2"/>
        <v>Option 2sens4</v>
      </c>
      <c r="E33" s="259"/>
      <c r="F33" s="31">
        <f t="shared" si="3"/>
        <v>444285.55722269823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-18152.017974227198</v>
      </c>
      <c r="K33" s="31">
        <f>IF($B33=0,0, (INDEX(Option2!K$106:K$117, MATCH($D33, Option2!$G$106:$G$117,0)))*conv_2026*K$7)</f>
        <v>-30981.926672214213</v>
      </c>
      <c r="L33" s="31">
        <f>IF($B33=0,0, (INDEX(Option2!L$106:L$117, MATCH($D33, Option2!$G$106:$G$117,0)))*conv_2026*L$7)</f>
        <v>-37135.623868845854</v>
      </c>
      <c r="M33" s="31">
        <f>IF($B33=0,0, (INDEX(Option2!M$106:M$117, MATCH($D33, Option2!$G$106:$G$117,0)))*conv_2026*M$7)</f>
        <v>-34922.633144978092</v>
      </c>
      <c r="N33" s="31">
        <f>IF($B33=0,0, (INDEX(Option2!N$106:N$117, MATCH($D33, Option2!$G$106:$G$117,0)))*conv_2026*N$7)</f>
        <v>-22232.155899417729</v>
      </c>
      <c r="O33" s="31">
        <f>IF($B33=0,0, (INDEX(Option2!O$106:O$117, MATCH($D33, Option2!$G$106:$G$117,0)))*conv_2026*O$7)</f>
        <v>2976.638420068371</v>
      </c>
      <c r="P33" s="31">
        <f>IF($B33=0,0, (INDEX(Option2!P$106:P$117, MATCH($D33, Option2!$G$106:$G$117,0)))*conv_2026*P$7)</f>
        <v>32701.92098701503</v>
      </c>
      <c r="Q33" s="31">
        <f>IF($B33=0,0, (INDEX(Option2!Q$106:Q$117, MATCH($D33, Option2!$G$106:$G$117,0)))*conv_2026*Q$7)</f>
        <v>50137.18692154406</v>
      </c>
      <c r="R33" s="31">
        <f>IF($B33=0,0, (INDEX(Option2!R$106:R$117, MATCH($D33, Option2!$G$106:$G$117,0)))*conv_2026*R$7)</f>
        <v>57692.460861968189</v>
      </c>
      <c r="S33" s="31">
        <f>IF($B33=0,0, (INDEX(Option2!S$106:S$117, MATCH($D33, Option2!$G$106:$G$117,0)))*conv_2026*S$7)</f>
        <v>62744.807653365737</v>
      </c>
      <c r="T33" s="31">
        <f>IF($B33=0,0, (INDEX(Option2!T$106:T$117, MATCH($D33, Option2!$G$106:$G$117,0)))*conv_2026*T$7)</f>
        <v>68441.923610436614</v>
      </c>
      <c r="U33" s="31">
        <f>IF($B33=0,0, (INDEX(Option2!U$106:U$117, MATCH($D33, Option2!$G$106:$G$117,0)))*conv_2026*U$7)</f>
        <v>74867.596709420905</v>
      </c>
      <c r="V33" s="31">
        <f>IF($B33=0,0, (INDEX(Option2!V$106:V$117, MATCH($D33, Option2!$G$106:$G$117,0)))*conv_2026*V$7)</f>
        <v>81962.980441964522</v>
      </c>
      <c r="W33" s="31">
        <f>IF($B33=0,0, (INDEX(Option2!W$106:W$117, MATCH($D33, Option2!$G$106:$G$117,0)))*conv_2026*W$7)</f>
        <v>81962.980441957057</v>
      </c>
      <c r="X33" s="31">
        <f>IF($B33=0,0, (INDEX(Option2!X$106:X$117, MATCH($D33, Option2!$G$106:$G$117,0)))*conv_2026*X$7)</f>
        <v>81962.980441960797</v>
      </c>
      <c r="Y33" s="31">
        <f>IF($B33=0,0, (INDEX(Option2!Y$106:Y$117, MATCH($D33, Option2!$G$106:$G$117,0)))*conv_2026*Y$7)</f>
        <v>81962.980441960797</v>
      </c>
      <c r="Z33" s="31">
        <f>IF($B33=0,0, (INDEX(Option2!Z$106:Z$117, MATCH($D33, Option2!$G$106:$G$117,0)))*conv_2026*Z$7)</f>
        <v>81962.980441953332</v>
      </c>
      <c r="AA33" s="31">
        <f>IF($B33=0,0, (INDEX(Option2!AA$106:AA$117, MATCH($D33, Option2!$G$106:$G$117,0)))*conv_2026*AA$7)</f>
        <v>81962.980441968248</v>
      </c>
      <c r="AB33" s="31">
        <f>IF($B33=0,0, (INDEX(Option2!AB$106:AB$117, MATCH($D33, Option2!$G$106:$G$117,0)))*conv_2026*AB$7)</f>
        <v>81962.980441953332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8" t="s">
        <v>131</v>
      </c>
      <c r="B34" s="258" t="str">
        <f>Option2!A114</f>
        <v>sens5</v>
      </c>
      <c r="C34" s="258" t="str">
        <f>Option2!C114</f>
        <v>Capex 10% higher &amp; total benefits 10% lower</v>
      </c>
      <c r="D34" s="258" t="str">
        <f t="shared" si="2"/>
        <v>Option 2sens5</v>
      </c>
      <c r="E34" s="259"/>
      <c r="F34" s="31">
        <f t="shared" si="3"/>
        <v>245398.57560442988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-21569.386305181437</v>
      </c>
      <c r="K34" s="31">
        <f>IF($B34=0,0, (INDEX(Option2!K$106:K$117, MATCH($D34, Option2!$G$106:$G$117,0)))*conv_2026*K$7)</f>
        <v>-37816.663334122684</v>
      </c>
      <c r="L34" s="31">
        <f>IF($B34=0,0, (INDEX(Option2!L$106:L$117, MATCH($D34, Option2!$G$106:$G$117,0)))*conv_2026*L$7)</f>
        <v>-47387.728861708558</v>
      </c>
      <c r="M34" s="31">
        <f>IF($B34=0,0, (INDEX(Option2!M$106:M$117, MATCH($D34, Option2!$G$106:$G$117,0)))*conv_2026*M$7)</f>
        <v>-48592.106468795042</v>
      </c>
      <c r="N34" s="31">
        <f>IF($B34=0,0, (INDEX(Option2!N$106:N$117, MATCH($D34, Option2!$G$106:$G$117,0)))*conv_2026*N$7)</f>
        <v>-39318.997554188907</v>
      </c>
      <c r="O34" s="31">
        <f>IF($B34=0,0, (INDEX(Option2!O$106:O$117, MATCH($D34, Option2!$G$106:$G$117,0)))*conv_2026*O$7)</f>
        <v>-14110.203234702811</v>
      </c>
      <c r="P34" s="31">
        <f>IF($B34=0,0, (INDEX(Option2!P$106:P$117, MATCH($D34, Option2!$G$106:$G$117,0)))*conv_2026*P$7)</f>
        <v>15615.079332243848</v>
      </c>
      <c r="Q34" s="31">
        <f>IF($B34=0,0, (INDEX(Option2!Q$106:Q$117, MATCH($D34, Option2!$G$106:$G$117,0)))*conv_2026*Q$7)</f>
        <v>33050.345266772878</v>
      </c>
      <c r="R34" s="31">
        <f>IF($B34=0,0, (INDEX(Option2!R$106:R$117, MATCH($D34, Option2!$G$106:$G$117,0)))*conv_2026*R$7)</f>
        <v>40605.619207197007</v>
      </c>
      <c r="S34" s="31">
        <f>IF($B34=0,0, (INDEX(Option2!S$106:S$117, MATCH($D34, Option2!$G$106:$G$117,0)))*conv_2026*S$7)</f>
        <v>45657.965998594547</v>
      </c>
      <c r="T34" s="31">
        <f>IF($B34=0,0, (INDEX(Option2!T$106:T$117, MATCH($D34, Option2!$G$106:$G$117,0)))*conv_2026*T$7)</f>
        <v>51355.081955665431</v>
      </c>
      <c r="U34" s="31">
        <f>IF($B34=0,0, (INDEX(Option2!U$106:U$117, MATCH($D34, Option2!$G$106:$G$117,0)))*conv_2026*U$7)</f>
        <v>57780.755054649722</v>
      </c>
      <c r="V34" s="31">
        <f>IF($B34=0,0, (INDEX(Option2!V$106:V$117, MATCH($D34, Option2!$G$106:$G$117,0)))*conv_2026*V$7)</f>
        <v>64876.138787193348</v>
      </c>
      <c r="W34" s="31">
        <f>IF($B34=0,0, (INDEX(Option2!W$106:W$117, MATCH($D34, Option2!$G$106:$G$117,0)))*conv_2026*W$7)</f>
        <v>64876.138787185882</v>
      </c>
      <c r="X34" s="31">
        <f>IF($B34=0,0, (INDEX(Option2!X$106:X$117, MATCH($D34, Option2!$G$106:$G$117,0)))*conv_2026*X$7)</f>
        <v>64876.138787189615</v>
      </c>
      <c r="Y34" s="31">
        <f>IF($B34=0,0, (INDEX(Option2!Y$106:Y$117, MATCH($D34, Option2!$G$106:$G$117,0)))*conv_2026*Y$7)</f>
        <v>64876.138787189615</v>
      </c>
      <c r="Z34" s="31">
        <f>IF($B34=0,0, (INDEX(Option2!Z$106:Z$117, MATCH($D34, Option2!$G$106:$G$117,0)))*conv_2026*Z$7)</f>
        <v>64876.13878718215</v>
      </c>
      <c r="AA34" s="31">
        <f>IF($B34=0,0, (INDEX(Option2!AA$106:AA$117, MATCH($D34, Option2!$G$106:$G$117,0)))*conv_2026*AA$7)</f>
        <v>64876.13878719708</v>
      </c>
      <c r="AB34" s="31">
        <f>IF($B34=0,0, (INDEX(Option2!AB$106:AB$117, MATCH($D34, Option2!$G$106:$G$117,0)))*conv_2026*AB$7)</f>
        <v>64876.13878718215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8" t="s">
        <v>131</v>
      </c>
      <c r="B35" s="258" t="str">
        <f>Option2!A115</f>
        <v>sens</v>
      </c>
      <c r="C35" s="258">
        <f>Option2!C115</f>
        <v>0</v>
      </c>
      <c r="D35" s="258" t="str">
        <f t="shared" si="2"/>
        <v>Option 2sens</v>
      </c>
      <c r="E35" s="259"/>
      <c r="F35" s="31">
        <f t="shared" si="3"/>
        <v>714636.15426774055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-16371.832936969957</v>
      </c>
      <c r="K35" s="31">
        <f>IF($B35=0,0, (INDEX(Option2!K$106:K$117, MATCH($D35, Option2!$G$106:$G$117,0)))*conv_2026*K$7)</f>
        <v>-26830.211122561934</v>
      </c>
      <c r="L35" s="31">
        <f>IF($B35=0,0, (INDEX(Option2!L$106:L$117, MATCH($D35, Option2!$G$106:$G$117,0)))*conv_2026*L$7)</f>
        <v>-29870.576528870159</v>
      </c>
      <c r="M35" s="31">
        <f>IF($B35=0,0, (INDEX(Option2!M$106:M$117, MATCH($D35, Option2!$G$106:$G$117,0)))*conv_2026*M$7)</f>
        <v>-23614.622023512391</v>
      </c>
      <c r="N35" s="31">
        <f>IF($B35=0,0, (INDEX(Option2!N$106:N$117, MATCH($D35, Option2!$G$106:$G$117,0)))*conv_2026*N$7)</f>
        <v>-5717.0158273850493</v>
      </c>
      <c r="O35" s="31">
        <f>IF($B35=0,0, (INDEX(Option2!O$106:O$117, MATCH($D35, Option2!$G$106:$G$117,0)))*conv_2026*O$7)</f>
        <v>22292.755638710616</v>
      </c>
      <c r="P35" s="31">
        <f>IF($B35=0,0, (INDEX(Option2!P$106:P$117, MATCH($D35, Option2!$G$106:$G$117,0)))*conv_2026*P$7)</f>
        <v>55320.847379762461</v>
      </c>
      <c r="Q35" s="31">
        <f>IF($B35=0,0, (INDEX(Option2!Q$106:Q$117, MATCH($D35, Option2!$G$106:$G$117,0)))*conv_2026*Q$7)</f>
        <v>74693.365084794714</v>
      </c>
      <c r="R35" s="31">
        <f>IF($B35=0,0, (INDEX(Option2!R$106:R$117, MATCH($D35, Option2!$G$106:$G$117,0)))*conv_2026*R$7)</f>
        <v>83088.113907488179</v>
      </c>
      <c r="S35" s="31">
        <f>IF($B35=0,0, (INDEX(Option2!S$106:S$117, MATCH($D35, Option2!$G$106:$G$117,0)))*conv_2026*S$7)</f>
        <v>88701.832564596567</v>
      </c>
      <c r="T35" s="31">
        <f>IF($B35=0,0, (INDEX(Option2!T$106:T$117, MATCH($D35, Option2!$G$106:$G$117,0)))*conv_2026*T$7)</f>
        <v>95031.961405786438</v>
      </c>
      <c r="U35" s="31">
        <f>IF($B35=0,0, (INDEX(Option2!U$106:U$117, MATCH($D35, Option2!$G$106:$G$117,0)))*conv_2026*U$7)</f>
        <v>102171.59818243564</v>
      </c>
      <c r="V35" s="31">
        <f>IF($B35=0,0, (INDEX(Option2!V$106:V$117, MATCH($D35, Option2!$G$106:$G$117,0)))*conv_2026*V$7)</f>
        <v>110055.3578852619</v>
      </c>
      <c r="W35" s="31">
        <f>IF($B35=0,0, (INDEX(Option2!W$106:W$117, MATCH($D35, Option2!$G$106:$G$117,0)))*conv_2026*W$7)</f>
        <v>110055.3578852536</v>
      </c>
      <c r="X35" s="31">
        <f>IF($B35=0,0, (INDEX(Option2!X$106:X$117, MATCH($D35, Option2!$G$106:$G$117,0)))*conv_2026*X$7)</f>
        <v>110055.35788525775</v>
      </c>
      <c r="Y35" s="31">
        <f>IF($B35=0,0, (INDEX(Option2!Y$106:Y$117, MATCH($D35, Option2!$G$106:$G$117,0)))*conv_2026*Y$7)</f>
        <v>110055.35788525775</v>
      </c>
      <c r="Z35" s="31">
        <f>IF($B35=0,0, (INDEX(Option2!Z$106:Z$117, MATCH($D35, Option2!$G$106:$G$117,0)))*conv_2026*Z$7)</f>
        <v>110055.35788524947</v>
      </c>
      <c r="AA35" s="31">
        <f>IF($B35=0,0, (INDEX(Option2!AA$106:AA$117, MATCH($D35, Option2!$G$106:$G$117,0)))*conv_2026*AA$7)</f>
        <v>110055.35788526604</v>
      </c>
      <c r="AB35" s="31">
        <f>IF($B35=0,0, (INDEX(Option2!AB$106:AB$117, MATCH($D35, Option2!$G$106:$G$117,0)))*conv_2026*AB$7)</f>
        <v>110055.35788524947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8" t="s">
        <v>131</v>
      </c>
      <c r="B36" s="258" t="str">
        <f>Option2!A116</f>
        <v>sens</v>
      </c>
      <c r="C36" s="258">
        <f>Option2!C116</f>
        <v>0</v>
      </c>
      <c r="D36" s="258" t="str">
        <f t="shared" si="2"/>
        <v>Option 2sens</v>
      </c>
      <c r="E36" s="259"/>
      <c r="F36" s="31">
        <f t="shared" si="3"/>
        <v>714636.15426774055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-16371.832936969957</v>
      </c>
      <c r="K36" s="31">
        <f>IF($B36=0,0, (INDEX(Option2!K$106:K$117, MATCH($D36, Option2!$G$106:$G$117,0)))*conv_2026*K$7)</f>
        <v>-26830.211122561934</v>
      </c>
      <c r="L36" s="31">
        <f>IF($B36=0,0, (INDEX(Option2!L$106:L$117, MATCH($D36, Option2!$G$106:$G$117,0)))*conv_2026*L$7)</f>
        <v>-29870.576528870159</v>
      </c>
      <c r="M36" s="31">
        <f>IF($B36=0,0, (INDEX(Option2!M$106:M$117, MATCH($D36, Option2!$G$106:$G$117,0)))*conv_2026*M$7)</f>
        <v>-23614.622023512391</v>
      </c>
      <c r="N36" s="31">
        <f>IF($B36=0,0, (INDEX(Option2!N$106:N$117, MATCH($D36, Option2!$G$106:$G$117,0)))*conv_2026*N$7)</f>
        <v>-5717.0158273850493</v>
      </c>
      <c r="O36" s="31">
        <f>IF($B36=0,0, (INDEX(Option2!O$106:O$117, MATCH($D36, Option2!$G$106:$G$117,0)))*conv_2026*O$7)</f>
        <v>22292.755638710616</v>
      </c>
      <c r="P36" s="31">
        <f>IF($B36=0,0, (INDEX(Option2!P$106:P$117, MATCH($D36, Option2!$G$106:$G$117,0)))*conv_2026*P$7)</f>
        <v>55320.847379762461</v>
      </c>
      <c r="Q36" s="31">
        <f>IF($B36=0,0, (INDEX(Option2!Q$106:Q$117, MATCH($D36, Option2!$G$106:$G$117,0)))*conv_2026*Q$7)</f>
        <v>74693.365084794714</v>
      </c>
      <c r="R36" s="31">
        <f>IF($B36=0,0, (INDEX(Option2!R$106:R$117, MATCH($D36, Option2!$G$106:$G$117,0)))*conv_2026*R$7)</f>
        <v>83088.113907488179</v>
      </c>
      <c r="S36" s="31">
        <f>IF($B36=0,0, (INDEX(Option2!S$106:S$117, MATCH($D36, Option2!$G$106:$G$117,0)))*conv_2026*S$7)</f>
        <v>88701.832564596567</v>
      </c>
      <c r="T36" s="31">
        <f>IF($B36=0,0, (INDEX(Option2!T$106:T$117, MATCH($D36, Option2!$G$106:$G$117,0)))*conv_2026*T$7)</f>
        <v>95031.961405786438</v>
      </c>
      <c r="U36" s="31">
        <f>IF($B36=0,0, (INDEX(Option2!U$106:U$117, MATCH($D36, Option2!$G$106:$G$117,0)))*conv_2026*U$7)</f>
        <v>102171.59818243564</v>
      </c>
      <c r="V36" s="31">
        <f>IF($B36=0,0, (INDEX(Option2!V$106:V$117, MATCH($D36, Option2!$G$106:$G$117,0)))*conv_2026*V$7)</f>
        <v>110055.3578852619</v>
      </c>
      <c r="W36" s="31">
        <f>IF($B36=0,0, (INDEX(Option2!W$106:W$117, MATCH($D36, Option2!$G$106:$G$117,0)))*conv_2026*W$7)</f>
        <v>110055.3578852536</v>
      </c>
      <c r="X36" s="31">
        <f>IF($B36=0,0, (INDEX(Option2!X$106:X$117, MATCH($D36, Option2!$G$106:$G$117,0)))*conv_2026*X$7)</f>
        <v>110055.35788525775</v>
      </c>
      <c r="Y36" s="31">
        <f>IF($B36=0,0, (INDEX(Option2!Y$106:Y$117, MATCH($D36, Option2!$G$106:$G$117,0)))*conv_2026*Y$7)</f>
        <v>110055.35788525775</v>
      </c>
      <c r="Z36" s="31">
        <f>IF($B36=0,0, (INDEX(Option2!Z$106:Z$117, MATCH($D36, Option2!$G$106:$G$117,0)))*conv_2026*Z$7)</f>
        <v>110055.35788524947</v>
      </c>
      <c r="AA36" s="31">
        <f>IF($B36=0,0, (INDEX(Option2!AA$106:AA$117, MATCH($D36, Option2!$G$106:$G$117,0)))*conv_2026*AA$7)</f>
        <v>110055.35788526604</v>
      </c>
      <c r="AB36" s="31">
        <f>IF($B36=0,0, (INDEX(Option2!AB$106:AB$117, MATCH($D36, Option2!$G$106:$G$117,0)))*conv_2026*AB$7)</f>
        <v>110055.35788524947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8" t="s">
        <v>131</v>
      </c>
      <c r="B37" s="258" t="str">
        <f>Option2!A117</f>
        <v>sens</v>
      </c>
      <c r="C37" s="258">
        <f>Option2!C117</f>
        <v>0</v>
      </c>
      <c r="D37" s="258" t="str">
        <f t="shared" si="2"/>
        <v>Option 2sens</v>
      </c>
      <c r="E37" s="259"/>
      <c r="F37" s="31">
        <f t="shared" si="3"/>
        <v>714636.15426774055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-16371.832936969957</v>
      </c>
      <c r="K37" s="31">
        <f>IF($B37=0,0, (INDEX(Option2!K$106:K$117, MATCH($D37, Option2!$G$106:$G$117,0)))*conv_2026*K$7)</f>
        <v>-26830.211122561934</v>
      </c>
      <c r="L37" s="31">
        <f>IF($B37=0,0, (INDEX(Option2!L$106:L$117, MATCH($D37, Option2!$G$106:$G$117,0)))*conv_2026*L$7)</f>
        <v>-29870.576528870159</v>
      </c>
      <c r="M37" s="31">
        <f>IF($B37=0,0, (INDEX(Option2!M$106:M$117, MATCH($D37, Option2!$G$106:$G$117,0)))*conv_2026*M$7)</f>
        <v>-23614.622023512391</v>
      </c>
      <c r="N37" s="31">
        <f>IF($B37=0,0, (INDEX(Option2!N$106:N$117, MATCH($D37, Option2!$G$106:$G$117,0)))*conv_2026*N$7)</f>
        <v>-5717.0158273850493</v>
      </c>
      <c r="O37" s="31">
        <f>IF($B37=0,0, (INDEX(Option2!O$106:O$117, MATCH($D37, Option2!$G$106:$G$117,0)))*conv_2026*O$7)</f>
        <v>22292.755638710616</v>
      </c>
      <c r="P37" s="31">
        <f>IF($B37=0,0, (INDEX(Option2!P$106:P$117, MATCH($D37, Option2!$G$106:$G$117,0)))*conv_2026*P$7)</f>
        <v>55320.847379762461</v>
      </c>
      <c r="Q37" s="31">
        <f>IF($B37=0,0, (INDEX(Option2!Q$106:Q$117, MATCH($D37, Option2!$G$106:$G$117,0)))*conv_2026*Q$7)</f>
        <v>74693.365084794714</v>
      </c>
      <c r="R37" s="31">
        <f>IF($B37=0,0, (INDEX(Option2!R$106:R$117, MATCH($D37, Option2!$G$106:$G$117,0)))*conv_2026*R$7)</f>
        <v>83088.113907488179</v>
      </c>
      <c r="S37" s="31">
        <f>IF($B37=0,0, (INDEX(Option2!S$106:S$117, MATCH($D37, Option2!$G$106:$G$117,0)))*conv_2026*S$7)</f>
        <v>88701.832564596567</v>
      </c>
      <c r="T37" s="31">
        <f>IF($B37=0,0, (INDEX(Option2!T$106:T$117, MATCH($D37, Option2!$G$106:$G$117,0)))*conv_2026*T$7)</f>
        <v>95031.961405786438</v>
      </c>
      <c r="U37" s="31">
        <f>IF($B37=0,0, (INDEX(Option2!U$106:U$117, MATCH($D37, Option2!$G$106:$G$117,0)))*conv_2026*U$7)</f>
        <v>102171.59818243564</v>
      </c>
      <c r="V37" s="31">
        <f>IF($B37=0,0, (INDEX(Option2!V$106:V$117, MATCH($D37, Option2!$G$106:$G$117,0)))*conv_2026*V$7)</f>
        <v>110055.3578852619</v>
      </c>
      <c r="W37" s="31">
        <f>IF($B37=0,0, (INDEX(Option2!W$106:W$117, MATCH($D37, Option2!$G$106:$G$117,0)))*conv_2026*W$7)</f>
        <v>110055.3578852536</v>
      </c>
      <c r="X37" s="31">
        <f>IF($B37=0,0, (INDEX(Option2!X$106:X$117, MATCH($D37, Option2!$G$106:$G$117,0)))*conv_2026*X$7)</f>
        <v>110055.35788525775</v>
      </c>
      <c r="Y37" s="31">
        <f>IF($B37=0,0, (INDEX(Option2!Y$106:Y$117, MATCH($D37, Option2!$G$106:$G$117,0)))*conv_2026*Y$7)</f>
        <v>110055.35788525775</v>
      </c>
      <c r="Z37" s="31">
        <f>IF($B37=0,0, (INDEX(Option2!Z$106:Z$117, MATCH($D37, Option2!$G$106:$G$117,0)))*conv_2026*Z$7)</f>
        <v>110055.35788524947</v>
      </c>
      <c r="AA37" s="31">
        <f>IF($B37=0,0, (INDEX(Option2!AA$106:AA$117, MATCH($D37, Option2!$G$106:$G$117,0)))*conv_2026*AA$7)</f>
        <v>110055.35788526604</v>
      </c>
      <c r="AB37" s="31">
        <f>IF($B37=0,0, (INDEX(Option2!AB$106:AB$117, MATCH($D37, Option2!$G$106:$G$117,0)))*conv_2026*AB$7)</f>
        <v>110055.35788524947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0</v>
      </c>
      <c r="J40" s="31">
        <f>Consol!J50</f>
        <v>-33951.377231289531</v>
      </c>
      <c r="K40" s="31">
        <f>Consol!K50</f>
        <v>-57784.523226457997</v>
      </c>
      <c r="L40" s="31">
        <f>Consol!L50</f>
        <v>-69010.760482847894</v>
      </c>
      <c r="M40" s="31">
        <f>Consol!M50</f>
        <v>-64543.753960087983</v>
      </c>
      <c r="N40" s="31">
        <f>Consol!N50</f>
        <v>-40554.789248009853</v>
      </c>
      <c r="O40" s="31">
        <f>Consol!O50</f>
        <v>6422.8495424399734</v>
      </c>
      <c r="P40" s="31">
        <f>Consol!P50</f>
        <v>61529.397847871587</v>
      </c>
      <c r="Q40" s="31">
        <f>Consol!Q50</f>
        <v>99409.879501422925</v>
      </c>
      <c r="R40" s="31">
        <f>Consol!R50</f>
        <v>127236.55153713142</v>
      </c>
      <c r="S40" s="31">
        <f>Consol!S50</f>
        <v>142479.4087777707</v>
      </c>
      <c r="T40" s="31">
        <f>Consol!T50</f>
        <v>159667.52527146979</v>
      </c>
      <c r="U40" s="31">
        <f>Consol!U50</f>
        <v>179053.68813140009</v>
      </c>
      <c r="V40" s="31">
        <f>Consol!V50</f>
        <v>200460.3582924545</v>
      </c>
      <c r="W40" s="31">
        <f>Consol!W50</f>
        <v>200460.3582924545</v>
      </c>
      <c r="X40" s="31">
        <f>Consol!X50</f>
        <v>200460.3582924587</v>
      </c>
      <c r="Y40" s="31">
        <f>Consol!Y50</f>
        <v>200460.35829245043</v>
      </c>
      <c r="Z40" s="31">
        <f>Consol!Z50</f>
        <v>200460.35829244216</v>
      </c>
      <c r="AA40" s="31">
        <f>Consol!AA50</f>
        <v>200460.3582924587</v>
      </c>
      <c r="AB40" s="31">
        <f>Consol!AB50</f>
        <v>200460.3582924587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188</v>
      </c>
      <c r="D42" s="258" t="str">
        <f>A42&amp;B42</f>
        <v>Option 3NPV</v>
      </c>
      <c r="E42" s="259"/>
      <c r="F42" s="31">
        <f t="shared" ref="F42:F51" si="4">SUMPRODUCT($H42:$AG42, $H$5:$AG$5)</f>
        <v>1103930.7448253827</v>
      </c>
      <c r="G42" s="251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-33951.377231289531</v>
      </c>
      <c r="K42" s="31">
        <f>(INDEX(Option3!K$106:K$117, MATCH($D42, Option3!$G$106:$G$117,0)))*conv_2026*K$7</f>
        <v>-57784.523226458005</v>
      </c>
      <c r="L42" s="31">
        <f>(INDEX(Option3!L$106:L$117, MATCH($D42, Option3!$G$106:$G$117,0)))*conv_2026*L$7</f>
        <v>-69010.76048284788</v>
      </c>
      <c r="M42" s="31">
        <f>(INDEX(Option3!M$106:M$117, MATCH($D42, Option3!$G$106:$G$117,0)))*conv_2026*M$7</f>
        <v>-64543.753960087997</v>
      </c>
      <c r="N42" s="31">
        <f>(INDEX(Option3!N$106:N$117, MATCH($D42, Option3!$G$106:$G$117,0)))*conv_2026*N$7</f>
        <v>-40554.789248009816</v>
      </c>
      <c r="O42" s="31">
        <f>(INDEX(Option3!O$106:O$117, MATCH($D42, Option3!$G$106:$G$117,0)))*conv_2026*O$7</f>
        <v>6422.8495424400089</v>
      </c>
      <c r="P42" s="31">
        <f>(INDEX(Option3!P$106:P$117, MATCH($D42, Option3!$G$106:$G$117,0)))*conv_2026*P$7</f>
        <v>61529.397847871594</v>
      </c>
      <c r="Q42" s="31">
        <f>(INDEX(Option3!Q$106:Q$117, MATCH($D42, Option3!$G$106:$G$117,0)))*conv_2026*Q$7</f>
        <v>99409.879501422925</v>
      </c>
      <c r="R42" s="31">
        <f>(INDEX(Option3!R$106:R$117, MATCH($D42, Option3!$G$106:$G$117,0)))*conv_2026*R$7</f>
        <v>127236.55153713141</v>
      </c>
      <c r="S42" s="31">
        <f>(INDEX(Option3!S$106:S$117, MATCH($D42, Option3!$G$106:$G$117,0)))*conv_2026*S$7</f>
        <v>142479.40877777073</v>
      </c>
      <c r="T42" s="31">
        <f>(INDEX(Option3!T$106:T$117, MATCH($D42, Option3!$G$106:$G$117,0)))*conv_2026*T$7</f>
        <v>159667.52527146981</v>
      </c>
      <c r="U42" s="31">
        <f>(INDEX(Option3!U$106:U$117, MATCH($D42, Option3!$G$106:$G$117,0)))*conv_2026*U$7</f>
        <v>179053.68813140009</v>
      </c>
      <c r="V42" s="31">
        <f>(INDEX(Option3!V$106:V$117, MATCH($D42, Option3!$G$106:$G$117,0)))*conv_2026*V$7</f>
        <v>200460.35829245456</v>
      </c>
      <c r="W42" s="31">
        <f>(INDEX(Option3!W$106:W$117, MATCH($D42, Option3!$G$106:$G$117,0)))*conv_2026*W$7</f>
        <v>200460.35829245456</v>
      </c>
      <c r="X42" s="31">
        <f>(INDEX(Option3!X$106:X$117, MATCH($D42, Option3!$G$106:$G$117,0)))*conv_2026*X$7</f>
        <v>200460.35829245872</v>
      </c>
      <c r="Y42" s="31">
        <f>(INDEX(Option3!Y$106:Y$117, MATCH($D42, Option3!$G$106:$G$117,0)))*conv_2026*Y$7</f>
        <v>200460.35829245043</v>
      </c>
      <c r="Z42" s="31">
        <f>(INDEX(Option3!Z$106:Z$117, MATCH($D42, Option3!$G$106:$G$117,0)))*conv_2026*Z$7</f>
        <v>200460.35829244214</v>
      </c>
      <c r="AA42" s="31">
        <f>(INDEX(Option3!AA$106:AA$117, MATCH($D42, Option3!$G$106:$G$117,0)))*conv_2026*AA$7</f>
        <v>200460.35829245872</v>
      </c>
      <c r="AB42" s="31">
        <f>(INDEX(Option3!AB$106:AB$117, MATCH($D42, Option3!$G$106:$G$117,0)))*conv_2026*AB$7</f>
        <v>200460.35829245872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Option3!A110</f>
        <v>sens1</v>
      </c>
      <c r="C44" s="258" t="str">
        <f>Option3!C110</f>
        <v>Capex 10% higher</v>
      </c>
      <c r="D44" s="258" t="str">
        <f t="shared" ref="D44:D51" si="5">A44&amp;B44</f>
        <v>Option 3sens1</v>
      </c>
      <c r="E44" s="259"/>
      <c r="F44" s="31">
        <f t="shared" si="4"/>
        <v>724832.46444250562</v>
      </c>
      <c r="G44" s="251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-40465.219651534979</v>
      </c>
      <c r="K44" s="31">
        <f>(INDEX(Option3!K$106:K$117, MATCH($D44, Option3!$G$106:$G$117,0)))*conv_2026*K$7</f>
        <v>-70812.208066948908</v>
      </c>
      <c r="L44" s="31">
        <f>(INDEX(Option3!L$106:L$117, MATCH($D44, Option3!$G$106:$G$117,0)))*conv_2026*L$7</f>
        <v>-88552.287743584224</v>
      </c>
      <c r="M44" s="31">
        <f>(INDEX(Option3!M$106:M$117, MATCH($D44, Option3!$G$106:$G$117,0)))*conv_2026*M$7</f>
        <v>-90599.123641069804</v>
      </c>
      <c r="N44" s="31">
        <f>(INDEX(Option3!N$106:N$117, MATCH($D44, Option3!$G$106:$G$117,0)))*conv_2026*N$7</f>
        <v>-73124.001349237064</v>
      </c>
      <c r="O44" s="31">
        <f>(INDEX(Option3!O$106:O$117, MATCH($D44, Option3!$G$106:$G$117,0)))*conv_2026*O$7</f>
        <v>-26146.362558787245</v>
      </c>
      <c r="P44" s="31">
        <f>(INDEX(Option3!P$106:P$117, MATCH($D44, Option3!$G$106:$G$117,0)))*conv_2026*P$7</f>
        <v>28960.185746644343</v>
      </c>
      <c r="Q44" s="31">
        <f>(INDEX(Option3!Q$106:Q$117, MATCH($D44, Option3!$G$106:$G$117,0)))*conv_2026*Q$7</f>
        <v>66840.667400195671</v>
      </c>
      <c r="R44" s="31">
        <f>(INDEX(Option3!R$106:R$117, MATCH($D44, Option3!$G$106:$G$117,0)))*conv_2026*R$7</f>
        <v>94667.339435904156</v>
      </c>
      <c r="S44" s="31">
        <f>(INDEX(Option3!S$106:S$117, MATCH($D44, Option3!$G$106:$G$117,0)))*conv_2026*S$7</f>
        <v>109910.19667654348</v>
      </c>
      <c r="T44" s="31">
        <f>(INDEX(Option3!T$106:T$117, MATCH($D44, Option3!$G$106:$G$117,0)))*conv_2026*T$7</f>
        <v>127098.31317024256</v>
      </c>
      <c r="U44" s="31">
        <f>(INDEX(Option3!U$106:U$117, MATCH($D44, Option3!$G$106:$G$117,0)))*conv_2026*U$7</f>
        <v>146484.47603017284</v>
      </c>
      <c r="V44" s="31">
        <f>(INDEX(Option3!V$106:V$117, MATCH($D44, Option3!$G$106:$G$117,0)))*conv_2026*V$7</f>
        <v>167891.14619122731</v>
      </c>
      <c r="W44" s="31">
        <f>(INDEX(Option3!W$106:W$117, MATCH($D44, Option3!$G$106:$G$117,0)))*conv_2026*W$7</f>
        <v>167891.14619122731</v>
      </c>
      <c r="X44" s="31">
        <f>(INDEX(Option3!X$106:X$117, MATCH($D44, Option3!$G$106:$G$117,0)))*conv_2026*X$7</f>
        <v>167891.14619123147</v>
      </c>
      <c r="Y44" s="31">
        <f>(INDEX(Option3!Y$106:Y$117, MATCH($D44, Option3!$G$106:$G$117,0)))*conv_2026*Y$7</f>
        <v>167891.14619122318</v>
      </c>
      <c r="Z44" s="31">
        <f>(INDEX(Option3!Z$106:Z$117, MATCH($D44, Option3!$G$106:$G$117,0)))*conv_2026*Z$7</f>
        <v>167891.14619121488</v>
      </c>
      <c r="AA44" s="31">
        <f>(INDEX(Option3!AA$106:AA$117, MATCH($D44, Option3!$G$106:$G$117,0)))*conv_2026*AA$7</f>
        <v>167891.14619123147</v>
      </c>
      <c r="AB44" s="31">
        <f>(INDEX(Option3!AB$106:AB$117, MATCH($D44, Option3!$G$106:$G$117,0)))*conv_2026*AB$7</f>
        <v>167891.14619123147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Option3!A111</f>
        <v>sens2</v>
      </c>
      <c r="C45" s="258" t="str">
        <f>Option3!C111</f>
        <v>Capex 10% lower</v>
      </c>
      <c r="D45" s="258" t="str">
        <f t="shared" si="5"/>
        <v>Option 3sens2</v>
      </c>
      <c r="E45" s="259"/>
      <c r="F45" s="31">
        <f t="shared" si="4"/>
        <v>1483029.0252082595</v>
      </c>
      <c r="G45" s="258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-27437.534811044079</v>
      </c>
      <c r="K45" s="31">
        <f>(INDEX(Option3!K$106:K$117, MATCH($D45, Option3!$G$106:$G$117,0)))*conv_2026*K$7</f>
        <v>-44756.838385967101</v>
      </c>
      <c r="L45" s="31">
        <f>(INDEX(Option3!L$106:L$117, MATCH($D45, Option3!$G$106:$G$117,0)))*conv_2026*L$7</f>
        <v>-49469.233222111528</v>
      </c>
      <c r="M45" s="31">
        <f>(INDEX(Option3!M$106:M$117, MATCH($D45, Option3!$G$106:$G$117,0)))*conv_2026*M$7</f>
        <v>-38488.384279106198</v>
      </c>
      <c r="N45" s="31">
        <f>(INDEX(Option3!N$106:N$117, MATCH($D45, Option3!$G$106:$G$117,0)))*conv_2026*N$7</f>
        <v>-7985.5771467825625</v>
      </c>
      <c r="O45" s="31">
        <f>(INDEX(Option3!O$106:O$117, MATCH($D45, Option3!$G$106:$G$117,0)))*conv_2026*O$7</f>
        <v>38992.061643667264</v>
      </c>
      <c r="P45" s="31">
        <f>(INDEX(Option3!P$106:P$117, MATCH($D45, Option3!$G$106:$G$117,0)))*conv_2026*P$7</f>
        <v>94098.609949098856</v>
      </c>
      <c r="Q45" s="31">
        <f>(INDEX(Option3!Q$106:Q$117, MATCH($D45, Option3!$G$106:$G$117,0)))*conv_2026*Q$7</f>
        <v>131979.09160265018</v>
      </c>
      <c r="R45" s="31">
        <f>(INDEX(Option3!R$106:R$117, MATCH($D45, Option3!$G$106:$G$117,0)))*conv_2026*R$7</f>
        <v>159805.76363835868</v>
      </c>
      <c r="S45" s="31">
        <f>(INDEX(Option3!S$106:S$117, MATCH($D45, Option3!$G$106:$G$117,0)))*conv_2026*S$7</f>
        <v>175048.62087899799</v>
      </c>
      <c r="T45" s="31">
        <f>(INDEX(Option3!T$106:T$117, MATCH($D45, Option3!$G$106:$G$117,0)))*conv_2026*T$7</f>
        <v>192236.73737269707</v>
      </c>
      <c r="U45" s="31">
        <f>(INDEX(Option3!U$106:U$117, MATCH($D45, Option3!$G$106:$G$117,0)))*conv_2026*U$7</f>
        <v>211622.90023262735</v>
      </c>
      <c r="V45" s="31">
        <f>(INDEX(Option3!V$106:V$117, MATCH($D45, Option3!$G$106:$G$117,0)))*conv_2026*V$7</f>
        <v>233029.57039368182</v>
      </c>
      <c r="W45" s="31">
        <f>(INDEX(Option3!W$106:W$117, MATCH($D45, Option3!$G$106:$G$117,0)))*conv_2026*W$7</f>
        <v>233029.57039368182</v>
      </c>
      <c r="X45" s="31">
        <f>(INDEX(Option3!X$106:X$117, MATCH($D45, Option3!$G$106:$G$117,0)))*conv_2026*X$7</f>
        <v>233029.57039368598</v>
      </c>
      <c r="Y45" s="31">
        <f>(INDEX(Option3!Y$106:Y$117, MATCH($D45, Option3!$G$106:$G$117,0)))*conv_2026*Y$7</f>
        <v>233029.57039367768</v>
      </c>
      <c r="Z45" s="31">
        <f>(INDEX(Option3!Z$106:Z$117, MATCH($D45, Option3!$G$106:$G$117,0)))*conv_2026*Z$7</f>
        <v>233029.57039366939</v>
      </c>
      <c r="AA45" s="31">
        <f>(INDEX(Option3!AA$106:AA$117, MATCH($D45, Option3!$G$106:$G$117,0)))*conv_2026*AA$7</f>
        <v>233029.57039368598</v>
      </c>
      <c r="AB45" s="31">
        <f>(INDEX(Option3!AB$106:AB$117, MATCH($D45, Option3!$G$106:$G$117,0)))*conv_2026*AB$7</f>
        <v>233029.57039368598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8" t="s">
        <v>132</v>
      </c>
      <c r="B46" s="258" t="str">
        <f>Option3!A112</f>
        <v>sens3</v>
      </c>
      <c r="C46" s="258" t="str">
        <f>Option3!C112</f>
        <v>Total benefits 10% higher</v>
      </c>
      <c r="D46" s="258" t="str">
        <f t="shared" si="5"/>
        <v>Option 3sens3</v>
      </c>
      <c r="E46" s="259"/>
      <c r="F46" s="31">
        <f t="shared" si="4"/>
        <v>1593422.0996907977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-30832.672534173034</v>
      </c>
      <c r="K46" s="31">
        <f>(INDEX(Option3!K$106:K$117, MATCH($D46, Option3!$G$106:$G$117,0)))*conv_2026*K$7</f>
        <v>-50535.290708612905</v>
      </c>
      <c r="L46" s="31">
        <f>(INDEX(Option3!L$106:L$117, MATCH($D46, Option3!$G$106:$G$117,0)))*conv_2026*L$7</f>
        <v>-56370.309270396319</v>
      </c>
      <c r="M46" s="31">
        <f>(INDEX(Option3!M$106:M$117, MATCH($D46, Option3!$G$106:$G$117,0)))*conv_2026*M$7</f>
        <v>-44942.759675114998</v>
      </c>
      <c r="N46" s="31">
        <f>(INDEX(Option3!N$106:N$117, MATCH($D46, Option3!$G$106:$G$117,0)))*conv_2026*N$7</f>
        <v>-12041.056071583542</v>
      </c>
      <c r="O46" s="31">
        <f>(INDEX(Option3!O$106:O$117, MATCH($D46, Option3!$G$106:$G$117,0)))*conv_2026*O$7</f>
        <v>39634.346597911266</v>
      </c>
      <c r="P46" s="31">
        <f>(INDEX(Option3!P$106:P$117, MATCH($D46, Option3!$G$106:$G$117,0)))*conv_2026*P$7</f>
        <v>100251.54973388602</v>
      </c>
      <c r="Q46" s="31">
        <f>(INDEX(Option3!Q$106:Q$117, MATCH($D46, Option3!$G$106:$G$117,0)))*conv_2026*Q$7</f>
        <v>141920.07955279248</v>
      </c>
      <c r="R46" s="31">
        <f>(INDEX(Option3!R$106:R$117, MATCH($D46, Option3!$G$106:$G$117,0)))*conv_2026*R$7</f>
        <v>172529.41879207181</v>
      </c>
      <c r="S46" s="31">
        <f>(INDEX(Option3!S$106:S$117, MATCH($D46, Option3!$G$106:$G$117,0)))*conv_2026*S$7</f>
        <v>189296.56175677505</v>
      </c>
      <c r="T46" s="31">
        <f>(INDEX(Option3!T$106:T$117, MATCH($D46, Option3!$G$106:$G$117,0)))*conv_2026*T$7</f>
        <v>208203.48989984402</v>
      </c>
      <c r="U46" s="31">
        <f>(INDEX(Option3!U$106:U$117, MATCH($D46, Option3!$G$106:$G$117,0)))*conv_2026*U$7</f>
        <v>229528.26904576735</v>
      </c>
      <c r="V46" s="31">
        <f>(INDEX(Option3!V$106:V$117, MATCH($D46, Option3!$G$106:$G$117,0)))*conv_2026*V$7</f>
        <v>253075.60622292728</v>
      </c>
      <c r="W46" s="31">
        <f>(INDEX(Option3!W$106:W$117, MATCH($D46, Option3!$G$106:$G$117,0)))*conv_2026*W$7</f>
        <v>253075.60622292728</v>
      </c>
      <c r="X46" s="31">
        <f>(INDEX(Option3!X$106:X$117, MATCH($D46, Option3!$G$106:$G$117,0)))*conv_2026*X$7</f>
        <v>253075.60622293185</v>
      </c>
      <c r="Y46" s="31">
        <f>(INDEX(Option3!Y$106:Y$117, MATCH($D46, Option3!$G$106:$G$117,0)))*conv_2026*Y$7</f>
        <v>253075.60622292274</v>
      </c>
      <c r="Z46" s="31">
        <f>(INDEX(Option3!Z$106:Z$117, MATCH($D46, Option3!$G$106:$G$117,0)))*conv_2026*Z$7</f>
        <v>253075.6062229136</v>
      </c>
      <c r="AA46" s="31">
        <f>(INDEX(Option3!AA$106:AA$117, MATCH($D46, Option3!$G$106:$G$117,0)))*conv_2026*AA$7</f>
        <v>253075.60622293185</v>
      </c>
      <c r="AB46" s="31">
        <f>(INDEX(Option3!AB$106:AB$117, MATCH($D46, Option3!$G$106:$G$117,0)))*conv_2026*AB$7</f>
        <v>253075.60622293185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8" t="s">
        <v>132</v>
      </c>
      <c r="B47" s="258" t="str">
        <f>Option3!A113</f>
        <v>sens4</v>
      </c>
      <c r="C47" s="258" t="str">
        <f>Option3!C113</f>
        <v>Total benefits 10% lower</v>
      </c>
      <c r="D47" s="258" t="str">
        <f t="shared" si="5"/>
        <v>Option 3sens4</v>
      </c>
      <c r="E47" s="259"/>
      <c r="F47" s="31">
        <f t="shared" si="4"/>
        <v>614439.38995996758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-37070.081928406027</v>
      </c>
      <c r="K47" s="31">
        <f>(INDEX(Option3!K$106:K$117, MATCH($D47, Option3!$G$106:$G$117,0)))*conv_2026*K$7</f>
        <v>-65033.755744303104</v>
      </c>
      <c r="L47" s="31">
        <f>(INDEX(Option3!L$106:L$117, MATCH($D47, Option3!$G$106:$G$117,0)))*conv_2026*L$7</f>
        <v>-81651.21169529944</v>
      </c>
      <c r="M47" s="31">
        <f>(INDEX(Option3!M$106:M$117, MATCH($D47, Option3!$G$106:$G$117,0)))*conv_2026*M$7</f>
        <v>-84144.748245061011</v>
      </c>
      <c r="N47" s="31">
        <f>(INDEX(Option3!N$106:N$117, MATCH($D47, Option3!$G$106:$G$117,0)))*conv_2026*N$7</f>
        <v>-69068.522424436087</v>
      </c>
      <c r="O47" s="31">
        <f>(INDEX(Option3!O$106:O$117, MATCH($D47, Option3!$G$106:$G$117,0)))*conv_2026*O$7</f>
        <v>-26788.647513031243</v>
      </c>
      <c r="P47" s="31">
        <f>(INDEX(Option3!P$106:P$117, MATCH($D47, Option3!$G$106:$G$117,0)))*conv_2026*P$7</f>
        <v>22807.245961857185</v>
      </c>
      <c r="Q47" s="31">
        <f>(INDEX(Option3!Q$106:Q$117, MATCH($D47, Option3!$G$106:$G$117,0)))*conv_2026*Q$7</f>
        <v>56899.67945005338</v>
      </c>
      <c r="R47" s="31">
        <f>(INDEX(Option3!R$106:R$117, MATCH($D47, Option3!$G$106:$G$117,0)))*conv_2026*R$7</f>
        <v>81943.68428219101</v>
      </c>
      <c r="S47" s="31">
        <f>(INDEX(Option3!S$106:S$117, MATCH($D47, Option3!$G$106:$G$117,0)))*conv_2026*S$7</f>
        <v>95662.255798766404</v>
      </c>
      <c r="T47" s="31">
        <f>(INDEX(Option3!T$106:T$117, MATCH($D47, Option3!$G$106:$G$117,0)))*conv_2026*T$7</f>
        <v>111131.56064309557</v>
      </c>
      <c r="U47" s="31">
        <f>(INDEX(Option3!U$106:U$117, MATCH($D47, Option3!$G$106:$G$117,0)))*conv_2026*U$7</f>
        <v>128579.10721703284</v>
      </c>
      <c r="V47" s="31">
        <f>(INDEX(Option3!V$106:V$117, MATCH($D47, Option3!$G$106:$G$117,0)))*conv_2026*V$7</f>
        <v>147845.11036198188</v>
      </c>
      <c r="W47" s="31">
        <f>(INDEX(Option3!W$106:W$117, MATCH($D47, Option3!$G$106:$G$117,0)))*conv_2026*W$7</f>
        <v>147845.11036198188</v>
      </c>
      <c r="X47" s="31">
        <f>(INDEX(Option3!X$106:X$117, MATCH($D47, Option3!$G$106:$G$117,0)))*conv_2026*X$7</f>
        <v>147845.1103619856</v>
      </c>
      <c r="Y47" s="31">
        <f>(INDEX(Option3!Y$106:Y$117, MATCH($D47, Option3!$G$106:$G$117,0)))*conv_2026*Y$7</f>
        <v>147845.11036197812</v>
      </c>
      <c r="Z47" s="31">
        <f>(INDEX(Option3!Z$106:Z$117, MATCH($D47, Option3!$G$106:$G$117,0)))*conv_2026*Z$7</f>
        <v>147845.11036197067</v>
      </c>
      <c r="AA47" s="31">
        <f>(INDEX(Option3!AA$106:AA$117, MATCH($D47, Option3!$G$106:$G$117,0)))*conv_2026*AA$7</f>
        <v>147845.1103619856</v>
      </c>
      <c r="AB47" s="31">
        <f>(INDEX(Option3!AB$106:AB$117, MATCH($D47, Option3!$G$106:$G$117,0)))*conv_2026*AB$7</f>
        <v>147845.1103619856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8" t="s">
        <v>132</v>
      </c>
      <c r="B48" s="258" t="str">
        <f>Option3!A114</f>
        <v>sens5</v>
      </c>
      <c r="C48" s="258" t="str">
        <f>Option3!C114</f>
        <v>Capex 10% higher &amp; total benefits 10% lower</v>
      </c>
      <c r="D48" s="258" t="str">
        <f t="shared" si="5"/>
        <v>Option 3sens5</v>
      </c>
      <c r="E48" s="259"/>
      <c r="F48" s="31">
        <f t="shared" si="4"/>
        <v>235341.1095770906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-43583.924348651475</v>
      </c>
      <c r="K48" s="31">
        <f>(INDEX(Option3!K$106:K$117, MATCH($D48, Option3!$G$106:$G$117,0)))*conv_2026*K$7</f>
        <v>-78061.440584794007</v>
      </c>
      <c r="L48" s="31">
        <f>(INDEX(Option3!L$106:L$117, MATCH($D48, Option3!$G$106:$G$117,0)))*conv_2026*L$7</f>
        <v>-101192.73895603578</v>
      </c>
      <c r="M48" s="31">
        <f>(INDEX(Option3!M$106:M$117, MATCH($D48, Option3!$G$106:$G$117,0)))*conv_2026*M$7</f>
        <v>-110200.1179260428</v>
      </c>
      <c r="N48" s="31">
        <f>(INDEX(Option3!N$106:N$117, MATCH($D48, Option3!$G$106:$G$117,0)))*conv_2026*N$7</f>
        <v>-101637.73452566334</v>
      </c>
      <c r="O48" s="31">
        <f>(INDEX(Option3!O$106:O$117, MATCH($D48, Option3!$G$106:$G$117,0)))*conv_2026*O$7</f>
        <v>-59357.859614258494</v>
      </c>
      <c r="P48" s="31">
        <f>(INDEX(Option3!P$106:P$117, MATCH($D48, Option3!$G$106:$G$117,0)))*conv_2026*P$7</f>
        <v>-9761.9661393700662</v>
      </c>
      <c r="Q48" s="31">
        <f>(INDEX(Option3!Q$106:Q$117, MATCH($D48, Option3!$G$106:$G$117,0)))*conv_2026*Q$7</f>
        <v>24330.467348826125</v>
      </c>
      <c r="R48" s="31">
        <f>(INDEX(Option3!R$106:R$117, MATCH($D48, Option3!$G$106:$G$117,0)))*conv_2026*R$7</f>
        <v>49374.472180963763</v>
      </c>
      <c r="S48" s="31">
        <f>(INDEX(Option3!S$106:S$117, MATCH($D48, Option3!$G$106:$G$117,0)))*conv_2026*S$7</f>
        <v>63093.043697539149</v>
      </c>
      <c r="T48" s="31">
        <f>(INDEX(Option3!T$106:T$117, MATCH($D48, Option3!$G$106:$G$117,0)))*conv_2026*T$7</f>
        <v>78562.348541868312</v>
      </c>
      <c r="U48" s="31">
        <f>(INDEX(Option3!U$106:U$117, MATCH($D48, Option3!$G$106:$G$117,0)))*conv_2026*U$7</f>
        <v>96009.895115805586</v>
      </c>
      <c r="V48" s="31">
        <f>(INDEX(Option3!V$106:V$117, MATCH($D48, Option3!$G$106:$G$117,0)))*conv_2026*V$7</f>
        <v>115275.89826075461</v>
      </c>
      <c r="W48" s="31">
        <f>(INDEX(Option3!W$106:W$117, MATCH($D48, Option3!$G$106:$G$117,0)))*conv_2026*W$7</f>
        <v>115275.89826075461</v>
      </c>
      <c r="X48" s="31">
        <f>(INDEX(Option3!X$106:X$117, MATCH($D48, Option3!$G$106:$G$117,0)))*conv_2026*X$7</f>
        <v>115275.89826075835</v>
      </c>
      <c r="Y48" s="31">
        <f>(INDEX(Option3!Y$106:Y$117, MATCH($D48, Option3!$G$106:$G$117,0)))*conv_2026*Y$7</f>
        <v>115275.89826075087</v>
      </c>
      <c r="Z48" s="31">
        <f>(INDEX(Option3!Z$106:Z$117, MATCH($D48, Option3!$G$106:$G$117,0)))*conv_2026*Z$7</f>
        <v>115275.89826074342</v>
      </c>
      <c r="AA48" s="31">
        <f>(INDEX(Option3!AA$106:AA$117, MATCH($D48, Option3!$G$106:$G$117,0)))*conv_2026*AA$7</f>
        <v>115275.89826075835</v>
      </c>
      <c r="AB48" s="31">
        <f>(INDEX(Option3!AB$106:AB$117, MATCH($D48, Option3!$G$106:$G$117,0)))*conv_2026*AB$7</f>
        <v>115275.89826075835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8" t="s">
        <v>132</v>
      </c>
      <c r="B49" s="258" t="str">
        <f>Option3!A115</f>
        <v>sens</v>
      </c>
      <c r="C49" s="258">
        <f>Option3!C115</f>
        <v>0</v>
      </c>
      <c r="D49" s="258" t="str">
        <f t="shared" si="5"/>
        <v>Option 3sens</v>
      </c>
      <c r="E49" s="259"/>
      <c r="F49" s="31">
        <f t="shared" si="4"/>
        <v>1103930.7448253827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-33951.377231289531</v>
      </c>
      <c r="K49" s="31">
        <f>(INDEX(Option3!K$106:K$117, MATCH($D49, Option3!$G$106:$G$117,0)))*conv_2026*K$7</f>
        <v>-57784.523226458005</v>
      </c>
      <c r="L49" s="31">
        <f>(INDEX(Option3!L$106:L$117, MATCH($D49, Option3!$G$106:$G$117,0)))*conv_2026*L$7</f>
        <v>-69010.76048284788</v>
      </c>
      <c r="M49" s="31">
        <f>(INDEX(Option3!M$106:M$117, MATCH($D49, Option3!$G$106:$G$117,0)))*conv_2026*M$7</f>
        <v>-64543.753960087997</v>
      </c>
      <c r="N49" s="31">
        <f>(INDEX(Option3!N$106:N$117, MATCH($D49, Option3!$G$106:$G$117,0)))*conv_2026*N$7</f>
        <v>-40554.789248009816</v>
      </c>
      <c r="O49" s="31">
        <f>(INDEX(Option3!O$106:O$117, MATCH($D49, Option3!$G$106:$G$117,0)))*conv_2026*O$7</f>
        <v>6422.8495424400089</v>
      </c>
      <c r="P49" s="31">
        <f>(INDEX(Option3!P$106:P$117, MATCH($D49, Option3!$G$106:$G$117,0)))*conv_2026*P$7</f>
        <v>61529.397847871594</v>
      </c>
      <c r="Q49" s="31">
        <f>(INDEX(Option3!Q$106:Q$117, MATCH($D49, Option3!$G$106:$G$117,0)))*conv_2026*Q$7</f>
        <v>99409.879501422925</v>
      </c>
      <c r="R49" s="31">
        <f>(INDEX(Option3!R$106:R$117, MATCH($D49, Option3!$G$106:$G$117,0)))*conv_2026*R$7</f>
        <v>127236.55153713141</v>
      </c>
      <c r="S49" s="31">
        <f>(INDEX(Option3!S$106:S$117, MATCH($D49, Option3!$G$106:$G$117,0)))*conv_2026*S$7</f>
        <v>142479.40877777073</v>
      </c>
      <c r="T49" s="31">
        <f>(INDEX(Option3!T$106:T$117, MATCH($D49, Option3!$G$106:$G$117,0)))*conv_2026*T$7</f>
        <v>159667.52527146981</v>
      </c>
      <c r="U49" s="31">
        <f>(INDEX(Option3!U$106:U$117, MATCH($D49, Option3!$G$106:$G$117,0)))*conv_2026*U$7</f>
        <v>179053.68813140009</v>
      </c>
      <c r="V49" s="31">
        <f>(INDEX(Option3!V$106:V$117, MATCH($D49, Option3!$G$106:$G$117,0)))*conv_2026*V$7</f>
        <v>200460.35829245456</v>
      </c>
      <c r="W49" s="31">
        <f>(INDEX(Option3!W$106:W$117, MATCH($D49, Option3!$G$106:$G$117,0)))*conv_2026*W$7</f>
        <v>200460.35829245456</v>
      </c>
      <c r="X49" s="31">
        <f>(INDEX(Option3!X$106:X$117, MATCH($D49, Option3!$G$106:$G$117,0)))*conv_2026*X$7</f>
        <v>200460.35829245872</v>
      </c>
      <c r="Y49" s="31">
        <f>(INDEX(Option3!Y$106:Y$117, MATCH($D49, Option3!$G$106:$G$117,0)))*conv_2026*Y$7</f>
        <v>200460.35829245043</v>
      </c>
      <c r="Z49" s="31">
        <f>(INDEX(Option3!Z$106:Z$117, MATCH($D49, Option3!$G$106:$G$117,0)))*conv_2026*Z$7</f>
        <v>200460.35829244214</v>
      </c>
      <c r="AA49" s="31">
        <f>(INDEX(Option3!AA$106:AA$117, MATCH($D49, Option3!$G$106:$G$117,0)))*conv_2026*AA$7</f>
        <v>200460.35829245872</v>
      </c>
      <c r="AB49" s="31">
        <f>(INDEX(Option3!AB$106:AB$117, MATCH($D49, Option3!$G$106:$G$117,0)))*conv_2026*AB$7</f>
        <v>200460.35829245872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8" t="s">
        <v>132</v>
      </c>
      <c r="B50" s="258" t="str">
        <f>Option3!A116</f>
        <v>sens</v>
      </c>
      <c r="C50" s="258">
        <f>Option3!C116</f>
        <v>0</v>
      </c>
      <c r="D50" s="258" t="str">
        <f t="shared" si="5"/>
        <v>Option 3sens</v>
      </c>
      <c r="E50" s="259"/>
      <c r="F50" s="31">
        <f t="shared" si="4"/>
        <v>1103930.7448253827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-33951.377231289531</v>
      </c>
      <c r="K50" s="31">
        <f>(INDEX(Option3!K$106:K$117, MATCH($D50, Option3!$G$106:$G$117,0)))*conv_2026*K$7</f>
        <v>-57784.523226458005</v>
      </c>
      <c r="L50" s="31">
        <f>(INDEX(Option3!L$106:L$117, MATCH($D50, Option3!$G$106:$G$117,0)))*conv_2026*L$7</f>
        <v>-69010.76048284788</v>
      </c>
      <c r="M50" s="31">
        <f>(INDEX(Option3!M$106:M$117, MATCH($D50, Option3!$G$106:$G$117,0)))*conv_2026*M$7</f>
        <v>-64543.753960087997</v>
      </c>
      <c r="N50" s="31">
        <f>(INDEX(Option3!N$106:N$117, MATCH($D50, Option3!$G$106:$G$117,0)))*conv_2026*N$7</f>
        <v>-40554.789248009816</v>
      </c>
      <c r="O50" s="31">
        <f>(INDEX(Option3!O$106:O$117, MATCH($D50, Option3!$G$106:$G$117,0)))*conv_2026*O$7</f>
        <v>6422.8495424400089</v>
      </c>
      <c r="P50" s="31">
        <f>(INDEX(Option3!P$106:P$117, MATCH($D50, Option3!$G$106:$G$117,0)))*conv_2026*P$7</f>
        <v>61529.397847871594</v>
      </c>
      <c r="Q50" s="31">
        <f>(INDEX(Option3!Q$106:Q$117, MATCH($D50, Option3!$G$106:$G$117,0)))*conv_2026*Q$7</f>
        <v>99409.879501422925</v>
      </c>
      <c r="R50" s="31">
        <f>(INDEX(Option3!R$106:R$117, MATCH($D50, Option3!$G$106:$G$117,0)))*conv_2026*R$7</f>
        <v>127236.55153713141</v>
      </c>
      <c r="S50" s="31">
        <f>(INDEX(Option3!S$106:S$117, MATCH($D50, Option3!$G$106:$G$117,0)))*conv_2026*S$7</f>
        <v>142479.40877777073</v>
      </c>
      <c r="T50" s="31">
        <f>(INDEX(Option3!T$106:T$117, MATCH($D50, Option3!$G$106:$G$117,0)))*conv_2026*T$7</f>
        <v>159667.52527146981</v>
      </c>
      <c r="U50" s="31">
        <f>(INDEX(Option3!U$106:U$117, MATCH($D50, Option3!$G$106:$G$117,0)))*conv_2026*U$7</f>
        <v>179053.68813140009</v>
      </c>
      <c r="V50" s="31">
        <f>(INDEX(Option3!V$106:V$117, MATCH($D50, Option3!$G$106:$G$117,0)))*conv_2026*V$7</f>
        <v>200460.35829245456</v>
      </c>
      <c r="W50" s="31">
        <f>(INDEX(Option3!W$106:W$117, MATCH($D50, Option3!$G$106:$G$117,0)))*conv_2026*W$7</f>
        <v>200460.35829245456</v>
      </c>
      <c r="X50" s="31">
        <f>(INDEX(Option3!X$106:X$117, MATCH($D50, Option3!$G$106:$G$117,0)))*conv_2026*X$7</f>
        <v>200460.35829245872</v>
      </c>
      <c r="Y50" s="31">
        <f>(INDEX(Option3!Y$106:Y$117, MATCH($D50, Option3!$G$106:$G$117,0)))*conv_2026*Y$7</f>
        <v>200460.35829245043</v>
      </c>
      <c r="Z50" s="31">
        <f>(INDEX(Option3!Z$106:Z$117, MATCH($D50, Option3!$G$106:$G$117,0)))*conv_2026*Z$7</f>
        <v>200460.35829244214</v>
      </c>
      <c r="AA50" s="31">
        <f>(INDEX(Option3!AA$106:AA$117, MATCH($D50, Option3!$G$106:$G$117,0)))*conv_2026*AA$7</f>
        <v>200460.35829245872</v>
      </c>
      <c r="AB50" s="31">
        <f>(INDEX(Option3!AB$106:AB$117, MATCH($D50, Option3!$G$106:$G$117,0)))*conv_2026*AB$7</f>
        <v>200460.35829245872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8" t="s">
        <v>132</v>
      </c>
      <c r="B51" s="258" t="str">
        <f>Option3!A117</f>
        <v>sens</v>
      </c>
      <c r="C51" s="258">
        <f>Option3!C117</f>
        <v>0</v>
      </c>
      <c r="D51" s="258" t="str">
        <f t="shared" si="5"/>
        <v>Option 3sens</v>
      </c>
      <c r="E51" s="259"/>
      <c r="F51" s="31">
        <f t="shared" si="4"/>
        <v>1103930.7448253827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-33951.377231289531</v>
      </c>
      <c r="K51" s="31">
        <f>(INDEX(Option3!K$106:K$117, MATCH($D51, Option3!$G$106:$G$117,0)))*conv_2026*K$7</f>
        <v>-57784.523226458005</v>
      </c>
      <c r="L51" s="31">
        <f>(INDEX(Option3!L$106:L$117, MATCH($D51, Option3!$G$106:$G$117,0)))*conv_2026*L$7</f>
        <v>-69010.76048284788</v>
      </c>
      <c r="M51" s="31">
        <f>(INDEX(Option3!M$106:M$117, MATCH($D51, Option3!$G$106:$G$117,0)))*conv_2026*M$7</f>
        <v>-64543.753960087997</v>
      </c>
      <c r="N51" s="31">
        <f>(INDEX(Option3!N$106:N$117, MATCH($D51, Option3!$G$106:$G$117,0)))*conv_2026*N$7</f>
        <v>-40554.789248009816</v>
      </c>
      <c r="O51" s="31">
        <f>(INDEX(Option3!O$106:O$117, MATCH($D51, Option3!$G$106:$G$117,0)))*conv_2026*O$7</f>
        <v>6422.8495424400089</v>
      </c>
      <c r="P51" s="31">
        <f>(INDEX(Option3!P$106:P$117, MATCH($D51, Option3!$G$106:$G$117,0)))*conv_2026*P$7</f>
        <v>61529.397847871594</v>
      </c>
      <c r="Q51" s="31">
        <f>(INDEX(Option3!Q$106:Q$117, MATCH($D51, Option3!$G$106:$G$117,0)))*conv_2026*Q$7</f>
        <v>99409.879501422925</v>
      </c>
      <c r="R51" s="31">
        <f>(INDEX(Option3!R$106:R$117, MATCH($D51, Option3!$G$106:$G$117,0)))*conv_2026*R$7</f>
        <v>127236.55153713141</v>
      </c>
      <c r="S51" s="31">
        <f>(INDEX(Option3!S$106:S$117, MATCH($D51, Option3!$G$106:$G$117,0)))*conv_2026*S$7</f>
        <v>142479.40877777073</v>
      </c>
      <c r="T51" s="31">
        <f>(INDEX(Option3!T$106:T$117, MATCH($D51, Option3!$G$106:$G$117,0)))*conv_2026*T$7</f>
        <v>159667.52527146981</v>
      </c>
      <c r="U51" s="31">
        <f>(INDEX(Option3!U$106:U$117, MATCH($D51, Option3!$G$106:$G$117,0)))*conv_2026*U$7</f>
        <v>179053.68813140009</v>
      </c>
      <c r="V51" s="31">
        <f>(INDEX(Option3!V$106:V$117, MATCH($D51, Option3!$G$106:$G$117,0)))*conv_2026*V$7</f>
        <v>200460.35829245456</v>
      </c>
      <c r="W51" s="31">
        <f>(INDEX(Option3!W$106:W$117, MATCH($D51, Option3!$G$106:$G$117,0)))*conv_2026*W$7</f>
        <v>200460.35829245456</v>
      </c>
      <c r="X51" s="31">
        <f>(INDEX(Option3!X$106:X$117, MATCH($D51, Option3!$G$106:$G$117,0)))*conv_2026*X$7</f>
        <v>200460.35829245872</v>
      </c>
      <c r="Y51" s="31">
        <f>(INDEX(Option3!Y$106:Y$117, MATCH($D51, Option3!$G$106:$G$117,0)))*conv_2026*Y$7</f>
        <v>200460.35829245043</v>
      </c>
      <c r="Z51" s="31">
        <f>(INDEX(Option3!Z$106:Z$117, MATCH($D51, Option3!$G$106:$G$117,0)))*conv_2026*Z$7</f>
        <v>200460.35829244214</v>
      </c>
      <c r="AA51" s="31">
        <f>(INDEX(Option3!AA$106:AA$117, MATCH($D51, Option3!$G$106:$G$117,0)))*conv_2026*AA$7</f>
        <v>200460.35829245872</v>
      </c>
      <c r="AB51" s="31">
        <f>(INDEX(Option3!AB$106:AB$117, MATCH($D51, Option3!$G$106:$G$117,0)))*conv_2026*AB$7</f>
        <v>200460.35829245872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188</v>
      </c>
      <c r="D56" s="258" t="str">
        <f>A56&amp;B56</f>
        <v>Option 4NPV</v>
      </c>
      <c r="E56" s="259"/>
      <c r="F56" s="31">
        <f t="shared" ref="F56:F65" si="6">SUMPRODUCT($H56:$AG56, $H$5:$AG$5)</f>
        <v>-2387654.4825449572</v>
      </c>
      <c r="G56" s="251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391767.96758944029</v>
      </c>
      <c r="J56" s="31">
        <f>(INDEX(Option4!J$106:J$117, MATCH($D56, Option4!$G$106:$G$117,0)))*conv_2026*J$7</f>
        <v>-707655.48306885478</v>
      </c>
      <c r="K56" s="31">
        <f>(INDEX(Option4!K$106:K$117, MATCH($D56, Option4!$G$106:$G$117,0)))*conv_2026*K$7</f>
        <v>-664372.52283675876</v>
      </c>
      <c r="L56" s="31">
        <f>(INDEX(Option4!L$106:L$117, MATCH($D56, Option4!$G$106:$G$117,0)))*conv_2026*L$7</f>
        <v>-611656.90962233697</v>
      </c>
      <c r="M56" s="31">
        <f>(INDEX(Option4!M$106:M$117, MATCH($D56, Option4!$G$106:$G$117,0)))*conv_2026*M$7</f>
        <v>-547872.25366504816</v>
      </c>
      <c r="N56" s="31">
        <f>(INDEX(Option4!N$106:N$117, MATCH($D56, Option4!$G$106:$G$117,0)))*conv_2026*N$7</f>
        <v>-1150610.5156793979</v>
      </c>
      <c r="O56" s="31">
        <f>(INDEX(Option4!O$106:O$117, MATCH($D56, Option4!$G$106:$G$117,0)))*conv_2026*O$7</f>
        <v>12187.930949417278</v>
      </c>
      <c r="P56" s="31">
        <f>(INDEX(Option4!P$106:P$117, MATCH($D56, Option4!$G$106:$G$117,0)))*conv_2026*P$7</f>
        <v>24587.520160478627</v>
      </c>
      <c r="Q56" s="31">
        <f>(INDEX(Option4!Q$106:Q$117, MATCH($D56, Option4!$G$106:$G$117,0)))*conv_2026*Q$7</f>
        <v>35148.444057790526</v>
      </c>
      <c r="R56" s="31">
        <f>(INDEX(Option4!R$106:R$117, MATCH($D56, Option4!$G$106:$G$117,0)))*conv_2026*R$7</f>
        <v>42668.178235046791</v>
      </c>
      <c r="S56" s="31">
        <f>(INDEX(Option4!S$106:S$117, MATCH($D56, Option4!$G$106:$G$117,0)))*conv_2026*S$7</f>
        <v>47710.859231858485</v>
      </c>
      <c r="T56" s="31">
        <f>(INDEX(Option4!T$106:T$117, MATCH($D56, Option4!$G$106:$G$117,0)))*conv_2026*T$7</f>
        <v>53216.118703045642</v>
      </c>
      <c r="U56" s="31">
        <f>(INDEX(Option4!U$106:U$117, MATCH($D56, Option4!$G$106:$G$117,0)))*conv_2026*U$7</f>
        <v>58938.729774564694</v>
      </c>
      <c r="V56" s="31">
        <f>(INDEX(Option4!V$106:V$117, MATCH($D56, Option4!$G$106:$G$117,0)))*conv_2026*V$7</f>
        <v>65220.024852206996</v>
      </c>
      <c r="W56" s="31">
        <f>(INDEX(Option4!W$106:W$117, MATCH($D56, Option4!$G$106:$G$117,0)))*conv_2026*W$7</f>
        <v>69301.494388426785</v>
      </c>
      <c r="X56" s="31">
        <f>(INDEX(Option4!X$106:X$117, MATCH($D56, Option4!$G$106:$G$117,0)))*conv_2026*X$7</f>
        <v>70806.865966308993</v>
      </c>
      <c r="Y56" s="31">
        <f>(INDEX(Option4!Y$106:Y$117, MATCH($D56, Option4!$G$106:$G$117,0)))*conv_2026*Y$7</f>
        <v>71225.902452773196</v>
      </c>
      <c r="Z56" s="31">
        <f>(INDEX(Option4!Z$106:Z$117, MATCH($D56, Option4!$G$106:$G$117,0)))*conv_2026*Z$7</f>
        <v>71678.660524906911</v>
      </c>
      <c r="AA56" s="31">
        <f>(INDEX(Option4!AA$106:AA$117, MATCH($D56, Option4!$G$106:$G$117,0)))*conv_2026*AA$7</f>
        <v>72167.905022935258</v>
      </c>
      <c r="AB56" s="31">
        <f>(INDEX(Option4!AB$106:AB$117, MATCH($D56, Option4!$G$106:$G$117,0)))*conv_2026*AB$7</f>
        <v>72696.63012188123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Option4!A110</f>
        <v>sens1</v>
      </c>
      <c r="C58" s="258" t="str">
        <f>Option4!C110</f>
        <v>Capex 10% higher</v>
      </c>
      <c r="D58" s="258" t="str">
        <f t="shared" ref="D58:D65" si="7">A58&amp;B58</f>
        <v>Option 4sens1</v>
      </c>
      <c r="E58" s="259"/>
      <c r="F58" s="31">
        <f t="shared" si="6"/>
        <v>-2975833.7229676605</v>
      </c>
      <c r="G58" s="251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391767.96758944029</v>
      </c>
      <c r="J58" s="31">
        <f>(INDEX(Option4!J$106:J$117, MATCH($D58, Option4!$G$106:$G$117,0)))*conv_2026*J$7</f>
        <v>-822841.94197297259</v>
      </c>
      <c r="K58" s="31">
        <f>(INDEX(Option4!K$106:K$117, MATCH($D58, Option4!$G$106:$G$117,0)))*conv_2026*K$7</f>
        <v>-781280.14880761132</v>
      </c>
      <c r="L58" s="31">
        <f>(INDEX(Option4!L$106:L$117, MATCH($D58, Option4!$G$106:$G$117,0)))*conv_2026*L$7</f>
        <v>-730285.70265992428</v>
      </c>
      <c r="M58" s="31">
        <f>(INDEX(Option4!M$106:M$117, MATCH($D58, Option4!$G$106:$G$117,0)))*conv_2026*M$7</f>
        <v>-668222.21376937034</v>
      </c>
      <c r="N58" s="31">
        <f>(INDEX(Option4!N$106:N$117, MATCH($D58, Option4!$G$106:$G$117,0)))*conv_2026*N$7</f>
        <v>-1272681.6428504547</v>
      </c>
      <c r="O58" s="31">
        <f>(INDEX(Option4!O$106:O$117, MATCH($D58, Option4!$G$106:$G$117,0)))*conv_2026*O$7</f>
        <v>5303.2626824782337</v>
      </c>
      <c r="P58" s="31">
        <f>(INDEX(Option4!P$106:P$117, MATCH($D58, Option4!$G$106:$G$117,0)))*conv_2026*P$7</f>
        <v>17702.851893539584</v>
      </c>
      <c r="Q58" s="31">
        <f>(INDEX(Option4!Q$106:Q$117, MATCH($D58, Option4!$G$106:$G$117,0)))*conv_2026*Q$7</f>
        <v>28263.775790851487</v>
      </c>
      <c r="R58" s="31">
        <f>(INDEX(Option4!R$106:R$117, MATCH($D58, Option4!$G$106:$G$117,0)))*conv_2026*R$7</f>
        <v>35783.509968107748</v>
      </c>
      <c r="S58" s="31">
        <f>(INDEX(Option4!S$106:S$117, MATCH($D58, Option4!$G$106:$G$117,0)))*conv_2026*S$7</f>
        <v>40826.190964919435</v>
      </c>
      <c r="T58" s="31">
        <f>(INDEX(Option4!T$106:T$117, MATCH($D58, Option4!$G$106:$G$117,0)))*conv_2026*T$7</f>
        <v>46331.450436106592</v>
      </c>
      <c r="U58" s="31">
        <f>(INDEX(Option4!U$106:U$117, MATCH($D58, Option4!$G$106:$G$117,0)))*conv_2026*U$7</f>
        <v>52054.061507625651</v>
      </c>
      <c r="V58" s="31">
        <f>(INDEX(Option4!V$106:V$117, MATCH($D58, Option4!$G$106:$G$117,0)))*conv_2026*V$7</f>
        <v>58335.356585267946</v>
      </c>
      <c r="W58" s="31">
        <f>(INDEX(Option4!W$106:W$117, MATCH($D58, Option4!$G$106:$G$117,0)))*conv_2026*W$7</f>
        <v>62416.826121487742</v>
      </c>
      <c r="X58" s="31">
        <f>(INDEX(Option4!X$106:X$117, MATCH($D58, Option4!$G$106:$G$117,0)))*conv_2026*X$7</f>
        <v>63922.19769936995</v>
      </c>
      <c r="Y58" s="31">
        <f>(INDEX(Option4!Y$106:Y$117, MATCH($D58, Option4!$G$106:$G$117,0)))*conv_2026*Y$7</f>
        <v>64341.234185834146</v>
      </c>
      <c r="Z58" s="31">
        <f>(INDEX(Option4!Z$106:Z$117, MATCH($D58, Option4!$G$106:$G$117,0)))*conv_2026*Z$7</f>
        <v>64793.992257967868</v>
      </c>
      <c r="AA58" s="31">
        <f>(INDEX(Option4!AA$106:AA$117, MATCH($D58, Option4!$G$106:$G$117,0)))*conv_2026*AA$7</f>
        <v>65283.236755996215</v>
      </c>
      <c r="AB58" s="31">
        <f>(INDEX(Option4!AB$106:AB$117, MATCH($D58, Option4!$G$106:$G$117,0)))*conv_2026*AB$7</f>
        <v>65811.961854942187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Option4!A111</f>
        <v>sens2</v>
      </c>
      <c r="C59" s="258" t="str">
        <f>Option4!C111</f>
        <v>Capex 10% lower</v>
      </c>
      <c r="D59" s="258" t="str">
        <f t="shared" si="7"/>
        <v>Option 4sens2</v>
      </c>
      <c r="E59" s="259"/>
      <c r="F59" s="31">
        <f t="shared" si="6"/>
        <v>-1799475.2421222527</v>
      </c>
      <c r="G59" s="258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391767.96758944029</v>
      </c>
      <c r="J59" s="31">
        <f>(INDEX(Option4!J$106:J$117, MATCH($D59, Option4!$G$106:$G$117,0)))*conv_2026*J$7</f>
        <v>-592469.02416473709</v>
      </c>
      <c r="K59" s="31">
        <f>(INDEX(Option4!K$106:K$117, MATCH($D59, Option4!$G$106:$G$117,0)))*conv_2026*K$7</f>
        <v>-547464.89686590608</v>
      </c>
      <c r="L59" s="31">
        <f>(INDEX(Option4!L$106:L$117, MATCH($D59, Option4!$G$106:$G$117,0)))*conv_2026*L$7</f>
        <v>-493028.1165847496</v>
      </c>
      <c r="M59" s="31">
        <f>(INDEX(Option4!M$106:M$117, MATCH($D59, Option4!$G$106:$G$117,0)))*conv_2026*M$7</f>
        <v>-427522.2935607261</v>
      </c>
      <c r="N59" s="31">
        <f>(INDEX(Option4!N$106:N$117, MATCH($D59, Option4!$G$106:$G$117,0)))*conv_2026*N$7</f>
        <v>-1028539.388508341</v>
      </c>
      <c r="O59" s="31">
        <f>(INDEX(Option4!O$106:O$117, MATCH($D59, Option4!$G$106:$G$117,0)))*conv_2026*O$7</f>
        <v>19072.599216356321</v>
      </c>
      <c r="P59" s="31">
        <f>(INDEX(Option4!P$106:P$117, MATCH($D59, Option4!$G$106:$G$117,0)))*conv_2026*P$7</f>
        <v>31472.18842741767</v>
      </c>
      <c r="Q59" s="31">
        <f>(INDEX(Option4!Q$106:Q$117, MATCH($D59, Option4!$G$106:$G$117,0)))*conv_2026*Q$7</f>
        <v>42033.112324729576</v>
      </c>
      <c r="R59" s="31">
        <f>(INDEX(Option4!R$106:R$117, MATCH($D59, Option4!$G$106:$G$117,0)))*conv_2026*R$7</f>
        <v>49552.846501985841</v>
      </c>
      <c r="S59" s="31">
        <f>(INDEX(Option4!S$106:S$117, MATCH($D59, Option4!$G$106:$G$117,0)))*conv_2026*S$7</f>
        <v>54595.527498797528</v>
      </c>
      <c r="T59" s="31">
        <f>(INDEX(Option4!T$106:T$117, MATCH($D59, Option4!$G$106:$G$117,0)))*conv_2026*T$7</f>
        <v>60100.786969984692</v>
      </c>
      <c r="U59" s="31">
        <f>(INDEX(Option4!U$106:U$117, MATCH($D59, Option4!$G$106:$G$117,0)))*conv_2026*U$7</f>
        <v>65823.398041503737</v>
      </c>
      <c r="V59" s="31">
        <f>(INDEX(Option4!V$106:V$117, MATCH($D59, Option4!$G$106:$G$117,0)))*conv_2026*V$7</f>
        <v>72104.693119146046</v>
      </c>
      <c r="W59" s="31">
        <f>(INDEX(Option4!W$106:W$117, MATCH($D59, Option4!$G$106:$G$117,0)))*conv_2026*W$7</f>
        <v>76186.162655365828</v>
      </c>
      <c r="X59" s="31">
        <f>(INDEX(Option4!X$106:X$117, MATCH($D59, Option4!$G$106:$G$117,0)))*conv_2026*X$7</f>
        <v>77691.534233248036</v>
      </c>
      <c r="Y59" s="31">
        <f>(INDEX(Option4!Y$106:Y$117, MATCH($D59, Option4!$G$106:$G$117,0)))*conv_2026*Y$7</f>
        <v>78110.570719712239</v>
      </c>
      <c r="Z59" s="31">
        <f>(INDEX(Option4!Z$106:Z$117, MATCH($D59, Option4!$G$106:$G$117,0)))*conv_2026*Z$7</f>
        <v>78563.328791845954</v>
      </c>
      <c r="AA59" s="31">
        <f>(INDEX(Option4!AA$106:AA$117, MATCH($D59, Option4!$G$106:$G$117,0)))*conv_2026*AA$7</f>
        <v>79052.573289874301</v>
      </c>
      <c r="AB59" s="31">
        <f>(INDEX(Option4!AB$106:AB$117, MATCH($D59, Option4!$G$106:$G$117,0)))*conv_2026*AB$7</f>
        <v>79581.298388820273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8" t="s">
        <v>133</v>
      </c>
      <c r="B60" s="258" t="str">
        <f>Option4!A112</f>
        <v>sens3</v>
      </c>
      <c r="C60" s="258" t="str">
        <f>Option4!C112</f>
        <v>Total benefits 10% higher</v>
      </c>
      <c r="D60" s="258" t="str">
        <f t="shared" si="7"/>
        <v>Option 4sens3</v>
      </c>
      <c r="E60" s="259"/>
      <c r="F60" s="31">
        <f t="shared" si="6"/>
        <v>-2038240.6903767488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430944.76434838434</v>
      </c>
      <c r="J60" s="31">
        <f>(INDEX(Option4!J$106:J$117, MATCH($D60, Option4!$G$106:$G$117,0)))*conv_2026*J$7</f>
        <v>-663234.57247162249</v>
      </c>
      <c r="K60" s="31">
        <f>(INDEX(Option4!K$106:K$117, MATCH($D60, Option4!$G$106:$G$117,0)))*conv_2026*K$7</f>
        <v>-613902.14914958202</v>
      </c>
      <c r="L60" s="31">
        <f>(INDEX(Option4!L$106:L$117, MATCH($D60, Option4!$G$106:$G$117,0)))*conv_2026*L$7</f>
        <v>-554193.80754698324</v>
      </c>
      <c r="M60" s="31">
        <f>(INDEX(Option4!M$106:M$117, MATCH($D60, Option4!$G$106:$G$117,0)))*conv_2026*M$7</f>
        <v>-482309.51892723097</v>
      </c>
      <c r="N60" s="31">
        <f>(INDEX(Option4!N$106:N$117, MATCH($D60, Option4!$G$106:$G$117,0)))*conv_2026*N$7</f>
        <v>-1143600.4400762806</v>
      </c>
      <c r="O60" s="31">
        <f>(INDEX(Option4!O$106:O$117, MATCH($D60, Option4!$G$106:$G$117,0)))*conv_2026*O$7</f>
        <v>20291.392311298048</v>
      </c>
      <c r="P60" s="31">
        <f>(INDEX(Option4!P$106:P$117, MATCH($D60, Option4!$G$106:$G$117,0)))*conv_2026*P$7</f>
        <v>33930.940443465537</v>
      </c>
      <c r="Q60" s="31">
        <f>(INDEX(Option4!Q$106:Q$117, MATCH($D60, Option4!$G$106:$G$117,0)))*conv_2026*Q$7</f>
        <v>45547.956730508631</v>
      </c>
      <c r="R60" s="31">
        <f>(INDEX(Option4!R$106:R$117, MATCH($D60, Option4!$G$106:$G$117,0)))*conv_2026*R$7</f>
        <v>53819.664325490514</v>
      </c>
      <c r="S60" s="31">
        <f>(INDEX(Option4!S$106:S$117, MATCH($D60, Option4!$G$106:$G$117,0)))*conv_2026*S$7</f>
        <v>59366.613421983377</v>
      </c>
      <c r="T60" s="31">
        <f>(INDEX(Option4!T$106:T$117, MATCH($D60, Option4!$G$106:$G$117,0)))*conv_2026*T$7</f>
        <v>65422.39884028925</v>
      </c>
      <c r="U60" s="31">
        <f>(INDEX(Option4!U$106:U$117, MATCH($D60, Option4!$G$106:$G$117,0)))*conv_2026*U$7</f>
        <v>71717.271018960208</v>
      </c>
      <c r="V60" s="31">
        <f>(INDEX(Option4!V$106:V$117, MATCH($D60, Option4!$G$106:$G$117,0)))*conv_2026*V$7</f>
        <v>78626.695604366745</v>
      </c>
      <c r="W60" s="31">
        <f>(INDEX(Option4!W$106:W$117, MATCH($D60, Option4!$G$106:$G$117,0)))*conv_2026*W$7</f>
        <v>83116.312094208522</v>
      </c>
      <c r="X60" s="31">
        <f>(INDEX(Option4!X$106:X$117, MATCH($D60, Option4!$G$106:$G$117,0)))*conv_2026*X$7</f>
        <v>84772.220829878934</v>
      </c>
      <c r="Y60" s="31">
        <f>(INDEX(Option4!Y$106:Y$117, MATCH($D60, Option4!$G$106:$G$117,0)))*conv_2026*Y$7</f>
        <v>85233.160964989569</v>
      </c>
      <c r="Z60" s="31">
        <f>(INDEX(Option4!Z$106:Z$117, MATCH($D60, Option4!$G$106:$G$117,0)))*conv_2026*Z$7</f>
        <v>85731.194844336656</v>
      </c>
      <c r="AA60" s="31">
        <f>(INDEX(Option4!AA$106:AA$117, MATCH($D60, Option4!$G$106:$G$117,0)))*conv_2026*AA$7</f>
        <v>86269.363792167846</v>
      </c>
      <c r="AB60" s="31">
        <f>(INDEX(Option4!AB$106:AB$117, MATCH($D60, Option4!$G$106:$G$117,0)))*conv_2026*AB$7</f>
        <v>86850.96140100839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8" t="s">
        <v>133</v>
      </c>
      <c r="B61" s="258" t="str">
        <f>Option4!A113</f>
        <v>sens4</v>
      </c>
      <c r="C61" s="258" t="str">
        <f>Option4!C113</f>
        <v>Total benefits 10% lower</v>
      </c>
      <c r="D61" s="258" t="str">
        <f t="shared" si="7"/>
        <v>Option 4sens4</v>
      </c>
      <c r="E61" s="259"/>
      <c r="F61" s="31">
        <f t="shared" si="6"/>
        <v>-2737068.2747131656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352591.17083049624</v>
      </c>
      <c r="J61" s="31">
        <f>(INDEX(Option4!J$106:J$117, MATCH($D61, Option4!$G$106:$G$117,0)))*conv_2026*J$7</f>
        <v>-752076.39366608707</v>
      </c>
      <c r="K61" s="31">
        <f>(INDEX(Option4!K$106:K$117, MATCH($D61, Option4!$G$106:$G$117,0)))*conv_2026*K$7</f>
        <v>-714842.89652393537</v>
      </c>
      <c r="L61" s="31">
        <f>(INDEX(Option4!L$106:L$117, MATCH($D61, Option4!$G$106:$G$117,0)))*conv_2026*L$7</f>
        <v>-669120.01169769058</v>
      </c>
      <c r="M61" s="31">
        <f>(INDEX(Option4!M$106:M$117, MATCH($D61, Option4!$G$106:$G$117,0)))*conv_2026*M$7</f>
        <v>-613434.98840286548</v>
      </c>
      <c r="N61" s="31">
        <f>(INDEX(Option4!N$106:N$117, MATCH($D61, Option4!$G$106:$G$117,0)))*conv_2026*N$7</f>
        <v>-1157620.5912825149</v>
      </c>
      <c r="O61" s="31">
        <f>(INDEX(Option4!O$106:O$117, MATCH($D61, Option4!$G$106:$G$117,0)))*conv_2026*O$7</f>
        <v>4084.4695875365055</v>
      </c>
      <c r="P61" s="31">
        <f>(INDEX(Option4!P$106:P$117, MATCH($D61, Option4!$G$106:$G$117,0)))*conv_2026*P$7</f>
        <v>15244.099877491721</v>
      </c>
      <c r="Q61" s="31">
        <f>(INDEX(Option4!Q$106:Q$117, MATCH($D61, Option4!$G$106:$G$117,0)))*conv_2026*Q$7</f>
        <v>24748.931385072432</v>
      </c>
      <c r="R61" s="31">
        <f>(INDEX(Option4!R$106:R$117, MATCH($D61, Option4!$G$106:$G$117,0)))*conv_2026*R$7</f>
        <v>31516.692144603068</v>
      </c>
      <c r="S61" s="31">
        <f>(INDEX(Option4!S$106:S$117, MATCH($D61, Option4!$G$106:$G$117,0)))*conv_2026*S$7</f>
        <v>36055.105041733586</v>
      </c>
      <c r="T61" s="31">
        <f>(INDEX(Option4!T$106:T$117, MATCH($D61, Option4!$G$106:$G$117,0)))*conv_2026*T$7</f>
        <v>41009.838565802034</v>
      </c>
      <c r="U61" s="31">
        <f>(INDEX(Option4!U$106:U$117, MATCH($D61, Option4!$G$106:$G$117,0)))*conv_2026*U$7</f>
        <v>46160.18853016918</v>
      </c>
      <c r="V61" s="31">
        <f>(INDEX(Option4!V$106:V$117, MATCH($D61, Option4!$G$106:$G$117,0)))*conv_2026*V$7</f>
        <v>51813.354100047254</v>
      </c>
      <c r="W61" s="31">
        <f>(INDEX(Option4!W$106:W$117, MATCH($D61, Option4!$G$106:$G$117,0)))*conv_2026*W$7</f>
        <v>55486.676682645062</v>
      </c>
      <c r="X61" s="31">
        <f>(INDEX(Option4!X$106:X$117, MATCH($D61, Option4!$G$106:$G$117,0)))*conv_2026*X$7</f>
        <v>56841.511102739059</v>
      </c>
      <c r="Y61" s="31">
        <f>(INDEX(Option4!Y$106:Y$117, MATCH($D61, Option4!$G$106:$G$117,0)))*conv_2026*Y$7</f>
        <v>57218.643940556831</v>
      </c>
      <c r="Z61" s="31">
        <f>(INDEX(Option4!Z$106:Z$117, MATCH($D61, Option4!$G$106:$G$117,0)))*conv_2026*Z$7</f>
        <v>57626.12620547718</v>
      </c>
      <c r="AA61" s="31">
        <f>(INDEX(Option4!AA$106:AA$117, MATCH($D61, Option4!$G$106:$G$117,0)))*conv_2026*AA$7</f>
        <v>58066.446253702692</v>
      </c>
      <c r="AB61" s="31">
        <f>(INDEX(Option4!AB$106:AB$117, MATCH($D61, Option4!$G$106:$G$117,0)))*conv_2026*AB$7</f>
        <v>58542.298842754062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8" t="s">
        <v>133</v>
      </c>
      <c r="B62" s="258" t="str">
        <f>Option4!A114</f>
        <v>sens5</v>
      </c>
      <c r="C62" s="258" t="str">
        <f>Option4!C114</f>
        <v>Capex 10% higher &amp; total benefits 10% lower</v>
      </c>
      <c r="D62" s="258" t="str">
        <f t="shared" si="7"/>
        <v>Option 4sens5</v>
      </c>
      <c r="E62" s="259"/>
      <c r="F62" s="31">
        <f t="shared" si="6"/>
        <v>-3325247.5151358698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352591.17083049624</v>
      </c>
      <c r="J62" s="31">
        <f>(INDEX(Option4!J$106:J$117, MATCH($D62, Option4!$G$106:$G$117,0)))*conv_2026*J$7</f>
        <v>-867262.852570205</v>
      </c>
      <c r="K62" s="31">
        <f>(INDEX(Option4!K$106:K$117, MATCH($D62, Option4!$G$106:$G$117,0)))*conv_2026*K$7</f>
        <v>-831750.52249478793</v>
      </c>
      <c r="L62" s="31">
        <f>(INDEX(Option4!L$106:L$117, MATCH($D62, Option4!$G$106:$G$117,0)))*conv_2026*L$7</f>
        <v>-787748.80473527801</v>
      </c>
      <c r="M62" s="31">
        <f>(INDEX(Option4!M$106:M$117, MATCH($D62, Option4!$G$106:$G$117,0)))*conv_2026*M$7</f>
        <v>-733784.94850718754</v>
      </c>
      <c r="N62" s="31">
        <f>(INDEX(Option4!N$106:N$117, MATCH($D62, Option4!$G$106:$G$117,0)))*conv_2026*N$7</f>
        <v>-1279691.7184535717</v>
      </c>
      <c r="O62" s="31">
        <f>(INDEX(Option4!O$106:O$117, MATCH($D62, Option4!$G$106:$G$117,0)))*conv_2026*O$7</f>
        <v>-2800.1986794025402</v>
      </c>
      <c r="P62" s="31">
        <f>(INDEX(Option4!P$106:P$117, MATCH($D62, Option4!$G$106:$G$117,0)))*conv_2026*P$7</f>
        <v>8359.4316105526741</v>
      </c>
      <c r="Q62" s="31">
        <f>(INDEX(Option4!Q$106:Q$117, MATCH($D62, Option4!$G$106:$G$117,0)))*conv_2026*Q$7</f>
        <v>17864.263118133385</v>
      </c>
      <c r="R62" s="31">
        <f>(INDEX(Option4!R$106:R$117, MATCH($D62, Option4!$G$106:$G$117,0)))*conv_2026*R$7</f>
        <v>24632.023877664025</v>
      </c>
      <c r="S62" s="31">
        <f>(INDEX(Option4!S$106:S$117, MATCH($D62, Option4!$G$106:$G$117,0)))*conv_2026*S$7</f>
        <v>29170.436774794547</v>
      </c>
      <c r="T62" s="31">
        <f>(INDEX(Option4!T$106:T$117, MATCH($D62, Option4!$G$106:$G$117,0)))*conv_2026*T$7</f>
        <v>34125.170298862991</v>
      </c>
      <c r="U62" s="31">
        <f>(INDEX(Option4!U$106:U$117, MATCH($D62, Option4!$G$106:$G$117,0)))*conv_2026*U$7</f>
        <v>39275.520263230137</v>
      </c>
      <c r="V62" s="31">
        <f>(INDEX(Option4!V$106:V$117, MATCH($D62, Option4!$G$106:$G$117,0)))*conv_2026*V$7</f>
        <v>44928.685833108204</v>
      </c>
      <c r="W62" s="31">
        <f>(INDEX(Option4!W$106:W$117, MATCH($D62, Option4!$G$106:$G$117,0)))*conv_2026*W$7</f>
        <v>48602.008415706026</v>
      </c>
      <c r="X62" s="31">
        <f>(INDEX(Option4!X$106:X$117, MATCH($D62, Option4!$G$106:$G$117,0)))*conv_2026*X$7</f>
        <v>49956.842835800009</v>
      </c>
      <c r="Y62" s="31">
        <f>(INDEX(Option4!Y$106:Y$117, MATCH($D62, Option4!$G$106:$G$117,0)))*conv_2026*Y$7</f>
        <v>50333.975673617788</v>
      </c>
      <c r="Z62" s="31">
        <f>(INDEX(Option4!Z$106:Z$117, MATCH($D62, Option4!$G$106:$G$117,0)))*conv_2026*Z$7</f>
        <v>50741.457938538129</v>
      </c>
      <c r="AA62" s="31">
        <f>(INDEX(Option4!AA$106:AA$117, MATCH($D62, Option4!$G$106:$G$117,0)))*conv_2026*AA$7</f>
        <v>51181.777986763649</v>
      </c>
      <c r="AB62" s="31">
        <f>(INDEX(Option4!AB$106:AB$117, MATCH($D62, Option4!$G$106:$G$117,0)))*conv_2026*AB$7</f>
        <v>51657.630575815019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8" t="s">
        <v>133</v>
      </c>
      <c r="B63" s="258" t="str">
        <f>Option4!A115</f>
        <v>sens</v>
      </c>
      <c r="C63" s="258">
        <f>Option4!C115</f>
        <v>0</v>
      </c>
      <c r="D63" s="258" t="str">
        <f t="shared" si="7"/>
        <v>Option 4sens</v>
      </c>
      <c r="E63" s="259"/>
      <c r="F63" s="31">
        <f t="shared" si="6"/>
        <v>-2387654.4825449572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391767.96758944029</v>
      </c>
      <c r="J63" s="31">
        <f>(INDEX(Option4!J$106:J$117, MATCH($D63, Option4!$G$106:$G$117,0)))*conv_2026*J$7</f>
        <v>-707655.48306885478</v>
      </c>
      <c r="K63" s="31">
        <f>(INDEX(Option4!K$106:K$117, MATCH($D63, Option4!$G$106:$G$117,0)))*conv_2026*K$7</f>
        <v>-664372.52283675876</v>
      </c>
      <c r="L63" s="31">
        <f>(INDEX(Option4!L$106:L$117, MATCH($D63, Option4!$G$106:$G$117,0)))*conv_2026*L$7</f>
        <v>-611656.90962233697</v>
      </c>
      <c r="M63" s="31">
        <f>(INDEX(Option4!M$106:M$117, MATCH($D63, Option4!$G$106:$G$117,0)))*conv_2026*M$7</f>
        <v>-547872.25366504816</v>
      </c>
      <c r="N63" s="31">
        <f>(INDEX(Option4!N$106:N$117, MATCH($D63, Option4!$G$106:$G$117,0)))*conv_2026*N$7</f>
        <v>-1150610.5156793979</v>
      </c>
      <c r="O63" s="31">
        <f>(INDEX(Option4!O$106:O$117, MATCH($D63, Option4!$G$106:$G$117,0)))*conv_2026*O$7</f>
        <v>12187.930949417278</v>
      </c>
      <c r="P63" s="31">
        <f>(INDEX(Option4!P$106:P$117, MATCH($D63, Option4!$G$106:$G$117,0)))*conv_2026*P$7</f>
        <v>24587.520160478627</v>
      </c>
      <c r="Q63" s="31">
        <f>(INDEX(Option4!Q$106:Q$117, MATCH($D63, Option4!$G$106:$G$117,0)))*conv_2026*Q$7</f>
        <v>35148.444057790526</v>
      </c>
      <c r="R63" s="31">
        <f>(INDEX(Option4!R$106:R$117, MATCH($D63, Option4!$G$106:$G$117,0)))*conv_2026*R$7</f>
        <v>42668.178235046791</v>
      </c>
      <c r="S63" s="31">
        <f>(INDEX(Option4!S$106:S$117, MATCH($D63, Option4!$G$106:$G$117,0)))*conv_2026*S$7</f>
        <v>47710.859231858485</v>
      </c>
      <c r="T63" s="31">
        <f>(INDEX(Option4!T$106:T$117, MATCH($D63, Option4!$G$106:$G$117,0)))*conv_2026*T$7</f>
        <v>53216.118703045642</v>
      </c>
      <c r="U63" s="31">
        <f>(INDEX(Option4!U$106:U$117, MATCH($D63, Option4!$G$106:$G$117,0)))*conv_2026*U$7</f>
        <v>58938.729774564694</v>
      </c>
      <c r="V63" s="31">
        <f>(INDEX(Option4!V$106:V$117, MATCH($D63, Option4!$G$106:$G$117,0)))*conv_2026*V$7</f>
        <v>65220.024852206996</v>
      </c>
      <c r="W63" s="31">
        <f>(INDEX(Option4!W$106:W$117, MATCH($D63, Option4!$G$106:$G$117,0)))*conv_2026*W$7</f>
        <v>69301.494388426785</v>
      </c>
      <c r="X63" s="31">
        <f>(INDEX(Option4!X$106:X$117, MATCH($D63, Option4!$G$106:$G$117,0)))*conv_2026*X$7</f>
        <v>70806.865966308993</v>
      </c>
      <c r="Y63" s="31">
        <f>(INDEX(Option4!Y$106:Y$117, MATCH($D63, Option4!$G$106:$G$117,0)))*conv_2026*Y$7</f>
        <v>71225.902452773196</v>
      </c>
      <c r="Z63" s="31">
        <f>(INDEX(Option4!Z$106:Z$117, MATCH($D63, Option4!$G$106:$G$117,0)))*conv_2026*Z$7</f>
        <v>71678.660524906911</v>
      </c>
      <c r="AA63" s="31">
        <f>(INDEX(Option4!AA$106:AA$117, MATCH($D63, Option4!$G$106:$G$117,0)))*conv_2026*AA$7</f>
        <v>72167.905022935258</v>
      </c>
      <c r="AB63" s="31">
        <f>(INDEX(Option4!AB$106:AB$117, MATCH($D63, Option4!$G$106:$G$117,0)))*conv_2026*AB$7</f>
        <v>72696.63012188123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8" t="s">
        <v>133</v>
      </c>
      <c r="B64" s="258" t="str">
        <f>Option4!A116</f>
        <v>sens</v>
      </c>
      <c r="C64" s="258">
        <f>Option4!C116</f>
        <v>0</v>
      </c>
      <c r="D64" s="258" t="str">
        <f t="shared" si="7"/>
        <v>Option 4sens</v>
      </c>
      <c r="E64" s="259"/>
      <c r="F64" s="31">
        <f t="shared" si="6"/>
        <v>-2387654.4825449572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391767.96758944029</v>
      </c>
      <c r="J64" s="31">
        <f>(INDEX(Option4!J$106:J$117, MATCH($D64, Option4!$G$106:$G$117,0)))*conv_2026*J$7</f>
        <v>-707655.48306885478</v>
      </c>
      <c r="K64" s="31">
        <f>(INDEX(Option4!K$106:K$117, MATCH($D64, Option4!$G$106:$G$117,0)))*conv_2026*K$7</f>
        <v>-664372.52283675876</v>
      </c>
      <c r="L64" s="31">
        <f>(INDEX(Option4!L$106:L$117, MATCH($D64, Option4!$G$106:$G$117,0)))*conv_2026*L$7</f>
        <v>-611656.90962233697</v>
      </c>
      <c r="M64" s="31">
        <f>(INDEX(Option4!M$106:M$117, MATCH($D64, Option4!$G$106:$G$117,0)))*conv_2026*M$7</f>
        <v>-547872.25366504816</v>
      </c>
      <c r="N64" s="31">
        <f>(INDEX(Option4!N$106:N$117, MATCH($D64, Option4!$G$106:$G$117,0)))*conv_2026*N$7</f>
        <v>-1150610.5156793979</v>
      </c>
      <c r="O64" s="31">
        <f>(INDEX(Option4!O$106:O$117, MATCH($D64, Option4!$G$106:$G$117,0)))*conv_2026*O$7</f>
        <v>12187.930949417278</v>
      </c>
      <c r="P64" s="31">
        <f>(INDEX(Option4!P$106:P$117, MATCH($D64, Option4!$G$106:$G$117,0)))*conv_2026*P$7</f>
        <v>24587.520160478627</v>
      </c>
      <c r="Q64" s="31">
        <f>(INDEX(Option4!Q$106:Q$117, MATCH($D64, Option4!$G$106:$G$117,0)))*conv_2026*Q$7</f>
        <v>35148.444057790526</v>
      </c>
      <c r="R64" s="31">
        <f>(INDEX(Option4!R$106:R$117, MATCH($D64, Option4!$G$106:$G$117,0)))*conv_2026*R$7</f>
        <v>42668.178235046791</v>
      </c>
      <c r="S64" s="31">
        <f>(INDEX(Option4!S$106:S$117, MATCH($D64, Option4!$G$106:$G$117,0)))*conv_2026*S$7</f>
        <v>47710.859231858485</v>
      </c>
      <c r="T64" s="31">
        <f>(INDEX(Option4!T$106:T$117, MATCH($D64, Option4!$G$106:$G$117,0)))*conv_2026*T$7</f>
        <v>53216.118703045642</v>
      </c>
      <c r="U64" s="31">
        <f>(INDEX(Option4!U$106:U$117, MATCH($D64, Option4!$G$106:$G$117,0)))*conv_2026*U$7</f>
        <v>58938.729774564694</v>
      </c>
      <c r="V64" s="31">
        <f>(INDEX(Option4!V$106:V$117, MATCH($D64, Option4!$G$106:$G$117,0)))*conv_2026*V$7</f>
        <v>65220.024852206996</v>
      </c>
      <c r="W64" s="31">
        <f>(INDEX(Option4!W$106:W$117, MATCH($D64, Option4!$G$106:$G$117,0)))*conv_2026*W$7</f>
        <v>69301.494388426785</v>
      </c>
      <c r="X64" s="31">
        <f>(INDEX(Option4!X$106:X$117, MATCH($D64, Option4!$G$106:$G$117,0)))*conv_2026*X$7</f>
        <v>70806.865966308993</v>
      </c>
      <c r="Y64" s="31">
        <f>(INDEX(Option4!Y$106:Y$117, MATCH($D64, Option4!$G$106:$G$117,0)))*conv_2026*Y$7</f>
        <v>71225.902452773196</v>
      </c>
      <c r="Z64" s="31">
        <f>(INDEX(Option4!Z$106:Z$117, MATCH($D64, Option4!$G$106:$G$117,0)))*conv_2026*Z$7</f>
        <v>71678.660524906911</v>
      </c>
      <c r="AA64" s="31">
        <f>(INDEX(Option4!AA$106:AA$117, MATCH($D64, Option4!$G$106:$G$117,0)))*conv_2026*AA$7</f>
        <v>72167.905022935258</v>
      </c>
      <c r="AB64" s="31">
        <f>(INDEX(Option4!AB$106:AB$117, MATCH($D64, Option4!$G$106:$G$117,0)))*conv_2026*AB$7</f>
        <v>72696.63012188123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8" t="s">
        <v>133</v>
      </c>
      <c r="B65" s="258" t="str">
        <f>Option4!A117</f>
        <v>sens</v>
      </c>
      <c r="C65" s="258">
        <f>Option4!C117</f>
        <v>0</v>
      </c>
      <c r="D65" s="258" t="str">
        <f t="shared" si="7"/>
        <v>Option 4sens</v>
      </c>
      <c r="E65" s="259"/>
      <c r="F65" s="31">
        <f t="shared" si="6"/>
        <v>-2387654.4825449572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391767.96758944029</v>
      </c>
      <c r="J65" s="31">
        <f>(INDEX(Option4!J$106:J$117, MATCH($D65, Option4!$G$106:$G$117,0)))*conv_2026*J$7</f>
        <v>-707655.48306885478</v>
      </c>
      <c r="K65" s="31">
        <f>(INDEX(Option4!K$106:K$117, MATCH($D65, Option4!$G$106:$G$117,0)))*conv_2026*K$7</f>
        <v>-664372.52283675876</v>
      </c>
      <c r="L65" s="31">
        <f>(INDEX(Option4!L$106:L$117, MATCH($D65, Option4!$G$106:$G$117,0)))*conv_2026*L$7</f>
        <v>-611656.90962233697</v>
      </c>
      <c r="M65" s="31">
        <f>(INDEX(Option4!M$106:M$117, MATCH($D65, Option4!$G$106:$G$117,0)))*conv_2026*M$7</f>
        <v>-547872.25366504816</v>
      </c>
      <c r="N65" s="31">
        <f>(INDEX(Option4!N$106:N$117, MATCH($D65, Option4!$G$106:$G$117,0)))*conv_2026*N$7</f>
        <v>-1150610.5156793979</v>
      </c>
      <c r="O65" s="31">
        <f>(INDEX(Option4!O$106:O$117, MATCH($D65, Option4!$G$106:$G$117,0)))*conv_2026*O$7</f>
        <v>12187.930949417278</v>
      </c>
      <c r="P65" s="31">
        <f>(INDEX(Option4!P$106:P$117, MATCH($D65, Option4!$G$106:$G$117,0)))*conv_2026*P$7</f>
        <v>24587.520160478627</v>
      </c>
      <c r="Q65" s="31">
        <f>(INDEX(Option4!Q$106:Q$117, MATCH($D65, Option4!$G$106:$G$117,0)))*conv_2026*Q$7</f>
        <v>35148.444057790526</v>
      </c>
      <c r="R65" s="31">
        <f>(INDEX(Option4!R$106:R$117, MATCH($D65, Option4!$G$106:$G$117,0)))*conv_2026*R$7</f>
        <v>42668.178235046791</v>
      </c>
      <c r="S65" s="31">
        <f>(INDEX(Option4!S$106:S$117, MATCH($D65, Option4!$G$106:$G$117,0)))*conv_2026*S$7</f>
        <v>47710.859231858485</v>
      </c>
      <c r="T65" s="31">
        <f>(INDEX(Option4!T$106:T$117, MATCH($D65, Option4!$G$106:$G$117,0)))*conv_2026*T$7</f>
        <v>53216.118703045642</v>
      </c>
      <c r="U65" s="31">
        <f>(INDEX(Option4!U$106:U$117, MATCH($D65, Option4!$G$106:$G$117,0)))*conv_2026*U$7</f>
        <v>58938.729774564694</v>
      </c>
      <c r="V65" s="31">
        <f>(INDEX(Option4!V$106:V$117, MATCH($D65, Option4!$G$106:$G$117,0)))*conv_2026*V$7</f>
        <v>65220.024852206996</v>
      </c>
      <c r="W65" s="31">
        <f>(INDEX(Option4!W$106:W$117, MATCH($D65, Option4!$G$106:$G$117,0)))*conv_2026*W$7</f>
        <v>69301.494388426785</v>
      </c>
      <c r="X65" s="31">
        <f>(INDEX(Option4!X$106:X$117, MATCH($D65, Option4!$G$106:$G$117,0)))*conv_2026*X$7</f>
        <v>70806.865966308993</v>
      </c>
      <c r="Y65" s="31">
        <f>(INDEX(Option4!Y$106:Y$117, MATCH($D65, Option4!$G$106:$G$117,0)))*conv_2026*Y$7</f>
        <v>71225.902452773196</v>
      </c>
      <c r="Z65" s="31">
        <f>(INDEX(Option4!Z$106:Z$117, MATCH($D65, Option4!$G$106:$G$117,0)))*conv_2026*Z$7</f>
        <v>71678.660524906911</v>
      </c>
      <c r="AA65" s="31">
        <f>(INDEX(Option4!AA$106:AA$117, MATCH($D65, Option4!$G$106:$G$117,0)))*conv_2026*AA$7</f>
        <v>72167.905022935258</v>
      </c>
      <c r="AB65" s="31">
        <f>(INDEX(Option4!AB$106:AB$117, MATCH($D65, Option4!$G$106:$G$117,0)))*conv_2026*AB$7</f>
        <v>72696.63012188123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155</v>
      </c>
      <c r="B70" s="258" t="s">
        <v>119</v>
      </c>
      <c r="C70" s="258" t="s">
        <v>188</v>
      </c>
      <c r="D70" s="258" t="str">
        <f>A70&amp;B70</f>
        <v>Option 5NPV</v>
      </c>
      <c r="E70" s="259"/>
      <c r="F70" s="31">
        <f t="shared" ref="F70:F79" si="8">SUMPRODUCT($H70:$AG70, $H$5:$AG$5)</f>
        <v>-30656.234473332297</v>
      </c>
      <c r="G70" s="251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23250.601170975835</v>
      </c>
      <c r="J70" s="31">
        <f>(INDEX(Option5!J$106:J$117, MATCH($D70, Option5!$G$106:$G$117,0)))*conv_2026*J$7</f>
        <v>-244350.65471682235</v>
      </c>
      <c r="K70" s="31">
        <f>(INDEX(Option5!K$106:K$117, MATCH($D70, Option5!$G$106:$G$117,0)))*conv_2026*K$7</f>
        <v>-234767.86119633217</v>
      </c>
      <c r="L70" s="31">
        <f>(INDEX(Option5!L$106:L$117, MATCH($D70, Option5!$G$106:$G$117,0)))*conv_2026*L$7</f>
        <v>-214828.72611627824</v>
      </c>
      <c r="M70" s="31">
        <f>(INDEX(Option5!M$106:M$117, MATCH($D70, Option5!$G$106:$G$117,0)))*conv_2026*M$7</f>
        <v>-182175.16895856336</v>
      </c>
      <c r="N70" s="31">
        <f>(INDEX(Option5!N$106:N$117, MATCH($D70, Option5!$G$106:$G$117,0)))*conv_2026*N$7</f>
        <v>-381604.47024349734</v>
      </c>
      <c r="O70" s="31">
        <f>(INDEX(Option5!O$106:O$117, MATCH($D70, Option5!$G$106:$G$117,0)))*conv_2026*O$7</f>
        <v>33814.390614527088</v>
      </c>
      <c r="P70" s="31">
        <f>(INDEX(Option5!P$106:P$117, MATCH($D70, Option5!$G$106:$G$117,0)))*conv_2026*P$7</f>
        <v>70831.782691681903</v>
      </c>
      <c r="Q70" s="31">
        <f>(INDEX(Option5!Q$106:Q$117, MATCH($D70, Option5!$G$106:$G$117,0)))*conv_2026*Q$7</f>
        <v>94012.2560923032</v>
      </c>
      <c r="R70" s="31">
        <f>(INDEX(Option5!R$106:R$117, MATCH($D70, Option5!$G$106:$G$117,0)))*conv_2026*R$7</f>
        <v>105735.07964847244</v>
      </c>
      <c r="S70" s="31">
        <f>(INDEX(Option5!S$106:S$117, MATCH($D70, Option5!$G$106:$G$117,0)))*conv_2026*S$7</f>
        <v>113674.62963934374</v>
      </c>
      <c r="T70" s="31">
        <f>(INDEX(Option5!T$106:T$117, MATCH($D70, Option5!$G$106:$G$117,0)))*conv_2026*T$7</f>
        <v>122600.72936844561</v>
      </c>
      <c r="U70" s="31">
        <f>(INDEX(Option5!U$106:U$117, MATCH($D70, Option5!$G$106:$G$117,0)))*conv_2026*U$7</f>
        <v>132638.89110431453</v>
      </c>
      <c r="V70" s="31">
        <f>(INDEX(Option5!V$106:V$117, MATCH($D70, Option5!$G$106:$G$117,0)))*conv_2026*V$7</f>
        <v>143730.86160943453</v>
      </c>
      <c r="W70" s="31">
        <f>(INDEX(Option5!W$106:W$117, MATCH($D70, Option5!$G$106:$G$117,0)))*conv_2026*W$7</f>
        <v>145790.30438469947</v>
      </c>
      <c r="X70" s="31">
        <f>(INDEX(Option5!X$106:X$117, MATCH($D70, Option5!$G$106:$G$117,0)))*conv_2026*X$7</f>
        <v>146330.4936626938</v>
      </c>
      <c r="Y70" s="31">
        <f>(INDEX(Option5!Y$106:Y$117, MATCH($D70, Option5!$G$106:$G$117,0)))*conv_2026*Y$7</f>
        <v>146330.49366270209</v>
      </c>
      <c r="Z70" s="31">
        <f>(INDEX(Option5!Z$106:Z$117, MATCH($D70, Option5!$G$106:$G$117,0)))*conv_2026*Z$7</f>
        <v>146330.49366268553</v>
      </c>
      <c r="AA70" s="31">
        <f>(INDEX(Option5!AA$106:AA$117, MATCH($D70, Option5!$G$106:$G$117,0)))*conv_2026*AA$7</f>
        <v>146330.4936626938</v>
      </c>
      <c r="AB70" s="31">
        <f>(INDEX(Option5!AB$106:AB$117, MATCH($D70, Option5!$G$106:$G$117,0)))*conv_2026*AB$7</f>
        <v>146330.49366270209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155</v>
      </c>
      <c r="B72" s="258" t="str">
        <f>Option5!A110</f>
        <v>sens1</v>
      </c>
      <c r="C72" s="258" t="str">
        <f>Option5!C110</f>
        <v>Capex 10% higher</v>
      </c>
      <c r="D72" s="258" t="str">
        <f t="shared" ref="D72:D79" si="9">A72&amp;B72</f>
        <v>Option 5sens1</v>
      </c>
      <c r="E72" s="259"/>
      <c r="F72" s="31">
        <f t="shared" si="8"/>
        <v>-415195.42315525486</v>
      </c>
      <c r="G72" s="251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23250.601170975835</v>
      </c>
      <c r="J72" s="31">
        <f>(INDEX(Option5!J$106:J$117, MATCH($D72, Option5!$G$106:$G$117,0)))*conv_2026*J$7</f>
        <v>-286163.50934914919</v>
      </c>
      <c r="K72" s="31">
        <f>(INDEX(Option5!K$106:K$117, MATCH($D72, Option5!$G$106:$G$117,0)))*conv_2026*K$7</f>
        <v>-279998.08415961324</v>
      </c>
      <c r="L72" s="31">
        <f>(INDEX(Option5!L$106:L$117, MATCH($D72, Option5!$G$106:$G$117,0)))*conv_2026*L$7</f>
        <v>-263476.31741051358</v>
      </c>
      <c r="M72" s="31">
        <f>(INDEX(Option5!M$106:M$117, MATCH($D72, Option5!$G$106:$G$117,0)))*conv_2026*M$7</f>
        <v>-234240.1285837529</v>
      </c>
      <c r="N72" s="31">
        <f>(INDEX(Option5!N$106:N$117, MATCH($D72, Option5!$G$106:$G$117,0)))*conv_2026*N$7</f>
        <v>-438632.67064220359</v>
      </c>
      <c r="O72" s="31">
        <f>(INDEX(Option5!O$106:O$117, MATCH($D72, Option5!$G$106:$G$117,0)))*conv_2026*O$7</f>
        <v>15181.676517193466</v>
      </c>
      <c r="P72" s="31">
        <f>(INDEX(Option5!P$106:P$117, MATCH($D72, Option5!$G$106:$G$117,0)))*conv_2026*P$7</f>
        <v>52199.068594348289</v>
      </c>
      <c r="Q72" s="31">
        <f>(INDEX(Option5!Q$106:Q$117, MATCH($D72, Option5!$G$106:$G$117,0)))*conv_2026*Q$7</f>
        <v>75379.541994969579</v>
      </c>
      <c r="R72" s="31">
        <f>(INDEX(Option5!R$106:R$117, MATCH($D72, Option5!$G$106:$G$117,0)))*conv_2026*R$7</f>
        <v>87102.365551138821</v>
      </c>
      <c r="S72" s="31">
        <f>(INDEX(Option5!S$106:S$117, MATCH($D72, Option5!$G$106:$G$117,0)))*conv_2026*S$7</f>
        <v>95041.915542010116</v>
      </c>
      <c r="T72" s="31">
        <f>(INDEX(Option5!T$106:T$117, MATCH($D72, Option5!$G$106:$G$117,0)))*conv_2026*T$7</f>
        <v>103968.01527111199</v>
      </c>
      <c r="U72" s="31">
        <f>(INDEX(Option5!U$106:U$117, MATCH($D72, Option5!$G$106:$G$117,0)))*conv_2026*U$7</f>
        <v>114006.17700698093</v>
      </c>
      <c r="V72" s="31">
        <f>(INDEX(Option5!V$106:V$117, MATCH($D72, Option5!$G$106:$G$117,0)))*conv_2026*V$7</f>
        <v>125098.14751210091</v>
      </c>
      <c r="W72" s="31">
        <f>(INDEX(Option5!W$106:W$117, MATCH($D72, Option5!$G$106:$G$117,0)))*conv_2026*W$7</f>
        <v>127157.59028736583</v>
      </c>
      <c r="X72" s="31">
        <f>(INDEX(Option5!X$106:X$117, MATCH($D72, Option5!$G$106:$G$117,0)))*conv_2026*X$7</f>
        <v>127697.77956536019</v>
      </c>
      <c r="Y72" s="31">
        <f>(INDEX(Option5!Y$106:Y$117, MATCH($D72, Option5!$G$106:$G$117,0)))*conv_2026*Y$7</f>
        <v>127697.77956536849</v>
      </c>
      <c r="Z72" s="31">
        <f>(INDEX(Option5!Z$106:Z$117, MATCH($D72, Option5!$G$106:$G$117,0)))*conv_2026*Z$7</f>
        <v>127697.7795653519</v>
      </c>
      <c r="AA72" s="31">
        <f>(INDEX(Option5!AA$106:AA$117, MATCH($D72, Option5!$G$106:$G$117,0)))*conv_2026*AA$7</f>
        <v>127697.77956536019</v>
      </c>
      <c r="AB72" s="31">
        <f>(INDEX(Option5!AB$106:AB$117, MATCH($D72, Option5!$G$106:$G$117,0)))*conv_2026*AB$7</f>
        <v>127697.77956536849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8" t="s">
        <v>155</v>
      </c>
      <c r="B73" s="258" t="str">
        <f>Option5!A111</f>
        <v>sens2</v>
      </c>
      <c r="C73" s="258" t="str">
        <f>Option5!C111</f>
        <v>Capex 10% lower</v>
      </c>
      <c r="D73" s="258" t="str">
        <f t="shared" si="9"/>
        <v>Option 5sens2</v>
      </c>
      <c r="E73" s="259"/>
      <c r="F73" s="31">
        <f t="shared" si="8"/>
        <v>353882.95420859056</v>
      </c>
      <c r="G73" s="258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23250.601170975835</v>
      </c>
      <c r="J73" s="31">
        <f>(INDEX(Option5!J$106:J$117, MATCH($D73, Option5!$G$106:$G$117,0)))*conv_2026*J$7</f>
        <v>-202537.80008449554</v>
      </c>
      <c r="K73" s="31">
        <f>(INDEX(Option5!K$106:K$117, MATCH($D73, Option5!$G$106:$G$117,0)))*conv_2026*K$7</f>
        <v>-189537.63823305108</v>
      </c>
      <c r="L73" s="31">
        <f>(INDEX(Option5!L$106:L$117, MATCH($D73, Option5!$G$106:$G$117,0)))*conv_2026*L$7</f>
        <v>-166181.13482204295</v>
      </c>
      <c r="M73" s="31">
        <f>(INDEX(Option5!M$106:M$117, MATCH($D73, Option5!$G$106:$G$117,0)))*conv_2026*M$7</f>
        <v>-130110.20933337383</v>
      </c>
      <c r="N73" s="31">
        <f>(INDEX(Option5!N$106:N$117, MATCH($D73, Option5!$G$106:$G$117,0)))*conv_2026*N$7</f>
        <v>-324576.26984479115</v>
      </c>
      <c r="O73" s="31">
        <f>(INDEX(Option5!O$106:O$117, MATCH($D73, Option5!$G$106:$G$117,0)))*conv_2026*O$7</f>
        <v>52447.104711860709</v>
      </c>
      <c r="P73" s="31">
        <f>(INDEX(Option5!P$106:P$117, MATCH($D73, Option5!$G$106:$G$117,0)))*conv_2026*P$7</f>
        <v>89464.496789015524</v>
      </c>
      <c r="Q73" s="31">
        <f>(INDEX(Option5!Q$106:Q$117, MATCH($D73, Option5!$G$106:$G$117,0)))*conv_2026*Q$7</f>
        <v>112644.97018963682</v>
      </c>
      <c r="R73" s="31">
        <f>(INDEX(Option5!R$106:R$117, MATCH($D73, Option5!$G$106:$G$117,0)))*conv_2026*R$7</f>
        <v>124367.79374580606</v>
      </c>
      <c r="S73" s="31">
        <f>(INDEX(Option5!S$106:S$117, MATCH($D73, Option5!$G$106:$G$117,0)))*conv_2026*S$7</f>
        <v>132307.34373667734</v>
      </c>
      <c r="T73" s="31">
        <f>(INDEX(Option5!T$106:T$117, MATCH($D73, Option5!$G$106:$G$117,0)))*conv_2026*T$7</f>
        <v>141233.44346577922</v>
      </c>
      <c r="U73" s="31">
        <f>(INDEX(Option5!U$106:U$117, MATCH($D73, Option5!$G$106:$G$117,0)))*conv_2026*U$7</f>
        <v>151271.60520164817</v>
      </c>
      <c r="V73" s="31">
        <f>(INDEX(Option5!V$106:V$117, MATCH($D73, Option5!$G$106:$G$117,0)))*conv_2026*V$7</f>
        <v>162363.57570676817</v>
      </c>
      <c r="W73" s="31">
        <f>(INDEX(Option5!W$106:W$117, MATCH($D73, Option5!$G$106:$G$117,0)))*conv_2026*W$7</f>
        <v>164423.01848203311</v>
      </c>
      <c r="X73" s="31">
        <f>(INDEX(Option5!X$106:X$117, MATCH($D73, Option5!$G$106:$G$117,0)))*conv_2026*X$7</f>
        <v>164963.20776002744</v>
      </c>
      <c r="Y73" s="31">
        <f>(INDEX(Option5!Y$106:Y$117, MATCH($D73, Option5!$G$106:$G$117,0)))*conv_2026*Y$7</f>
        <v>164963.20776003573</v>
      </c>
      <c r="Z73" s="31">
        <f>(INDEX(Option5!Z$106:Z$117, MATCH($D73, Option5!$G$106:$G$117,0)))*conv_2026*Z$7</f>
        <v>164963.20776001917</v>
      </c>
      <c r="AA73" s="31">
        <f>(INDEX(Option5!AA$106:AA$117, MATCH($D73, Option5!$G$106:$G$117,0)))*conv_2026*AA$7</f>
        <v>164963.20776002744</v>
      </c>
      <c r="AB73" s="31">
        <f>(INDEX(Option5!AB$106:AB$117, MATCH($D73, Option5!$G$106:$G$117,0)))*conv_2026*AB$7</f>
        <v>164963.20776003573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8" t="s">
        <v>155</v>
      </c>
      <c r="B74" s="258" t="str">
        <f>Option5!A112</f>
        <v>sens3</v>
      </c>
      <c r="C74" s="258" t="str">
        <f>Option5!C112</f>
        <v>Total benefits 10% higher</v>
      </c>
      <c r="D74" s="258" t="str">
        <f t="shared" si="9"/>
        <v>Option 5sens3</v>
      </c>
      <c r="E74" s="259"/>
      <c r="F74" s="31">
        <f t="shared" si="8"/>
        <v>350817.33076125733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25575.661288073417</v>
      </c>
      <c r="J74" s="31">
        <f>(INDEX(Option5!J$106:J$117, MATCH($D74, Option5!$G$106:$G$117,0)))*conv_2026*J$7</f>
        <v>-226972.86555617777</v>
      </c>
      <c r="K74" s="31">
        <f>(INDEX(Option5!K$106:K$117, MATCH($D74, Option5!$G$106:$G$117,0)))*conv_2026*K$7</f>
        <v>-213014.42435268432</v>
      </c>
      <c r="L74" s="31">
        <f>(INDEX(Option5!L$106:L$117, MATCH($D74, Option5!$G$106:$G$117,0)))*conv_2026*L$7</f>
        <v>-187664.00743367078</v>
      </c>
      <c r="M74" s="31">
        <f>(INDEX(Option5!M$106:M$117, MATCH($D74, Option5!$G$106:$G$117,0)))*conv_2026*M$7</f>
        <v>-148327.72622923017</v>
      </c>
      <c r="N74" s="31">
        <f>(INDEX(Option5!N$106:N$117, MATCH($D74, Option5!$G$106:$G$117,0)))*conv_2026*N$7</f>
        <v>-362736.71686914092</v>
      </c>
      <c r="O74" s="31">
        <f>(INDEX(Option5!O$106:O$117, MATCH($D74, Option5!$G$106:$G$117,0)))*conv_2026*O$7</f>
        <v>55828.543773313417</v>
      </c>
      <c r="P74" s="31">
        <f>(INDEX(Option5!P$106:P$117, MATCH($D74, Option5!$G$106:$G$117,0)))*conv_2026*P$7</f>
        <v>96547.675058183711</v>
      </c>
      <c r="Q74" s="31">
        <f>(INDEX(Option5!Q$106:Q$117, MATCH($D74, Option5!$G$106:$G$117,0)))*conv_2026*Q$7</f>
        <v>122046.19579886715</v>
      </c>
      <c r="R74" s="31">
        <f>(INDEX(Option5!R$106:R$117, MATCH($D74, Option5!$G$106:$G$117,0)))*conv_2026*R$7</f>
        <v>134941.30171065329</v>
      </c>
      <c r="S74" s="31">
        <f>(INDEX(Option5!S$106:S$117, MATCH($D74, Option5!$G$106:$G$117,0)))*conv_2026*S$7</f>
        <v>143674.80670061175</v>
      </c>
      <c r="T74" s="31">
        <f>(INDEX(Option5!T$106:T$117, MATCH($D74, Option5!$G$106:$G$117,0)))*conv_2026*T$7</f>
        <v>153493.51640262379</v>
      </c>
      <c r="U74" s="31">
        <f>(INDEX(Option5!U$106:U$117, MATCH($D74, Option5!$G$106:$G$117,0)))*conv_2026*U$7</f>
        <v>164535.49431207962</v>
      </c>
      <c r="V74" s="31">
        <f>(INDEX(Option5!V$106:V$117, MATCH($D74, Option5!$G$106:$G$117,0)))*conv_2026*V$7</f>
        <v>176736.66186771161</v>
      </c>
      <c r="W74" s="31">
        <f>(INDEX(Option5!W$106:W$117, MATCH($D74, Option5!$G$106:$G$117,0)))*conv_2026*W$7</f>
        <v>179002.04892050303</v>
      </c>
      <c r="X74" s="31">
        <f>(INDEX(Option5!X$106:X$117, MATCH($D74, Option5!$G$106:$G$117,0)))*conv_2026*X$7</f>
        <v>179596.25712629681</v>
      </c>
      <c r="Y74" s="31">
        <f>(INDEX(Option5!Y$106:Y$117, MATCH($D74, Option5!$G$106:$G$117,0)))*conv_2026*Y$7</f>
        <v>179596.25712630595</v>
      </c>
      <c r="Z74" s="31">
        <f>(INDEX(Option5!Z$106:Z$117, MATCH($D74, Option5!$G$106:$G$117,0)))*conv_2026*Z$7</f>
        <v>179596.2571262877</v>
      </c>
      <c r="AA74" s="31">
        <f>(INDEX(Option5!AA$106:AA$117, MATCH($D74, Option5!$G$106:$G$117,0)))*conv_2026*AA$7</f>
        <v>179596.25712629681</v>
      </c>
      <c r="AB74" s="31">
        <f>(INDEX(Option5!AB$106:AB$117, MATCH($D74, Option5!$G$106:$G$117,0)))*conv_2026*AB$7</f>
        <v>179596.25712630595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8" t="s">
        <v>155</v>
      </c>
      <c r="B75" s="258" t="str">
        <f>Option5!A113</f>
        <v>sens4</v>
      </c>
      <c r="C75" s="258" t="str">
        <f>Option5!C113</f>
        <v>Total benefits 10% lower</v>
      </c>
      <c r="D75" s="258" t="str">
        <f t="shared" si="9"/>
        <v>Option 5sens4</v>
      </c>
      <c r="E75" s="259"/>
      <c r="F75" s="31">
        <f t="shared" si="8"/>
        <v>-412129.79970792215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20925.541053878253</v>
      </c>
      <c r="J75" s="31">
        <f>(INDEX(Option5!J$106:J$117, MATCH($D75, Option5!$G$106:$G$117,0)))*conv_2026*J$7</f>
        <v>-261728.44387746695</v>
      </c>
      <c r="K75" s="31">
        <f>(INDEX(Option5!K$106:K$117, MATCH($D75, Option5!$G$106:$G$117,0)))*conv_2026*K$7</f>
        <v>-256521.29803998003</v>
      </c>
      <c r="L75" s="31">
        <f>(INDEX(Option5!L$106:L$117, MATCH($D75, Option5!$G$106:$G$117,0)))*conv_2026*L$7</f>
        <v>-241993.44479888573</v>
      </c>
      <c r="M75" s="31">
        <f>(INDEX(Option5!M$106:M$117, MATCH($D75, Option5!$G$106:$G$117,0)))*conv_2026*M$7</f>
        <v>-216022.61168789657</v>
      </c>
      <c r="N75" s="31">
        <f>(INDEX(Option5!N$106:N$117, MATCH($D75, Option5!$G$106:$G$117,0)))*conv_2026*N$7</f>
        <v>-400472.22361785383</v>
      </c>
      <c r="O75" s="31">
        <f>(INDEX(Option5!O$106:O$117, MATCH($D75, Option5!$G$106:$G$117,0)))*conv_2026*O$7</f>
        <v>11800.237455740757</v>
      </c>
      <c r="P75" s="31">
        <f>(INDEX(Option5!P$106:P$117, MATCH($D75, Option5!$G$106:$G$117,0)))*conv_2026*P$7</f>
        <v>45115.890325180095</v>
      </c>
      <c r="Q75" s="31">
        <f>(INDEX(Option5!Q$106:Q$117, MATCH($D75, Option5!$G$106:$G$117,0)))*conv_2026*Q$7</f>
        <v>65978.316385739265</v>
      </c>
      <c r="R75" s="31">
        <f>(INDEX(Option5!R$106:R$117, MATCH($D75, Option5!$G$106:$G$117,0)))*conv_2026*R$7</f>
        <v>76528.857586291575</v>
      </c>
      <c r="S75" s="31">
        <f>(INDEX(Option5!S$106:S$117, MATCH($D75, Option5!$G$106:$G$117,0)))*conv_2026*S$7</f>
        <v>83674.452578075739</v>
      </c>
      <c r="T75" s="31">
        <f>(INDEX(Option5!T$106:T$117, MATCH($D75, Option5!$G$106:$G$117,0)))*conv_2026*T$7</f>
        <v>91707.942334267427</v>
      </c>
      <c r="U75" s="31">
        <f>(INDEX(Option5!U$106:U$117, MATCH($D75, Option5!$G$106:$G$117,0)))*conv_2026*U$7</f>
        <v>100742.28789654946</v>
      </c>
      <c r="V75" s="31">
        <f>(INDEX(Option5!V$106:V$117, MATCH($D75, Option5!$G$106:$G$117,0)))*conv_2026*V$7</f>
        <v>110725.06135115748</v>
      </c>
      <c r="W75" s="31">
        <f>(INDEX(Option5!W$106:W$117, MATCH($D75, Option5!$G$106:$G$117,0)))*conv_2026*W$7</f>
        <v>112578.55984889589</v>
      </c>
      <c r="X75" s="31">
        <f>(INDEX(Option5!X$106:X$117, MATCH($D75, Option5!$G$106:$G$117,0)))*conv_2026*X$7</f>
        <v>113064.73019909082</v>
      </c>
      <c r="Y75" s="31">
        <f>(INDEX(Option5!Y$106:Y$117, MATCH($D75, Option5!$G$106:$G$117,0)))*conv_2026*Y$7</f>
        <v>113064.73019909827</v>
      </c>
      <c r="Z75" s="31">
        <f>(INDEX(Option5!Z$106:Z$117, MATCH($D75, Option5!$G$106:$G$117,0)))*conv_2026*Z$7</f>
        <v>113064.73019908335</v>
      </c>
      <c r="AA75" s="31">
        <f>(INDEX(Option5!AA$106:AA$117, MATCH($D75, Option5!$G$106:$G$117,0)))*conv_2026*AA$7</f>
        <v>113064.73019909082</v>
      </c>
      <c r="AB75" s="31">
        <f>(INDEX(Option5!AB$106:AB$117, MATCH($D75, Option5!$G$106:$G$117,0)))*conv_2026*AB$7</f>
        <v>113064.73019909827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8" t="s">
        <v>155</v>
      </c>
      <c r="B76" s="258" t="str">
        <f>Option5!A114</f>
        <v>sens5</v>
      </c>
      <c r="C76" s="258" t="str">
        <f>Option5!C114</f>
        <v>Capex 10% higher &amp; total benefits 10% lower</v>
      </c>
      <c r="D76" s="258" t="str">
        <f t="shared" si="9"/>
        <v>Option 5sens5</v>
      </c>
      <c r="E76" s="259"/>
      <c r="F76" s="31">
        <f t="shared" si="8"/>
        <v>-796668.98838984477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20925.541053878253</v>
      </c>
      <c r="J76" s="31">
        <f>(INDEX(Option5!J$106:J$117, MATCH($D76, Option5!$G$106:$G$117,0)))*conv_2026*J$7</f>
        <v>-303541.29850979382</v>
      </c>
      <c r="K76" s="31">
        <f>(INDEX(Option5!K$106:K$117, MATCH($D76, Option5!$G$106:$G$117,0)))*conv_2026*K$7</f>
        <v>-301751.52100326109</v>
      </c>
      <c r="L76" s="31">
        <f>(INDEX(Option5!L$106:L$117, MATCH($D76, Option5!$G$106:$G$117,0)))*conv_2026*L$7</f>
        <v>-290641.03609312105</v>
      </c>
      <c r="M76" s="31">
        <f>(INDEX(Option5!M$106:M$117, MATCH($D76, Option5!$G$106:$G$117,0)))*conv_2026*M$7</f>
        <v>-268087.57131308614</v>
      </c>
      <c r="N76" s="31">
        <f>(INDEX(Option5!N$106:N$117, MATCH($D76, Option5!$G$106:$G$117,0)))*conv_2026*N$7</f>
        <v>-457500.42401656008</v>
      </c>
      <c r="O76" s="31">
        <f>(INDEX(Option5!O$106:O$117, MATCH($D76, Option5!$G$106:$G$117,0)))*conv_2026*O$7</f>
        <v>-6832.4766415928652</v>
      </c>
      <c r="P76" s="31">
        <f>(INDEX(Option5!P$106:P$117, MATCH($D76, Option5!$G$106:$G$117,0)))*conv_2026*P$7</f>
        <v>26483.176227846478</v>
      </c>
      <c r="Q76" s="31">
        <f>(INDEX(Option5!Q$106:Q$117, MATCH($D76, Option5!$G$106:$G$117,0)))*conv_2026*Q$7</f>
        <v>47345.602288405637</v>
      </c>
      <c r="R76" s="31">
        <f>(INDEX(Option5!R$106:R$117, MATCH($D76, Option5!$G$106:$G$117,0)))*conv_2026*R$7</f>
        <v>57896.143488957961</v>
      </c>
      <c r="S76" s="31">
        <f>(INDEX(Option5!S$106:S$117, MATCH($D76, Option5!$G$106:$G$117,0)))*conv_2026*S$7</f>
        <v>65041.738480742119</v>
      </c>
      <c r="T76" s="31">
        <f>(INDEX(Option5!T$106:T$117, MATCH($D76, Option5!$G$106:$G$117,0)))*conv_2026*T$7</f>
        <v>73075.228236933806</v>
      </c>
      <c r="U76" s="31">
        <f>(INDEX(Option5!U$106:U$117, MATCH($D76, Option5!$G$106:$G$117,0)))*conv_2026*U$7</f>
        <v>82109.573799215839</v>
      </c>
      <c r="V76" s="31">
        <f>(INDEX(Option5!V$106:V$117, MATCH($D76, Option5!$G$106:$G$117,0)))*conv_2026*V$7</f>
        <v>92092.347253823827</v>
      </c>
      <c r="W76" s="31">
        <f>(INDEX(Option5!W$106:W$117, MATCH($D76, Option5!$G$106:$G$117,0)))*conv_2026*W$7</f>
        <v>93945.845751562272</v>
      </c>
      <c r="X76" s="31">
        <f>(INDEX(Option5!X$106:X$117, MATCH($D76, Option5!$G$106:$G$117,0)))*conv_2026*X$7</f>
        <v>94432.016101757181</v>
      </c>
      <c r="Y76" s="31">
        <f>(INDEX(Option5!Y$106:Y$117, MATCH($D76, Option5!$G$106:$G$117,0)))*conv_2026*Y$7</f>
        <v>94432.016101764646</v>
      </c>
      <c r="Z76" s="31">
        <f>(INDEX(Option5!Z$106:Z$117, MATCH($D76, Option5!$G$106:$G$117,0)))*conv_2026*Z$7</f>
        <v>94432.01610174973</v>
      </c>
      <c r="AA76" s="31">
        <f>(INDEX(Option5!AA$106:AA$117, MATCH($D76, Option5!$G$106:$G$117,0)))*conv_2026*AA$7</f>
        <v>94432.016101757181</v>
      </c>
      <c r="AB76" s="31">
        <f>(INDEX(Option5!AB$106:AB$117, MATCH($D76, Option5!$G$106:$G$117,0)))*conv_2026*AB$7</f>
        <v>94432.016101764646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8" t="s">
        <v>155</v>
      </c>
      <c r="B77" s="258" t="str">
        <f>Option5!A115</f>
        <v>sens</v>
      </c>
      <c r="C77" s="258">
        <f>Option5!C115</f>
        <v>0</v>
      </c>
      <c r="D77" s="258" t="str">
        <f t="shared" si="9"/>
        <v>Option 5sens</v>
      </c>
      <c r="E77" s="259"/>
      <c r="F77" s="31">
        <f t="shared" si="8"/>
        <v>-30656.234473332297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23250.601170975835</v>
      </c>
      <c r="J77" s="31">
        <f>(INDEX(Option5!J$106:J$117, MATCH($D77, Option5!$G$106:$G$117,0)))*conv_2026*J$7</f>
        <v>-244350.65471682235</v>
      </c>
      <c r="K77" s="31">
        <f>(INDEX(Option5!K$106:K$117, MATCH($D77, Option5!$G$106:$G$117,0)))*conv_2026*K$7</f>
        <v>-234767.86119633217</v>
      </c>
      <c r="L77" s="31">
        <f>(INDEX(Option5!L$106:L$117, MATCH($D77, Option5!$G$106:$G$117,0)))*conv_2026*L$7</f>
        <v>-214828.72611627824</v>
      </c>
      <c r="M77" s="31">
        <f>(INDEX(Option5!M$106:M$117, MATCH($D77, Option5!$G$106:$G$117,0)))*conv_2026*M$7</f>
        <v>-182175.16895856336</v>
      </c>
      <c r="N77" s="31">
        <f>(INDEX(Option5!N$106:N$117, MATCH($D77, Option5!$G$106:$G$117,0)))*conv_2026*N$7</f>
        <v>-381604.47024349734</v>
      </c>
      <c r="O77" s="31">
        <f>(INDEX(Option5!O$106:O$117, MATCH($D77, Option5!$G$106:$G$117,0)))*conv_2026*O$7</f>
        <v>33814.390614527088</v>
      </c>
      <c r="P77" s="31">
        <f>(INDEX(Option5!P$106:P$117, MATCH($D77, Option5!$G$106:$G$117,0)))*conv_2026*P$7</f>
        <v>70831.782691681903</v>
      </c>
      <c r="Q77" s="31">
        <f>(INDEX(Option5!Q$106:Q$117, MATCH($D77, Option5!$G$106:$G$117,0)))*conv_2026*Q$7</f>
        <v>94012.2560923032</v>
      </c>
      <c r="R77" s="31">
        <f>(INDEX(Option5!R$106:R$117, MATCH($D77, Option5!$G$106:$G$117,0)))*conv_2026*R$7</f>
        <v>105735.07964847244</v>
      </c>
      <c r="S77" s="31">
        <f>(INDEX(Option5!S$106:S$117, MATCH($D77, Option5!$G$106:$G$117,0)))*conv_2026*S$7</f>
        <v>113674.62963934374</v>
      </c>
      <c r="T77" s="31">
        <f>(INDEX(Option5!T$106:T$117, MATCH($D77, Option5!$G$106:$G$117,0)))*conv_2026*T$7</f>
        <v>122600.72936844561</v>
      </c>
      <c r="U77" s="31">
        <f>(INDEX(Option5!U$106:U$117, MATCH($D77, Option5!$G$106:$G$117,0)))*conv_2026*U$7</f>
        <v>132638.89110431453</v>
      </c>
      <c r="V77" s="31">
        <f>(INDEX(Option5!V$106:V$117, MATCH($D77, Option5!$G$106:$G$117,0)))*conv_2026*V$7</f>
        <v>143730.86160943453</v>
      </c>
      <c r="W77" s="31">
        <f>(INDEX(Option5!W$106:W$117, MATCH($D77, Option5!$G$106:$G$117,0)))*conv_2026*W$7</f>
        <v>145790.30438469947</v>
      </c>
      <c r="X77" s="31">
        <f>(INDEX(Option5!X$106:X$117, MATCH($D77, Option5!$G$106:$G$117,0)))*conv_2026*X$7</f>
        <v>146330.4936626938</v>
      </c>
      <c r="Y77" s="31">
        <f>(INDEX(Option5!Y$106:Y$117, MATCH($D77, Option5!$G$106:$G$117,0)))*conv_2026*Y$7</f>
        <v>146330.49366270209</v>
      </c>
      <c r="Z77" s="31">
        <f>(INDEX(Option5!Z$106:Z$117, MATCH($D77, Option5!$G$106:$G$117,0)))*conv_2026*Z$7</f>
        <v>146330.49366268553</v>
      </c>
      <c r="AA77" s="31">
        <f>(INDEX(Option5!AA$106:AA$117, MATCH($D77, Option5!$G$106:$G$117,0)))*conv_2026*AA$7</f>
        <v>146330.4936626938</v>
      </c>
      <c r="AB77" s="31">
        <f>(INDEX(Option5!AB$106:AB$117, MATCH($D77, Option5!$G$106:$G$117,0)))*conv_2026*AB$7</f>
        <v>146330.49366270209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8" t="s">
        <v>155</v>
      </c>
      <c r="B78" s="258" t="str">
        <f>Option5!A116</f>
        <v>sens</v>
      </c>
      <c r="C78" s="258">
        <f>Option5!C116</f>
        <v>0</v>
      </c>
      <c r="D78" s="258" t="str">
        <f t="shared" si="9"/>
        <v>Option 5sens</v>
      </c>
      <c r="E78" s="259"/>
      <c r="F78" s="31">
        <f t="shared" si="8"/>
        <v>-30656.234473332297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23250.601170975835</v>
      </c>
      <c r="J78" s="31">
        <f>(INDEX(Option5!J$106:J$117, MATCH($D78, Option5!$G$106:$G$117,0)))*conv_2026*J$7</f>
        <v>-244350.65471682235</v>
      </c>
      <c r="K78" s="31">
        <f>(INDEX(Option5!K$106:K$117, MATCH($D78, Option5!$G$106:$G$117,0)))*conv_2026*K$7</f>
        <v>-234767.86119633217</v>
      </c>
      <c r="L78" s="31">
        <f>(INDEX(Option5!L$106:L$117, MATCH($D78, Option5!$G$106:$G$117,0)))*conv_2026*L$7</f>
        <v>-214828.72611627824</v>
      </c>
      <c r="M78" s="31">
        <f>(INDEX(Option5!M$106:M$117, MATCH($D78, Option5!$G$106:$G$117,0)))*conv_2026*M$7</f>
        <v>-182175.16895856336</v>
      </c>
      <c r="N78" s="31">
        <f>(INDEX(Option5!N$106:N$117, MATCH($D78, Option5!$G$106:$G$117,0)))*conv_2026*N$7</f>
        <v>-381604.47024349734</v>
      </c>
      <c r="O78" s="31">
        <f>(INDEX(Option5!O$106:O$117, MATCH($D78, Option5!$G$106:$G$117,0)))*conv_2026*O$7</f>
        <v>33814.390614527088</v>
      </c>
      <c r="P78" s="31">
        <f>(INDEX(Option5!P$106:P$117, MATCH($D78, Option5!$G$106:$G$117,0)))*conv_2026*P$7</f>
        <v>70831.782691681903</v>
      </c>
      <c r="Q78" s="31">
        <f>(INDEX(Option5!Q$106:Q$117, MATCH($D78, Option5!$G$106:$G$117,0)))*conv_2026*Q$7</f>
        <v>94012.2560923032</v>
      </c>
      <c r="R78" s="31">
        <f>(INDEX(Option5!R$106:R$117, MATCH($D78, Option5!$G$106:$G$117,0)))*conv_2026*R$7</f>
        <v>105735.07964847244</v>
      </c>
      <c r="S78" s="31">
        <f>(INDEX(Option5!S$106:S$117, MATCH($D78, Option5!$G$106:$G$117,0)))*conv_2026*S$7</f>
        <v>113674.62963934374</v>
      </c>
      <c r="T78" s="31">
        <f>(INDEX(Option5!T$106:T$117, MATCH($D78, Option5!$G$106:$G$117,0)))*conv_2026*T$7</f>
        <v>122600.72936844561</v>
      </c>
      <c r="U78" s="31">
        <f>(INDEX(Option5!U$106:U$117, MATCH($D78, Option5!$G$106:$G$117,0)))*conv_2026*U$7</f>
        <v>132638.89110431453</v>
      </c>
      <c r="V78" s="31">
        <f>(INDEX(Option5!V$106:V$117, MATCH($D78, Option5!$G$106:$G$117,0)))*conv_2026*V$7</f>
        <v>143730.86160943453</v>
      </c>
      <c r="W78" s="31">
        <f>(INDEX(Option5!W$106:W$117, MATCH($D78, Option5!$G$106:$G$117,0)))*conv_2026*W$7</f>
        <v>145790.30438469947</v>
      </c>
      <c r="X78" s="31">
        <f>(INDEX(Option5!X$106:X$117, MATCH($D78, Option5!$G$106:$G$117,0)))*conv_2026*X$7</f>
        <v>146330.4936626938</v>
      </c>
      <c r="Y78" s="31">
        <f>(INDEX(Option5!Y$106:Y$117, MATCH($D78, Option5!$G$106:$G$117,0)))*conv_2026*Y$7</f>
        <v>146330.49366270209</v>
      </c>
      <c r="Z78" s="31">
        <f>(INDEX(Option5!Z$106:Z$117, MATCH($D78, Option5!$G$106:$G$117,0)))*conv_2026*Z$7</f>
        <v>146330.49366268553</v>
      </c>
      <c r="AA78" s="31">
        <f>(INDEX(Option5!AA$106:AA$117, MATCH($D78, Option5!$G$106:$G$117,0)))*conv_2026*AA$7</f>
        <v>146330.4936626938</v>
      </c>
      <c r="AB78" s="31">
        <f>(INDEX(Option5!AB$106:AB$117, MATCH($D78, Option5!$G$106:$G$117,0)))*conv_2026*AB$7</f>
        <v>146330.49366270209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8" t="s">
        <v>155</v>
      </c>
      <c r="B79" s="258" t="str">
        <f>Option5!A117</f>
        <v>sens</v>
      </c>
      <c r="C79" s="258">
        <f>Option5!C117</f>
        <v>0</v>
      </c>
      <c r="D79" s="258" t="str">
        <f t="shared" si="9"/>
        <v>Option 5sens</v>
      </c>
      <c r="E79" s="259"/>
      <c r="F79" s="31">
        <f t="shared" si="8"/>
        <v>-30656.234473332297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23250.601170975835</v>
      </c>
      <c r="J79" s="31">
        <f>(INDEX(Option5!J$106:J$117, MATCH($D79, Option5!$G$106:$G$117,0)))*conv_2026*J$7</f>
        <v>-244350.65471682235</v>
      </c>
      <c r="K79" s="31">
        <f>(INDEX(Option5!K$106:K$117, MATCH($D79, Option5!$G$106:$G$117,0)))*conv_2026*K$7</f>
        <v>-234767.86119633217</v>
      </c>
      <c r="L79" s="31">
        <f>(INDEX(Option5!L$106:L$117, MATCH($D79, Option5!$G$106:$G$117,0)))*conv_2026*L$7</f>
        <v>-214828.72611627824</v>
      </c>
      <c r="M79" s="31">
        <f>(INDEX(Option5!M$106:M$117, MATCH($D79, Option5!$G$106:$G$117,0)))*conv_2026*M$7</f>
        <v>-182175.16895856336</v>
      </c>
      <c r="N79" s="31">
        <f>(INDEX(Option5!N$106:N$117, MATCH($D79, Option5!$G$106:$G$117,0)))*conv_2026*N$7</f>
        <v>-381604.47024349734</v>
      </c>
      <c r="O79" s="31">
        <f>(INDEX(Option5!O$106:O$117, MATCH($D79, Option5!$G$106:$G$117,0)))*conv_2026*O$7</f>
        <v>33814.390614527088</v>
      </c>
      <c r="P79" s="31">
        <f>(INDEX(Option5!P$106:P$117, MATCH($D79, Option5!$G$106:$G$117,0)))*conv_2026*P$7</f>
        <v>70831.782691681903</v>
      </c>
      <c r="Q79" s="31">
        <f>(INDEX(Option5!Q$106:Q$117, MATCH($D79, Option5!$G$106:$G$117,0)))*conv_2026*Q$7</f>
        <v>94012.2560923032</v>
      </c>
      <c r="R79" s="31">
        <f>(INDEX(Option5!R$106:R$117, MATCH($D79, Option5!$G$106:$G$117,0)))*conv_2026*R$7</f>
        <v>105735.07964847244</v>
      </c>
      <c r="S79" s="31">
        <f>(INDEX(Option5!S$106:S$117, MATCH($D79, Option5!$G$106:$G$117,0)))*conv_2026*S$7</f>
        <v>113674.62963934374</v>
      </c>
      <c r="T79" s="31">
        <f>(INDEX(Option5!T$106:T$117, MATCH($D79, Option5!$G$106:$G$117,0)))*conv_2026*T$7</f>
        <v>122600.72936844561</v>
      </c>
      <c r="U79" s="31">
        <f>(INDEX(Option5!U$106:U$117, MATCH($D79, Option5!$G$106:$G$117,0)))*conv_2026*U$7</f>
        <v>132638.89110431453</v>
      </c>
      <c r="V79" s="31">
        <f>(INDEX(Option5!V$106:V$117, MATCH($D79, Option5!$G$106:$G$117,0)))*conv_2026*V$7</f>
        <v>143730.86160943453</v>
      </c>
      <c r="W79" s="31">
        <f>(INDEX(Option5!W$106:W$117, MATCH($D79, Option5!$G$106:$G$117,0)))*conv_2026*W$7</f>
        <v>145790.30438469947</v>
      </c>
      <c r="X79" s="31">
        <f>(INDEX(Option5!X$106:X$117, MATCH($D79, Option5!$G$106:$G$117,0)))*conv_2026*X$7</f>
        <v>146330.4936626938</v>
      </c>
      <c r="Y79" s="31">
        <f>(INDEX(Option5!Y$106:Y$117, MATCH($D79, Option5!$G$106:$G$117,0)))*conv_2026*Y$7</f>
        <v>146330.49366270209</v>
      </c>
      <c r="Z79" s="31">
        <f>(INDEX(Option5!Z$106:Z$117, MATCH($D79, Option5!$G$106:$G$117,0)))*conv_2026*Z$7</f>
        <v>146330.49366268553</v>
      </c>
      <c r="AA79" s="31">
        <f>(INDEX(Option5!AA$106:AA$117, MATCH($D79, Option5!$G$106:$G$117,0)))*conv_2026*AA$7</f>
        <v>146330.4936626938</v>
      </c>
      <c r="AB79" s="31">
        <f>(INDEX(Option5!AB$106:AB$117, MATCH($D79, Option5!$G$106:$G$117,0)))*conv_2026*AB$7</f>
        <v>146330.49366270209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160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0</v>
      </c>
      <c r="G88" s="280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230</v>
      </c>
      <c r="K89" s="288" t="s">
        <v>231</v>
      </c>
    </row>
    <row r="90" spans="1:34" s="8" customFormat="1" x14ac:dyDescent="0.2">
      <c r="A90" s="266" t="s">
        <v>119</v>
      </c>
      <c r="B90" s="266" t="s">
        <v>221</v>
      </c>
      <c r="C90" s="105">
        <f t="shared" ref="C90:G98" si="10">IF(OR($B90=0,C$88),"", INDEX($F$14:$F$81, MATCH(C$89&amp;$A90,$D$14:$D$81,0))/10^6)</f>
        <v>0</v>
      </c>
      <c r="D90" s="105">
        <f t="shared" si="10"/>
        <v>0.71463615426774052</v>
      </c>
      <c r="E90" s="105">
        <f t="shared" si="10"/>
        <v>1.1039307448253828</v>
      </c>
      <c r="F90" s="105">
        <f t="shared" si="10"/>
        <v>-2.3876544825449573</v>
      </c>
      <c r="G90" s="105">
        <f t="shared" si="10"/>
        <v>-3.0656234473332298E-2</v>
      </c>
      <c r="H90" s="190"/>
      <c r="I90" s="105">
        <f t="shared" ref="I90:I98" si="11">_xlfn.MAXIFS(C90:G90,_xlfn.ANCHORARRAY( C$88),FALSE)</f>
        <v>1.1039307448253828</v>
      </c>
      <c r="K90" s="8" t="str">
        <f t="shared" ref="K90:K98" si="12">IF(OR(B90=0,$K$88),"", INDEX(_xlfn.ANCHORARRAY($C$89), MATCH(I90, $C90:$G90,0)))</f>
        <v>Option 3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0.51574917264947229</v>
      </c>
      <c r="E91" s="105">
        <f t="shared" si="10"/>
        <v>0.7248324644425056</v>
      </c>
      <c r="F91" s="105">
        <f t="shared" si="10"/>
        <v>-2.9758337229676606</v>
      </c>
      <c r="G91" s="105">
        <f t="shared" si="10"/>
        <v>-0.41519542315525487</v>
      </c>
      <c r="H91" s="190"/>
      <c r="I91" s="105">
        <f t="shared" si="11"/>
        <v>0.7248324644425056</v>
      </c>
      <c r="K91" s="8" t="str">
        <f t="shared" si="12"/>
        <v>Option 3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0.91352313588600875</v>
      </c>
      <c r="E92" s="105">
        <f t="shared" si="10"/>
        <v>1.4830290252082594</v>
      </c>
      <c r="F92" s="105">
        <f t="shared" si="10"/>
        <v>-1.7994752421222526</v>
      </c>
      <c r="G92" s="105">
        <f t="shared" si="10"/>
        <v>0.35388295420859056</v>
      </c>
      <c r="H92" s="190"/>
      <c r="I92" s="105">
        <f t="shared" si="11"/>
        <v>1.4830290252082594</v>
      </c>
      <c r="K92" s="8" t="str">
        <f t="shared" si="12"/>
        <v>Option 3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0.98498675131278279</v>
      </c>
      <c r="E93" s="105">
        <f t="shared" si="10"/>
        <v>1.5934220996907977</v>
      </c>
      <c r="F93" s="105">
        <f t="shared" si="10"/>
        <v>-2.0382406903767487</v>
      </c>
      <c r="G93" s="105">
        <f t="shared" si="10"/>
        <v>0.35081733076125732</v>
      </c>
      <c r="H93" s="190"/>
      <c r="I93" s="105">
        <f t="shared" si="11"/>
        <v>1.5934220996907977</v>
      </c>
      <c r="K93" s="8" t="str">
        <f t="shared" si="12"/>
        <v>Option 3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0.44428555722269825</v>
      </c>
      <c r="E94" s="105">
        <f t="shared" si="10"/>
        <v>0.61443938995996761</v>
      </c>
      <c r="F94" s="105">
        <f t="shared" si="10"/>
        <v>-2.7370682747131654</v>
      </c>
      <c r="G94" s="105">
        <f t="shared" si="10"/>
        <v>-0.41212979970792213</v>
      </c>
      <c r="H94" s="190"/>
      <c r="I94" s="105">
        <f t="shared" si="11"/>
        <v>0.61443938995996761</v>
      </c>
      <c r="K94" s="8" t="str">
        <f t="shared" si="12"/>
        <v>Option 3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0.24539857560442987</v>
      </c>
      <c r="E95" s="105">
        <f t="shared" si="10"/>
        <v>0.23534110957709059</v>
      </c>
      <c r="F95" s="105">
        <f t="shared" si="10"/>
        <v>-3.32524751513587</v>
      </c>
      <c r="G95" s="105">
        <f t="shared" si="10"/>
        <v>-0.79666898838984479</v>
      </c>
      <c r="H95" s="190"/>
      <c r="I95" s="105">
        <f t="shared" si="11"/>
        <v>0.24539857560442987</v>
      </c>
      <c r="K95" s="8" t="str">
        <f t="shared" si="12"/>
        <v>Option 2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CBD9-F363-4E24-BEAB-BDFF24BA6265}">
  <sheetPr codeName="Sheet4">
    <tabColor rgb="FFFFFF00"/>
  </sheetPr>
  <dimension ref="A1:AS91"/>
  <sheetViews>
    <sheetView showGridLines="0" zoomScale="90" zoomScaleNormal="90" workbookViewId="0">
      <pane xSplit="4" ySplit="5" topLeftCell="E6" activePane="bottomRight" state="frozen"/>
      <selection activeCell="G6" sqref="G6"/>
      <selection pane="topRight" activeCell="G6" sqref="G6"/>
      <selection pane="bottomLeft" activeCell="G6" sqref="G6"/>
      <selection pane="bottomRight" activeCell="E6" sqref="E6"/>
    </sheetView>
  </sheetViews>
  <sheetFormatPr defaultColWidth="8" defaultRowHeight="12.75" x14ac:dyDescent="0.2"/>
  <cols>
    <col min="1" max="1" width="2.625" style="6" customWidth="1"/>
    <col min="2" max="2" width="8.625" style="6" customWidth="1"/>
    <col min="3" max="3" width="29.125" style="6" customWidth="1"/>
    <col min="4" max="4" width="7.625" style="6" customWidth="1"/>
    <col min="5" max="12" width="16.25" style="6" customWidth="1"/>
    <col min="13" max="13" width="10.75" style="6" customWidth="1"/>
    <col min="14" max="14" width="12.375" style="6" customWidth="1"/>
    <col min="15" max="15" width="13.75" style="6" customWidth="1"/>
    <col min="16" max="28" width="8.625" style="6" customWidth="1"/>
    <col min="29" max="16384" width="8" style="6"/>
  </cols>
  <sheetData>
    <row r="1" spans="1:42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2" ht="18.75" x14ac:dyDescent="0.3">
      <c r="A2" s="56" t="str">
        <f>proj</f>
        <v>HV cable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2" ht="18.75" x14ac:dyDescent="0.3">
      <c r="A3" s="5" t="s">
        <v>254</v>
      </c>
      <c r="B3" s="34"/>
      <c r="C3" s="5"/>
      <c r="D3" s="5"/>
    </row>
    <row r="5" spans="1:42" ht="15" x14ac:dyDescent="0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</row>
    <row r="6" spans="1:42" x14ac:dyDescent="0.2">
      <c r="A6" s="3"/>
      <c r="B6" s="327" t="s">
        <v>324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</row>
    <row r="7" spans="1:42" x14ac:dyDescent="0.2">
      <c r="A7" s="8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</row>
    <row r="8" spans="1:42" x14ac:dyDescent="0.2">
      <c r="B8" s="328" t="s">
        <v>255</v>
      </c>
      <c r="C8" s="358"/>
      <c r="D8" s="358" t="s">
        <v>256</v>
      </c>
      <c r="E8" s="361" t="s">
        <v>325</v>
      </c>
      <c r="F8" s="361" t="s">
        <v>326</v>
      </c>
      <c r="G8" s="361" t="s">
        <v>257</v>
      </c>
      <c r="H8" s="361" t="s">
        <v>258</v>
      </c>
      <c r="I8" s="361" t="s">
        <v>259</v>
      </c>
      <c r="J8" s="361" t="s">
        <v>260</v>
      </c>
      <c r="K8" s="361" t="s">
        <v>323</v>
      </c>
      <c r="L8" s="327"/>
      <c r="N8"/>
      <c r="O8"/>
      <c r="P8"/>
      <c r="Q8"/>
      <c r="R8"/>
      <c r="S8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</row>
    <row r="9" spans="1:42" x14ac:dyDescent="0.2">
      <c r="B9" s="327"/>
      <c r="C9" s="354" t="s">
        <v>261</v>
      </c>
      <c r="D9" s="354" t="s">
        <v>256</v>
      </c>
      <c r="E9" s="362">
        <v>67.400000000000006</v>
      </c>
      <c r="F9" s="363">
        <v>2160</v>
      </c>
      <c r="G9" s="363">
        <v>5</v>
      </c>
      <c r="H9" s="363">
        <v>1759.3430000000001</v>
      </c>
      <c r="I9" s="363">
        <v>29650</v>
      </c>
      <c r="J9" s="376">
        <f>H9*F9</f>
        <v>3800180.8800000004</v>
      </c>
      <c r="K9" s="376">
        <f>SUM(I9:J9)</f>
        <v>3829830.8800000004</v>
      </c>
      <c r="L9" s="327"/>
      <c r="M9" s="327"/>
      <c r="N9"/>
      <c r="O9"/>
      <c r="P9"/>
      <c r="Q9"/>
      <c r="R9"/>
      <c r="S9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</row>
    <row r="10" spans="1:42" x14ac:dyDescent="0.2">
      <c r="B10" s="327"/>
      <c r="C10" s="354" t="s">
        <v>262</v>
      </c>
      <c r="D10" s="354" t="s">
        <v>256</v>
      </c>
      <c r="E10" s="362">
        <v>87.5</v>
      </c>
      <c r="F10" s="363">
        <v>1556</v>
      </c>
      <c r="G10" s="363">
        <v>0</v>
      </c>
      <c r="H10" s="363">
        <v>0</v>
      </c>
      <c r="I10" s="363">
        <v>0</v>
      </c>
      <c r="J10" s="376">
        <f t="shared" ref="J10:J12" si="0">H10*F10</f>
        <v>0</v>
      </c>
      <c r="K10" s="376">
        <f t="shared" ref="K10:K12" si="1">SUM(I10:J10)</f>
        <v>0</v>
      </c>
      <c r="L10" s="327"/>
      <c r="M10" s="327"/>
      <c r="N10"/>
      <c r="O10"/>
      <c r="P10"/>
      <c r="Q10"/>
      <c r="R10"/>
      <c r="S10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</row>
    <row r="11" spans="1:42" x14ac:dyDescent="0.2">
      <c r="B11" s="327"/>
      <c r="C11" s="354" t="s">
        <v>263</v>
      </c>
      <c r="D11" s="354" t="s">
        <v>256</v>
      </c>
      <c r="E11" s="362">
        <v>194.3</v>
      </c>
      <c r="F11" s="363">
        <v>1208</v>
      </c>
      <c r="G11" s="363">
        <v>0</v>
      </c>
      <c r="H11" s="363">
        <v>0</v>
      </c>
      <c r="I11" s="363">
        <v>0</v>
      </c>
      <c r="J11" s="376">
        <f t="shared" si="0"/>
        <v>0</v>
      </c>
      <c r="K11" s="376">
        <f t="shared" si="1"/>
        <v>0</v>
      </c>
      <c r="L11" s="327"/>
      <c r="M11" s="327"/>
      <c r="N11"/>
      <c r="O11"/>
      <c r="P11"/>
      <c r="Q11"/>
      <c r="R11"/>
      <c r="S11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</row>
    <row r="12" spans="1:42" x14ac:dyDescent="0.2">
      <c r="B12" s="327"/>
      <c r="C12" s="354" t="s">
        <v>264</v>
      </c>
      <c r="D12" s="354" t="s">
        <v>256</v>
      </c>
      <c r="E12" s="362">
        <v>276.2</v>
      </c>
      <c r="F12" s="363">
        <v>889</v>
      </c>
      <c r="G12" s="363">
        <v>0</v>
      </c>
      <c r="H12" s="363">
        <v>0</v>
      </c>
      <c r="I12" s="363">
        <v>0</v>
      </c>
      <c r="J12" s="376">
        <f t="shared" si="0"/>
        <v>0</v>
      </c>
      <c r="K12" s="376">
        <f t="shared" si="1"/>
        <v>0</v>
      </c>
      <c r="L12" s="327"/>
      <c r="M12" s="327"/>
      <c r="N12"/>
      <c r="O12"/>
      <c r="P12"/>
      <c r="Q12"/>
      <c r="R12"/>
      <c r="S12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</row>
    <row r="13" spans="1:42" x14ac:dyDescent="0.2">
      <c r="B13" s="327"/>
      <c r="C13" s="354" t="s">
        <v>265</v>
      </c>
      <c r="D13" s="354" t="s">
        <v>256</v>
      </c>
      <c r="E13" s="362">
        <v>67.400000000000006</v>
      </c>
      <c r="F13" s="363">
        <v>2160</v>
      </c>
      <c r="G13" s="363">
        <v>0</v>
      </c>
      <c r="H13" s="363">
        <v>0</v>
      </c>
      <c r="I13" s="363">
        <v>0</v>
      </c>
      <c r="J13" s="376"/>
      <c r="K13" s="376"/>
      <c r="L13" s="327"/>
      <c r="M13" s="327"/>
      <c r="N13"/>
      <c r="O13"/>
      <c r="P13"/>
      <c r="Q13"/>
      <c r="R13"/>
      <c r="S13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</row>
    <row r="14" spans="1:42" ht="15" x14ac:dyDescent="0.25">
      <c r="B14" s="327"/>
      <c r="C14" s="359" t="s">
        <v>141</v>
      </c>
      <c r="D14" s="359"/>
      <c r="E14" s="364"/>
      <c r="F14" s="364"/>
      <c r="G14" s="365">
        <f>SUM(G9:G13)</f>
        <v>5</v>
      </c>
      <c r="H14" s="365">
        <f>SUM(H9:H13)</f>
        <v>1759.3430000000001</v>
      </c>
      <c r="I14" s="366"/>
      <c r="J14" s="367"/>
      <c r="K14" s="367">
        <f>SUM(K9:K13)</f>
        <v>3829830.8800000004</v>
      </c>
      <c r="L14" s="327"/>
      <c r="M14" s="327"/>
      <c r="N14"/>
      <c r="O14"/>
      <c r="P14"/>
      <c r="Q14"/>
      <c r="R14"/>
      <c r="S14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</row>
    <row r="15" spans="1:42" x14ac:dyDescent="0.2">
      <c r="B15" s="327"/>
      <c r="C15" s="327"/>
      <c r="D15" s="327"/>
      <c r="E15" s="330"/>
      <c r="F15" s="330"/>
      <c r="G15" s="330"/>
      <c r="H15" s="368"/>
      <c r="I15" s="368"/>
      <c r="J15" s="368"/>
      <c r="K15" s="368"/>
      <c r="L15" s="327"/>
      <c r="M15" s="327"/>
      <c r="N15"/>
      <c r="O15"/>
      <c r="P15"/>
      <c r="Q15"/>
      <c r="R15"/>
      <c r="S15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</row>
    <row r="16" spans="1:42" x14ac:dyDescent="0.2">
      <c r="B16" s="327"/>
      <c r="C16" s="327"/>
      <c r="D16" s="327"/>
      <c r="E16" s="330"/>
      <c r="F16" s="330"/>
      <c r="G16" s="330"/>
      <c r="H16" s="368"/>
      <c r="I16" s="368"/>
      <c r="J16" s="368"/>
      <c r="K16" s="368"/>
      <c r="L16" s="327"/>
      <c r="M16" s="327"/>
      <c r="N16"/>
      <c r="O16"/>
      <c r="P16"/>
      <c r="Q16"/>
      <c r="R16"/>
      <c r="S16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</row>
    <row r="17" spans="2:42" x14ac:dyDescent="0.2">
      <c r="B17" s="327"/>
      <c r="C17" s="327"/>
      <c r="D17" s="327"/>
      <c r="E17" s="330"/>
      <c r="F17" s="330"/>
      <c r="G17" s="330"/>
      <c r="H17" s="368"/>
      <c r="I17" s="368"/>
      <c r="J17" s="368"/>
      <c r="K17" s="368"/>
      <c r="L17" s="327"/>
      <c r="M17" s="327"/>
      <c r="N17"/>
      <c r="O17"/>
      <c r="P17"/>
      <c r="Q17"/>
      <c r="R17"/>
      <c r="S1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</row>
    <row r="18" spans="2:42" x14ac:dyDescent="0.2">
      <c r="B18" s="328"/>
      <c r="C18" s="354"/>
      <c r="D18" s="354" t="s">
        <v>256</v>
      </c>
      <c r="E18" s="369"/>
      <c r="F18" s="369"/>
      <c r="G18" s="369"/>
      <c r="H18" s="370"/>
      <c r="I18" s="370"/>
      <c r="J18" s="370"/>
      <c r="K18" s="370"/>
      <c r="L18" s="327"/>
      <c r="M18" s="327"/>
      <c r="N18"/>
      <c r="O18"/>
      <c r="P18"/>
      <c r="Q18"/>
      <c r="R18"/>
      <c r="S18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</row>
    <row r="19" spans="2:42" x14ac:dyDescent="0.2">
      <c r="B19" s="328" t="s">
        <v>266</v>
      </c>
      <c r="C19" s="358"/>
      <c r="D19" s="358" t="s">
        <v>256</v>
      </c>
      <c r="E19" s="361" t="s">
        <v>325</v>
      </c>
      <c r="F19" s="361" t="s">
        <v>326</v>
      </c>
      <c r="G19" s="361" t="s">
        <v>257</v>
      </c>
      <c r="H19" s="361" t="s">
        <v>258</v>
      </c>
      <c r="I19" s="361" t="s">
        <v>259</v>
      </c>
      <c r="J19" s="361" t="s">
        <v>260</v>
      </c>
      <c r="K19" s="361" t="s">
        <v>323</v>
      </c>
      <c r="L19" s="327"/>
      <c r="M19" s="327"/>
      <c r="N19"/>
      <c r="O19"/>
      <c r="P19"/>
      <c r="Q19"/>
      <c r="R19"/>
      <c r="S19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</row>
    <row r="20" spans="2:42" x14ac:dyDescent="0.2">
      <c r="B20" s="327" t="s">
        <v>256</v>
      </c>
      <c r="C20" s="354" t="s">
        <v>261</v>
      </c>
      <c r="D20" s="354" t="s">
        <v>256</v>
      </c>
      <c r="E20" s="362">
        <v>67.400000000000006</v>
      </c>
      <c r="F20" s="363">
        <v>2160</v>
      </c>
      <c r="G20" s="363">
        <v>10</v>
      </c>
      <c r="H20" s="363">
        <v>3352.1929999999998</v>
      </c>
      <c r="I20" s="363">
        <v>59300</v>
      </c>
      <c r="J20" s="376">
        <f>H20*F20</f>
        <v>7240736.8799999999</v>
      </c>
      <c r="K20" s="376">
        <f>SUM(I20:J20)</f>
        <v>7300036.8799999999</v>
      </c>
      <c r="L20" s="327"/>
      <c r="M20" s="327"/>
      <c r="N20"/>
      <c r="O20"/>
      <c r="P20"/>
      <c r="Q20"/>
      <c r="R20"/>
      <c r="S20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</row>
    <row r="21" spans="2:42" x14ac:dyDescent="0.2">
      <c r="B21" s="327" t="s">
        <v>256</v>
      </c>
      <c r="C21" s="354" t="s">
        <v>262</v>
      </c>
      <c r="D21" s="354" t="s">
        <v>256</v>
      </c>
      <c r="E21" s="362">
        <v>87.5</v>
      </c>
      <c r="F21" s="363">
        <v>1556</v>
      </c>
      <c r="G21" s="363">
        <v>0</v>
      </c>
      <c r="H21" s="363">
        <v>0</v>
      </c>
      <c r="I21" s="363">
        <v>0</v>
      </c>
      <c r="J21" s="376">
        <f t="shared" ref="J21:J23" si="2">H21*F21</f>
        <v>0</v>
      </c>
      <c r="K21" s="376">
        <f t="shared" ref="K21:K23" si="3">SUM(I21:J21)</f>
        <v>0</v>
      </c>
      <c r="L21" s="327"/>
      <c r="M21" s="327"/>
      <c r="N21"/>
      <c r="O21"/>
      <c r="P21"/>
      <c r="Q21"/>
      <c r="R21"/>
      <c r="S21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</row>
    <row r="22" spans="2:42" x14ac:dyDescent="0.2">
      <c r="B22" s="327" t="s">
        <v>256</v>
      </c>
      <c r="C22" s="354" t="s">
        <v>263</v>
      </c>
      <c r="D22" s="354" t="s">
        <v>256</v>
      </c>
      <c r="E22" s="362">
        <v>194.3</v>
      </c>
      <c r="F22" s="363">
        <v>1208</v>
      </c>
      <c r="G22" s="363">
        <v>0</v>
      </c>
      <c r="H22" s="363">
        <v>0</v>
      </c>
      <c r="I22" s="363">
        <v>0</v>
      </c>
      <c r="J22" s="376">
        <f t="shared" si="2"/>
        <v>0</v>
      </c>
      <c r="K22" s="376">
        <f t="shared" si="3"/>
        <v>0</v>
      </c>
      <c r="L22" s="327"/>
      <c r="M22" s="327"/>
      <c r="N22"/>
      <c r="O22"/>
      <c r="P22"/>
      <c r="Q22"/>
      <c r="R22"/>
      <c r="S22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</row>
    <row r="23" spans="2:42" x14ac:dyDescent="0.2">
      <c r="B23" s="327" t="s">
        <v>256</v>
      </c>
      <c r="C23" s="354" t="s">
        <v>264</v>
      </c>
      <c r="D23" s="354" t="s">
        <v>256</v>
      </c>
      <c r="E23" s="362">
        <v>276.2</v>
      </c>
      <c r="F23" s="363">
        <v>889</v>
      </c>
      <c r="G23" s="363">
        <v>0</v>
      </c>
      <c r="H23" s="363">
        <v>0</v>
      </c>
      <c r="I23" s="363">
        <v>0</v>
      </c>
      <c r="J23" s="376">
        <f t="shared" si="2"/>
        <v>0</v>
      </c>
      <c r="K23" s="376">
        <f t="shared" si="3"/>
        <v>0</v>
      </c>
      <c r="L23" s="327"/>
      <c r="M23" s="327"/>
      <c r="N23"/>
      <c r="O23"/>
      <c r="P23"/>
      <c r="Q23"/>
      <c r="R23"/>
      <c r="S23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</row>
    <row r="24" spans="2:42" x14ac:dyDescent="0.2">
      <c r="B24" s="327" t="s">
        <v>256</v>
      </c>
      <c r="C24" s="354" t="s">
        <v>265</v>
      </c>
      <c r="D24" s="354" t="s">
        <v>256</v>
      </c>
      <c r="E24" s="362">
        <v>67.400000000000006</v>
      </c>
      <c r="F24" s="363">
        <v>2160</v>
      </c>
      <c r="G24" s="363">
        <v>0</v>
      </c>
      <c r="H24" s="363">
        <v>0</v>
      </c>
      <c r="I24" s="363">
        <v>0</v>
      </c>
      <c r="J24" s="376"/>
      <c r="K24" s="376"/>
      <c r="L24" s="327"/>
      <c r="M24" s="327"/>
      <c r="N24"/>
      <c r="O24"/>
      <c r="P24"/>
      <c r="Q24"/>
      <c r="R24"/>
      <c r="S24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</row>
    <row r="25" spans="2:42" ht="15" x14ac:dyDescent="0.25">
      <c r="B25" s="327" t="s">
        <v>256</v>
      </c>
      <c r="C25" s="359" t="s">
        <v>141</v>
      </c>
      <c r="D25" s="359"/>
      <c r="E25" s="364"/>
      <c r="F25" s="364"/>
      <c r="G25" s="365">
        <f>SUM(G20:G24)</f>
        <v>10</v>
      </c>
      <c r="H25" s="365">
        <f>SUM(H20:H24)</f>
        <v>3352.1929999999998</v>
      </c>
      <c r="I25" s="366"/>
      <c r="J25" s="367"/>
      <c r="K25" s="367">
        <f>SUM(K20:K24)</f>
        <v>7300036.8799999999</v>
      </c>
      <c r="L25" s="327"/>
      <c r="M25" s="327"/>
      <c r="N25"/>
      <c r="O25"/>
      <c r="P25"/>
      <c r="Q25"/>
      <c r="R25"/>
      <c r="S25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</row>
    <row r="26" spans="2:42" x14ac:dyDescent="0.2">
      <c r="B26" s="357" t="s">
        <v>256</v>
      </c>
      <c r="C26" s="327"/>
      <c r="D26" s="327"/>
      <c r="E26" s="330"/>
      <c r="F26" s="330"/>
      <c r="G26" s="330"/>
      <c r="H26" s="368"/>
      <c r="I26" s="368"/>
      <c r="J26" s="368"/>
      <c r="K26" s="368"/>
      <c r="L26" s="327"/>
      <c r="M26" s="327"/>
      <c r="N26"/>
      <c r="O26"/>
      <c r="P26"/>
      <c r="Q26"/>
      <c r="R26"/>
      <c r="S26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</row>
    <row r="27" spans="2:42" x14ac:dyDescent="0.2">
      <c r="B27" s="357" t="s">
        <v>256</v>
      </c>
      <c r="C27" s="327"/>
      <c r="D27" s="327"/>
      <c r="E27" s="330"/>
      <c r="F27" s="330"/>
      <c r="G27" s="330"/>
      <c r="H27" s="368"/>
      <c r="I27" s="368"/>
      <c r="J27" s="368"/>
      <c r="K27" s="368"/>
      <c r="L27" s="327"/>
      <c r="M27" s="327"/>
      <c r="N27"/>
      <c r="O27"/>
      <c r="P27"/>
      <c r="Q27"/>
      <c r="R27"/>
      <c r="S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</row>
    <row r="28" spans="2:42" x14ac:dyDescent="0.2">
      <c r="B28" s="327"/>
      <c r="C28" s="327"/>
      <c r="D28" s="327"/>
      <c r="E28" s="330"/>
      <c r="F28" s="330"/>
      <c r="G28" s="330"/>
      <c r="H28" s="368"/>
      <c r="I28" s="368"/>
      <c r="J28" s="368"/>
      <c r="K28" s="368"/>
      <c r="L28" s="327"/>
      <c r="M28" s="327"/>
      <c r="N28"/>
      <c r="O28"/>
      <c r="P28"/>
      <c r="Q28"/>
      <c r="R28"/>
      <c r="S28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</row>
    <row r="29" spans="2:42" x14ac:dyDescent="0.2">
      <c r="B29" s="328"/>
      <c r="C29" s="354"/>
      <c r="D29" s="354" t="s">
        <v>256</v>
      </c>
      <c r="E29" s="369"/>
      <c r="F29" s="369"/>
      <c r="G29" s="369"/>
      <c r="H29" s="370"/>
      <c r="I29" s="370"/>
      <c r="J29" s="370"/>
      <c r="K29" s="370"/>
      <c r="L29" s="327"/>
      <c r="M29" s="327"/>
      <c r="N29"/>
      <c r="O29"/>
      <c r="P29"/>
      <c r="Q29"/>
      <c r="R29"/>
      <c r="S29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</row>
    <row r="30" spans="2:42" x14ac:dyDescent="0.2">
      <c r="B30" s="328" t="s">
        <v>267</v>
      </c>
      <c r="C30" s="358"/>
      <c r="D30" s="358" t="s">
        <v>256</v>
      </c>
      <c r="E30" s="361" t="s">
        <v>325</v>
      </c>
      <c r="F30" s="361" t="s">
        <v>326</v>
      </c>
      <c r="G30" s="361" t="s">
        <v>257</v>
      </c>
      <c r="H30" s="361" t="s">
        <v>258</v>
      </c>
      <c r="I30" s="361" t="s">
        <v>259</v>
      </c>
      <c r="J30" s="361" t="s">
        <v>260</v>
      </c>
      <c r="K30" s="361" t="s">
        <v>323</v>
      </c>
      <c r="L30" s="327"/>
      <c r="M30" s="327"/>
      <c r="N30"/>
      <c r="O30"/>
      <c r="P30"/>
      <c r="Q30"/>
      <c r="R30"/>
      <c r="S30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</row>
    <row r="31" spans="2:42" x14ac:dyDescent="0.2">
      <c r="B31" s="327"/>
      <c r="C31" s="354" t="s">
        <v>261</v>
      </c>
      <c r="D31" s="354" t="s">
        <v>256</v>
      </c>
      <c r="E31" s="362">
        <v>67.400000000000006</v>
      </c>
      <c r="F31" s="363">
        <v>2160</v>
      </c>
      <c r="G31" s="363">
        <v>24</v>
      </c>
      <c r="H31" s="363">
        <v>6351.1760000000004</v>
      </c>
      <c r="I31" s="363">
        <v>118600</v>
      </c>
      <c r="J31" s="376">
        <f>H31*F31</f>
        <v>13718540.16</v>
      </c>
      <c r="K31" s="376">
        <f>SUM(I31:J31)</f>
        <v>13837140.16</v>
      </c>
      <c r="L31" s="327"/>
      <c r="M31" s="327"/>
      <c r="N31"/>
      <c r="O31"/>
      <c r="P31"/>
      <c r="Q31"/>
      <c r="R31"/>
      <c r="S31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</row>
    <row r="32" spans="2:42" x14ac:dyDescent="0.2">
      <c r="B32" s="327"/>
      <c r="C32" s="354" t="s">
        <v>262</v>
      </c>
      <c r="D32" s="354" t="s">
        <v>256</v>
      </c>
      <c r="E32" s="362">
        <v>87.5</v>
      </c>
      <c r="F32" s="363">
        <v>1556</v>
      </c>
      <c r="G32" s="363">
        <v>2</v>
      </c>
      <c r="H32" s="363">
        <v>1018.226</v>
      </c>
      <c r="I32" s="363">
        <v>9740</v>
      </c>
      <c r="J32" s="376">
        <f t="shared" ref="J32:J34" si="4">H32*F32</f>
        <v>1584359.656</v>
      </c>
      <c r="K32" s="376">
        <f t="shared" ref="K32:K34" si="5">SUM(I32:J32)</f>
        <v>1594099.656</v>
      </c>
      <c r="L32" s="327"/>
      <c r="M32" s="327"/>
      <c r="N32"/>
      <c r="O32"/>
      <c r="P32"/>
      <c r="Q32"/>
      <c r="R32"/>
      <c r="S32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</row>
    <row r="33" spans="2:45" x14ac:dyDescent="0.2">
      <c r="B33" s="327"/>
      <c r="C33" s="354" t="s">
        <v>263</v>
      </c>
      <c r="D33" s="354" t="s">
        <v>256</v>
      </c>
      <c r="E33" s="362">
        <v>194.3</v>
      </c>
      <c r="F33" s="363">
        <v>1208</v>
      </c>
      <c r="G33" s="363">
        <v>0</v>
      </c>
      <c r="H33" s="363">
        <v>0</v>
      </c>
      <c r="I33" s="363">
        <v>0</v>
      </c>
      <c r="J33" s="376">
        <f t="shared" si="4"/>
        <v>0</v>
      </c>
      <c r="K33" s="376">
        <f t="shared" si="5"/>
        <v>0</v>
      </c>
      <c r="L33" s="327"/>
      <c r="M33" s="327"/>
      <c r="N33"/>
      <c r="O33"/>
      <c r="P33"/>
      <c r="Q33"/>
      <c r="R33"/>
      <c r="S33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</row>
    <row r="34" spans="2:45" x14ac:dyDescent="0.2">
      <c r="B34" s="327"/>
      <c r="C34" s="354" t="s">
        <v>264</v>
      </c>
      <c r="D34" s="354" t="s">
        <v>256</v>
      </c>
      <c r="E34" s="362">
        <v>276.2</v>
      </c>
      <c r="F34" s="363">
        <v>889</v>
      </c>
      <c r="G34" s="363">
        <v>0</v>
      </c>
      <c r="H34" s="363">
        <v>0</v>
      </c>
      <c r="I34" s="363">
        <v>0</v>
      </c>
      <c r="J34" s="376">
        <f t="shared" si="4"/>
        <v>0</v>
      </c>
      <c r="K34" s="376">
        <f t="shared" si="5"/>
        <v>0</v>
      </c>
      <c r="L34" s="327"/>
      <c r="M34" s="327"/>
      <c r="N34"/>
      <c r="O34"/>
      <c r="P34"/>
      <c r="Q34"/>
      <c r="R34"/>
      <c r="S34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</row>
    <row r="35" spans="2:45" x14ac:dyDescent="0.2">
      <c r="B35" s="327"/>
      <c r="C35" s="354" t="s">
        <v>265</v>
      </c>
      <c r="D35" s="354" t="s">
        <v>256</v>
      </c>
      <c r="E35" s="362">
        <v>67.400000000000006</v>
      </c>
      <c r="F35" s="363">
        <v>2160</v>
      </c>
      <c r="G35" s="363">
        <v>4</v>
      </c>
      <c r="H35" s="363">
        <v>1696.41</v>
      </c>
      <c r="I35" s="363">
        <v>19480</v>
      </c>
      <c r="J35" s="376"/>
      <c r="K35" s="376"/>
      <c r="L35" s="327"/>
      <c r="M35" s="327"/>
      <c r="N35"/>
      <c r="O35"/>
      <c r="P35"/>
      <c r="Q35"/>
      <c r="R35"/>
      <c r="S35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</row>
    <row r="36" spans="2:45" ht="15" x14ac:dyDescent="0.25">
      <c r="B36" s="327"/>
      <c r="C36" s="359" t="s">
        <v>141</v>
      </c>
      <c r="D36" s="359"/>
      <c r="E36" s="364"/>
      <c r="F36" s="364"/>
      <c r="G36" s="365">
        <f>SUM(G31:G35)</f>
        <v>30</v>
      </c>
      <c r="H36" s="365">
        <f>SUM(H31:H35)</f>
        <v>9065.8119999999999</v>
      </c>
      <c r="I36" s="366"/>
      <c r="J36" s="367"/>
      <c r="K36" s="367">
        <f>SUM(K31:K35)</f>
        <v>15431239.816</v>
      </c>
      <c r="L36" s="327"/>
      <c r="M36" s="327"/>
      <c r="N36"/>
      <c r="O36"/>
      <c r="P36"/>
      <c r="Q36"/>
      <c r="R36"/>
      <c r="S36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</row>
    <row r="37" spans="2:45" x14ac:dyDescent="0.2">
      <c r="B37" s="327"/>
      <c r="C37" s="327"/>
      <c r="D37" s="327"/>
      <c r="E37" s="330"/>
      <c r="F37" s="330"/>
      <c r="G37" s="330"/>
      <c r="H37" s="368"/>
      <c r="I37" s="368"/>
      <c r="J37" s="368"/>
      <c r="K37" s="368"/>
      <c r="L37" s="327"/>
      <c r="M37" s="327"/>
      <c r="N37"/>
      <c r="O37"/>
      <c r="P37"/>
      <c r="Q37"/>
      <c r="R37"/>
      <c r="S3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</row>
    <row r="38" spans="2:45" x14ac:dyDescent="0.2"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/>
      <c r="O38"/>
      <c r="P38"/>
      <c r="Q38"/>
      <c r="R38"/>
      <c r="S38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</row>
    <row r="39" spans="2:45" x14ac:dyDescent="0.2"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/>
      <c r="P39"/>
      <c r="Q39"/>
      <c r="R39"/>
      <c r="S39"/>
      <c r="T39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</row>
    <row r="40" spans="2:45" x14ac:dyDescent="0.2"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/>
      <c r="P40"/>
      <c r="Q40"/>
      <c r="R40"/>
      <c r="S40"/>
      <c r="T40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</row>
    <row r="41" spans="2:45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/>
      <c r="P41"/>
      <c r="Q41"/>
      <c r="R41"/>
      <c r="S41"/>
      <c r="T41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</row>
    <row r="42" spans="2:45" ht="15" x14ac:dyDescent="0.25">
      <c r="B42" s="358" t="s">
        <v>327</v>
      </c>
      <c r="C42" s="358"/>
      <c r="D42" s="358"/>
      <c r="E42" s="360" t="s">
        <v>19</v>
      </c>
      <c r="F42" s="360" t="s">
        <v>21</v>
      </c>
      <c r="G42" s="360" t="s">
        <v>20</v>
      </c>
      <c r="H42" s="360" t="s">
        <v>22</v>
      </c>
      <c r="I42" s="360" t="s">
        <v>93</v>
      </c>
      <c r="J42" s="327"/>
      <c r="K42" s="327"/>
      <c r="L42" s="327"/>
      <c r="M42" s="327"/>
      <c r="N42" s="327"/>
      <c r="O42"/>
      <c r="P42"/>
      <c r="Q42"/>
      <c r="R42"/>
      <c r="S42"/>
      <c r="T42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</row>
    <row r="43" spans="2:45" x14ac:dyDescent="0.2">
      <c r="B43" s="327" t="s">
        <v>131</v>
      </c>
      <c r="C43" s="328" t="s">
        <v>245</v>
      </c>
      <c r="D43" s="327"/>
      <c r="E43" s="373">
        <f>$K14/5</f>
        <v>765966.17600000009</v>
      </c>
      <c r="F43" s="373">
        <f>$K14/5</f>
        <v>765966.17600000009</v>
      </c>
      <c r="G43" s="373">
        <f>$K14/5</f>
        <v>765966.17600000009</v>
      </c>
      <c r="H43" s="373">
        <f>$K14/5</f>
        <v>765966.17600000009</v>
      </c>
      <c r="I43" s="373">
        <f>$K14/5</f>
        <v>765966.17600000009</v>
      </c>
      <c r="J43" s="327"/>
      <c r="K43" s="327"/>
      <c r="L43" s="327"/>
      <c r="M43" s="327"/>
      <c r="N43" s="327"/>
      <c r="O43"/>
      <c r="P43"/>
      <c r="Q43"/>
      <c r="R43"/>
      <c r="S43"/>
      <c r="T43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</row>
    <row r="44" spans="2:45" x14ac:dyDescent="0.2"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/>
      <c r="P44"/>
      <c r="Q44"/>
      <c r="R44"/>
      <c r="S44"/>
      <c r="T44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</row>
    <row r="45" spans="2:45" x14ac:dyDescent="0.2">
      <c r="B45" s="327" t="s">
        <v>132</v>
      </c>
      <c r="C45" s="328" t="s">
        <v>246</v>
      </c>
      <c r="D45" s="327"/>
      <c r="E45" s="373">
        <f>$K$25/5</f>
        <v>1460007.3759999999</v>
      </c>
      <c r="F45" s="373">
        <f t="shared" ref="F45:I45" si="6">$K$25/5</f>
        <v>1460007.3759999999</v>
      </c>
      <c r="G45" s="373">
        <f t="shared" si="6"/>
        <v>1460007.3759999999</v>
      </c>
      <c r="H45" s="373">
        <f t="shared" si="6"/>
        <v>1460007.3759999999</v>
      </c>
      <c r="I45" s="373">
        <f t="shared" si="6"/>
        <v>1460007.3759999999</v>
      </c>
      <c r="J45" s="327"/>
      <c r="K45" s="327"/>
      <c r="L45" s="327"/>
      <c r="M45" s="327"/>
      <c r="N45" s="327"/>
      <c r="O45"/>
      <c r="P45"/>
      <c r="Q45"/>
      <c r="R45"/>
      <c r="S45"/>
      <c r="T45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</row>
    <row r="46" spans="2:45" ht="15" x14ac:dyDescent="0.25">
      <c r="B46" s="327"/>
      <c r="C46" s="327"/>
      <c r="D46" s="327"/>
      <c r="E46" s="371"/>
      <c r="F46" s="371"/>
      <c r="G46" s="371"/>
      <c r="H46" s="371"/>
      <c r="I46" s="371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</row>
    <row r="47" spans="2:45" x14ac:dyDescent="0.2">
      <c r="B47" s="327" t="s">
        <v>133</v>
      </c>
      <c r="C47" s="328" t="s">
        <v>247</v>
      </c>
      <c r="D47" s="328"/>
      <c r="E47" s="328"/>
      <c r="F47" s="328"/>
      <c r="G47" s="328"/>
      <c r="H47" s="328"/>
      <c r="I47" s="328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</row>
    <row r="48" spans="2:45" x14ac:dyDescent="0.2">
      <c r="B48" s="327" t="s">
        <v>269</v>
      </c>
      <c r="C48" s="327"/>
      <c r="D48" s="372">
        <v>0.1</v>
      </c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</row>
    <row r="49" spans="1:45" x14ac:dyDescent="0.2"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</row>
    <row r="50" spans="1:45" x14ac:dyDescent="0.2">
      <c r="B50" s="327" t="s">
        <v>252</v>
      </c>
      <c r="D50" s="327"/>
      <c r="E50" s="32">
        <v>1000000</v>
      </c>
      <c r="F50" s="32">
        <v>1000000</v>
      </c>
      <c r="G50" s="32">
        <v>1000000</v>
      </c>
      <c r="H50" s="32">
        <v>1000000</v>
      </c>
      <c r="I50" s="32">
        <v>1000000</v>
      </c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</row>
    <row r="51" spans="1:45" x14ac:dyDescent="0.2">
      <c r="B51" s="327" t="s">
        <v>251</v>
      </c>
      <c r="C51" s="327"/>
      <c r="D51" s="327"/>
      <c r="E51" s="373"/>
      <c r="F51" s="373">
        <f>$D$48*$K$36/4</f>
        <v>385780.99540000001</v>
      </c>
      <c r="G51" s="373">
        <f>$D$48*$K$36/4</f>
        <v>385780.99540000001</v>
      </c>
      <c r="H51" s="373">
        <f>$D$48*$K$36/4</f>
        <v>385780.99540000001</v>
      </c>
      <c r="I51" s="373">
        <f>$D$48*$K$36/4</f>
        <v>385780.99540000001</v>
      </c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</row>
    <row r="52" spans="1:45" x14ac:dyDescent="0.2"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</row>
    <row r="53" spans="1:45" x14ac:dyDescent="0.2">
      <c r="B53" s="327" t="s">
        <v>155</v>
      </c>
      <c r="C53" s="328" t="s">
        <v>248</v>
      </c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</row>
    <row r="54" spans="1:45" x14ac:dyDescent="0.2">
      <c r="B54" s="327" t="s">
        <v>249</v>
      </c>
      <c r="C54" s="327"/>
      <c r="D54" s="327"/>
      <c r="E54" s="373">
        <f>E43</f>
        <v>765966.17600000009</v>
      </c>
      <c r="F54" s="373">
        <f t="shared" ref="F54:I54" si="7">F43</f>
        <v>765966.17600000009</v>
      </c>
      <c r="G54" s="373">
        <f t="shared" si="7"/>
        <v>765966.17600000009</v>
      </c>
      <c r="H54" s="373">
        <f t="shared" si="7"/>
        <v>765966.17600000009</v>
      </c>
      <c r="I54" s="373">
        <f t="shared" si="7"/>
        <v>765966.17600000009</v>
      </c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</row>
    <row r="55" spans="1:45" x14ac:dyDescent="0.2">
      <c r="B55" s="327" t="s">
        <v>250</v>
      </c>
      <c r="C55" s="327"/>
      <c r="D55" s="327"/>
      <c r="E55" s="32">
        <v>333333.33333333331</v>
      </c>
      <c r="F55" s="32">
        <v>333333.33333333331</v>
      </c>
      <c r="G55" s="32">
        <v>333333.33333333331</v>
      </c>
      <c r="H55" s="32">
        <v>333333.33333333331</v>
      </c>
      <c r="I55" s="32">
        <v>333333.33333333331</v>
      </c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</row>
    <row r="56" spans="1:45" x14ac:dyDescent="0.2">
      <c r="B56" s="327" t="s">
        <v>251</v>
      </c>
      <c r="C56" s="327"/>
      <c r="D56" s="327"/>
      <c r="E56" s="32">
        <v>0</v>
      </c>
      <c r="F56" s="32">
        <v>0</v>
      </c>
      <c r="G56" s="32">
        <v>0</v>
      </c>
      <c r="H56" s="32">
        <v>0</v>
      </c>
      <c r="I56" s="32">
        <v>346490.60000000003</v>
      </c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</row>
    <row r="57" spans="1:45" x14ac:dyDescent="0.2"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</row>
    <row r="58" spans="1:45" x14ac:dyDescent="0.2"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</row>
    <row r="59" spans="1:45" x14ac:dyDescent="0.2"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</row>
    <row r="60" spans="1:45" x14ac:dyDescent="0.2"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</row>
    <row r="61" spans="1:45" x14ac:dyDescent="0.2"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</row>
    <row r="62" spans="1:45" x14ac:dyDescent="0.2">
      <c r="A62"/>
      <c r="B62"/>
      <c r="C62"/>
      <c r="D62"/>
      <c r="E62"/>
      <c r="F62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</row>
    <row r="63" spans="1:45" x14ac:dyDescent="0.2"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</row>
    <row r="64" spans="1:45" x14ac:dyDescent="0.2"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</row>
    <row r="65" spans="2:43" x14ac:dyDescent="0.2"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</row>
    <row r="66" spans="2:43" x14ac:dyDescent="0.2"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</row>
    <row r="67" spans="2:43" x14ac:dyDescent="0.2"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</row>
    <row r="68" spans="2:43" x14ac:dyDescent="0.2"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</row>
    <row r="69" spans="2:43" x14ac:dyDescent="0.2"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</row>
    <row r="70" spans="2:43" x14ac:dyDescent="0.2"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</row>
    <row r="71" spans="2:43" x14ac:dyDescent="0.2"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</row>
    <row r="72" spans="2:43" x14ac:dyDescent="0.2"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</row>
    <row r="73" spans="2:43" x14ac:dyDescent="0.2"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</row>
    <row r="74" spans="2:43" x14ac:dyDescent="0.2">
      <c r="B74" s="327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</row>
    <row r="75" spans="2:43" x14ac:dyDescent="0.2"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</row>
    <row r="76" spans="2:43" x14ac:dyDescent="0.2"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</row>
    <row r="77" spans="2:43" x14ac:dyDescent="0.2"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</row>
    <row r="78" spans="2:43" x14ac:dyDescent="0.2"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</row>
    <row r="79" spans="2:43" x14ac:dyDescent="0.2"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</row>
    <row r="80" spans="2:43" x14ac:dyDescent="0.2"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</row>
    <row r="81" spans="9:43" x14ac:dyDescent="0.2"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</row>
    <row r="82" spans="9:43" x14ac:dyDescent="0.2"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</row>
    <row r="83" spans="9:43" x14ac:dyDescent="0.2"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</row>
    <row r="84" spans="9:43" x14ac:dyDescent="0.2"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</row>
    <row r="85" spans="9:43" x14ac:dyDescent="0.2"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</row>
    <row r="86" spans="9:43" x14ac:dyDescent="0.2"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</row>
    <row r="87" spans="9:43" x14ac:dyDescent="0.2"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7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</row>
    <row r="88" spans="9:43" x14ac:dyDescent="0.2">
      <c r="I88" s="327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7"/>
      <c r="AF88" s="327"/>
      <c r="AG88" s="327"/>
      <c r="AH88" s="327"/>
      <c r="AI88" s="327"/>
      <c r="AJ88" s="327"/>
      <c r="AK88" s="327"/>
      <c r="AL88" s="327"/>
      <c r="AM88" s="327"/>
      <c r="AN88" s="327"/>
      <c r="AO88" s="327"/>
      <c r="AP88" s="327"/>
      <c r="AQ88" s="327"/>
    </row>
    <row r="89" spans="9:43" x14ac:dyDescent="0.2"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</row>
    <row r="90" spans="9:43" x14ac:dyDescent="0.2"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</row>
    <row r="91" spans="9:43" x14ac:dyDescent="0.2"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CF76-40D9-4327-B336-D6C17BB109E2}">
  <sheetPr codeName="Sheet10">
    <tabColor rgb="FFFFFF00"/>
  </sheetPr>
  <dimension ref="A1:BI229"/>
  <sheetViews>
    <sheetView showGridLines="0" zoomScale="90" zoomScaleNormal="90" workbookViewId="0">
      <pane xSplit="4" ySplit="5" topLeftCell="E6" activePane="bottomRight" state="frozen"/>
      <selection activeCell="G6" sqref="G6"/>
      <selection pane="topRight" activeCell="G6" sqref="G6"/>
      <selection pane="bottomLeft" activeCell="G6" sqref="G6"/>
      <selection pane="bottomRight" activeCell="F30" sqref="F30"/>
    </sheetView>
  </sheetViews>
  <sheetFormatPr defaultColWidth="8" defaultRowHeight="12.75" outlineLevelRow="1" x14ac:dyDescent="0.2"/>
  <cols>
    <col min="1" max="1" width="2.625" style="6" customWidth="1"/>
    <col min="2" max="2" width="5.25" style="6" customWidth="1"/>
    <col min="3" max="3" width="10.75" style="6" customWidth="1"/>
    <col min="4" max="4" width="7.625" style="6" customWidth="1"/>
    <col min="5" max="5" width="16.125" style="6" customWidth="1"/>
    <col min="6" max="6" width="14.25" style="6" customWidth="1"/>
    <col min="7" max="7" width="7.625" style="6" customWidth="1"/>
    <col min="8" max="31" width="10" style="6" customWidth="1"/>
    <col min="32" max="32" width="11.5" style="6" bestFit="1" customWidth="1"/>
    <col min="33" max="16384" width="8" style="6"/>
  </cols>
  <sheetData>
    <row r="1" spans="1:61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61" ht="18.75" x14ac:dyDescent="0.3">
      <c r="A2" s="56" t="str">
        <f>proj</f>
        <v>HV cable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61" ht="18.75" x14ac:dyDescent="0.3">
      <c r="A3" s="5" t="s">
        <v>270</v>
      </c>
      <c r="B3" s="34"/>
      <c r="C3" s="5"/>
      <c r="D3" s="5"/>
      <c r="E3" s="5"/>
      <c r="F3" s="5"/>
      <c r="G3" s="5"/>
    </row>
    <row r="5" spans="1:61" ht="15" x14ac:dyDescent="0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</row>
    <row r="6" spans="1:61" x14ac:dyDescent="0.2">
      <c r="A6" s="327"/>
      <c r="B6" s="327"/>
      <c r="C6" s="327"/>
      <c r="D6" s="328"/>
      <c r="E6" s="328"/>
      <c r="F6" s="328"/>
      <c r="G6" s="328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</row>
    <row r="7" spans="1:61" x14ac:dyDescent="0.2">
      <c r="A7" s="327"/>
      <c r="B7" s="328" t="s">
        <v>272</v>
      </c>
      <c r="D7" s="328"/>
      <c r="E7" s="328"/>
      <c r="F7" s="328"/>
      <c r="G7" s="328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</row>
    <row r="9" spans="1:61" x14ac:dyDescent="0.2">
      <c r="A9" s="327"/>
      <c r="B9" s="327"/>
      <c r="C9" s="327"/>
      <c r="D9" s="328"/>
      <c r="E9" s="328"/>
      <c r="F9" s="328"/>
      <c r="G9" s="328"/>
      <c r="H9" s="330" t="s">
        <v>144</v>
      </c>
      <c r="I9" s="345" t="s">
        <v>131</v>
      </c>
      <c r="J9" s="345" t="s">
        <v>132</v>
      </c>
      <c r="K9" s="345" t="s">
        <v>133</v>
      </c>
      <c r="L9" s="345" t="s">
        <v>155</v>
      </c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</row>
    <row r="10" spans="1:61" x14ac:dyDescent="0.2">
      <c r="B10" s="30" t="s">
        <v>315</v>
      </c>
      <c r="C10" s="30"/>
      <c r="D10" s="30"/>
      <c r="E10" s="30"/>
      <c r="F10" s="30"/>
      <c r="G10" s="30"/>
      <c r="H10" s="346" t="s">
        <v>271</v>
      </c>
      <c r="I10" s="346" t="s">
        <v>311</v>
      </c>
      <c r="J10" s="346" t="s">
        <v>312</v>
      </c>
      <c r="K10" s="346" t="s">
        <v>313</v>
      </c>
      <c r="L10" s="346" t="s">
        <v>314</v>
      </c>
    </row>
    <row r="11" spans="1:61" x14ac:dyDescent="0.2">
      <c r="C11" s="6" t="s">
        <v>298</v>
      </c>
      <c r="H11" s="329">
        <v>14958.721860065398</v>
      </c>
      <c r="I11" s="329">
        <v>1670</v>
      </c>
      <c r="J11" s="329">
        <v>1670</v>
      </c>
      <c r="K11" s="329">
        <v>2477.1666666666665</v>
      </c>
      <c r="L11" s="329">
        <v>2045.75</v>
      </c>
    </row>
    <row r="12" spans="1:61" x14ac:dyDescent="0.2">
      <c r="C12" s="6" t="s">
        <v>116</v>
      </c>
      <c r="H12" s="329">
        <v>80695.967133398721</v>
      </c>
      <c r="I12" s="329">
        <v>550666.66666666674</v>
      </c>
      <c r="J12" s="329">
        <v>555333.33333333337</v>
      </c>
      <c r="K12" s="329">
        <v>517844.44444444444</v>
      </c>
      <c r="L12" s="329">
        <v>551911.11111111124</v>
      </c>
    </row>
    <row r="13" spans="1:61" x14ac:dyDescent="0.2">
      <c r="C13" s="6" t="s">
        <v>299</v>
      </c>
      <c r="H13" s="329">
        <v>35022.626626685204</v>
      </c>
      <c r="I13" s="329">
        <v>33489.526800000007</v>
      </c>
      <c r="J13" s="329">
        <v>33489.5268</v>
      </c>
      <c r="K13" s="329">
        <v>33489.5268</v>
      </c>
      <c r="L13" s="329">
        <v>33489.5268</v>
      </c>
    </row>
    <row r="14" spans="1:61" x14ac:dyDescent="0.2">
      <c r="C14" s="6" t="s">
        <v>301</v>
      </c>
      <c r="H14" s="329">
        <v>4800</v>
      </c>
      <c r="I14" s="329">
        <v>4800</v>
      </c>
      <c r="J14" s="329">
        <v>4800</v>
      </c>
      <c r="K14" s="329">
        <v>4800</v>
      </c>
      <c r="L14" s="329">
        <v>4800</v>
      </c>
    </row>
    <row r="15" spans="1:61" x14ac:dyDescent="0.2">
      <c r="A15" s="327"/>
      <c r="B15" s="327"/>
      <c r="C15" s="327"/>
      <c r="D15" s="328"/>
      <c r="E15" s="328"/>
      <c r="F15" s="328"/>
      <c r="G15" s="328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</row>
    <row r="16" spans="1:61" x14ac:dyDescent="0.2">
      <c r="A16" s="327"/>
      <c r="B16" s="327"/>
      <c r="C16" s="327"/>
      <c r="D16" s="328"/>
      <c r="E16" s="328"/>
      <c r="F16" s="328"/>
      <c r="G16" s="328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</row>
    <row r="17" spans="1:61" x14ac:dyDescent="0.2">
      <c r="A17" s="327"/>
      <c r="B17" s="327"/>
      <c r="C17" s="327"/>
      <c r="D17" s="327"/>
      <c r="E17" s="327"/>
      <c r="F17" s="327"/>
      <c r="G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</row>
    <row r="18" spans="1:61" x14ac:dyDescent="0.2">
      <c r="A18" s="327"/>
      <c r="B18" s="327"/>
      <c r="C18" s="327"/>
      <c r="D18" s="327"/>
      <c r="E18" s="327"/>
      <c r="F18" s="327"/>
      <c r="G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</row>
    <row r="19" spans="1:61" x14ac:dyDescent="0.2">
      <c r="B19" s="333" t="s">
        <v>300</v>
      </c>
      <c r="C19" s="333"/>
      <c r="D19" s="333"/>
      <c r="E19" s="333"/>
      <c r="F19" s="333"/>
      <c r="G19" s="333"/>
      <c r="H19" s="334" t="s">
        <v>273</v>
      </c>
      <c r="I19" s="334" t="s">
        <v>274</v>
      </c>
      <c r="J19" s="334" t="s">
        <v>275</v>
      </c>
      <c r="K19" s="334" t="s">
        <v>276</v>
      </c>
      <c r="L19" s="334" t="s">
        <v>277</v>
      </c>
      <c r="M19" s="334" t="s">
        <v>278</v>
      </c>
      <c r="N19" s="334" t="s">
        <v>279</v>
      </c>
      <c r="O19" s="334" t="s">
        <v>280</v>
      </c>
      <c r="P19" s="334" t="s">
        <v>281</v>
      </c>
      <c r="Q19" s="334" t="s">
        <v>282</v>
      </c>
      <c r="R19" s="334" t="s">
        <v>283</v>
      </c>
      <c r="S19" s="334" t="s">
        <v>284</v>
      </c>
      <c r="T19" s="334" t="s">
        <v>285</v>
      </c>
      <c r="U19" s="334" t="s">
        <v>286</v>
      </c>
      <c r="V19" s="334" t="s">
        <v>287</v>
      </c>
      <c r="W19" s="334" t="s">
        <v>288</v>
      </c>
      <c r="X19" s="334" t="s">
        <v>289</v>
      </c>
      <c r="Y19" s="334" t="s">
        <v>290</v>
      </c>
      <c r="Z19" s="334" t="s">
        <v>291</v>
      </c>
      <c r="AA19" s="334" t="s">
        <v>292</v>
      </c>
      <c r="AB19" s="334" t="s">
        <v>293</v>
      </c>
      <c r="AC19" s="334" t="s">
        <v>294</v>
      </c>
      <c r="AD19" s="334" t="s">
        <v>295</v>
      </c>
      <c r="AE19" s="334" t="s">
        <v>296</v>
      </c>
      <c r="AF19" s="334" t="s">
        <v>297</v>
      </c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</row>
    <row r="20" spans="1:61" ht="15" x14ac:dyDescent="0.25">
      <c r="A20" s="327"/>
      <c r="B20" s="327"/>
      <c r="C20" s="338" t="s">
        <v>144</v>
      </c>
      <c r="D20" s="327" t="str">
        <f>Assumptions!E14</f>
        <v>No change to existing practices</v>
      </c>
      <c r="E20" s="327"/>
      <c r="F20" s="327"/>
      <c r="G20" s="327"/>
      <c r="H20" s="331">
        <v>26.75616650578344</v>
      </c>
      <c r="I20" s="331">
        <v>29.469955819998965</v>
      </c>
      <c r="J20" s="331">
        <v>32.622518713812376</v>
      </c>
      <c r="K20" s="331">
        <v>36.244490650279204</v>
      </c>
      <c r="L20" s="331">
        <v>40.401130407280434</v>
      </c>
      <c r="M20" s="331">
        <v>45.178927601234442</v>
      </c>
      <c r="N20" s="331">
        <v>50.672655656925834</v>
      </c>
      <c r="O20" s="331">
        <v>56.961684798544596</v>
      </c>
      <c r="P20" s="331">
        <v>63.857903802970142</v>
      </c>
      <c r="Q20" s="331">
        <v>71.195939646601119</v>
      </c>
      <c r="R20" s="331">
        <v>78.933174395590726</v>
      </c>
      <c r="S20" s="331">
        <v>87.504224368156216</v>
      </c>
      <c r="T20" s="331">
        <v>96.826408675384172</v>
      </c>
      <c r="U20" s="331">
        <v>106.42154535821302</v>
      </c>
      <c r="V20" s="331">
        <v>115.53187706704492</v>
      </c>
      <c r="W20" s="331">
        <v>124.30780347673306</v>
      </c>
      <c r="X20" s="331">
        <v>132.90052383477328</v>
      </c>
      <c r="Y20" s="331">
        <v>140.98887352778436</v>
      </c>
      <c r="Z20" s="331">
        <v>148.39419600911728</v>
      </c>
      <c r="AA20" s="331">
        <v>154.85352292165712</v>
      </c>
      <c r="AB20" s="331">
        <v>161.36835479340482</v>
      </c>
      <c r="AC20" s="331">
        <v>168.01652912603541</v>
      </c>
      <c r="AD20" s="331">
        <v>174.68234272475604</v>
      </c>
      <c r="AE20" s="331">
        <v>181.48853381999427</v>
      </c>
      <c r="AF20" s="331">
        <v>188.32692740238346</v>
      </c>
      <c r="AG20" s="327"/>
      <c r="AH20" s="327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</row>
    <row r="21" spans="1:61" x14ac:dyDescent="0.2">
      <c r="A21" s="327"/>
      <c r="B21" s="327"/>
      <c r="C21" s="327" t="s">
        <v>131</v>
      </c>
      <c r="D21" s="327" t="str">
        <f>Assumptions!E15</f>
        <v>Replace highest 5 delta risk cable sections</v>
      </c>
      <c r="E21" s="327"/>
      <c r="F21" s="327"/>
      <c r="G21" s="327"/>
      <c r="H21" s="331">
        <v>0.10490004499835448</v>
      </c>
      <c r="I21" s="331">
        <v>0.1203807122370118</v>
      </c>
      <c r="J21" s="331">
        <v>0.13844957158399665</v>
      </c>
      <c r="K21" s="331">
        <v>0.15958326624056676</v>
      </c>
      <c r="L21" s="331">
        <v>0.1843528008295694</v>
      </c>
      <c r="M21" s="331">
        <v>0.21344318322397385</v>
      </c>
      <c r="N21" s="331">
        <v>0.24767729118557497</v>
      </c>
      <c r="O21" s="331">
        <v>0.28804489146383694</v>
      </c>
      <c r="P21" s="331">
        <v>0.31172237356700166</v>
      </c>
      <c r="Q21" s="331">
        <v>0.32198260499568182</v>
      </c>
      <c r="R21" s="331">
        <v>0.32884380523096141</v>
      </c>
      <c r="S21" s="331">
        <v>0.33658061645138276</v>
      </c>
      <c r="T21" s="331">
        <v>0.34530682460749945</v>
      </c>
      <c r="U21" s="331">
        <v>0.35494251482140871</v>
      </c>
      <c r="V21" s="331">
        <v>0.35494251482140871</v>
      </c>
      <c r="W21" s="331">
        <v>0.35494251482140871</v>
      </c>
      <c r="X21" s="331">
        <v>0.35494251482140871</v>
      </c>
      <c r="Y21" s="331">
        <v>0.35494251482140871</v>
      </c>
      <c r="Z21" s="331">
        <v>0.35494251482140871</v>
      </c>
      <c r="AA21" s="331">
        <v>0.35494251482140871</v>
      </c>
      <c r="AB21" s="331">
        <v>0.35494251482140871</v>
      </c>
      <c r="AC21" s="331">
        <v>0.35494251482140871</v>
      </c>
      <c r="AD21" s="331">
        <v>0.35494251482140871</v>
      </c>
      <c r="AE21" s="331">
        <v>0.35494251482140871</v>
      </c>
      <c r="AF21" s="331">
        <v>0.35494251482140871</v>
      </c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</row>
    <row r="22" spans="1:61" x14ac:dyDescent="0.2">
      <c r="A22" s="327"/>
      <c r="B22" s="327"/>
      <c r="C22" s="327" t="s">
        <v>132</v>
      </c>
      <c r="D22" s="327" t="str">
        <f>Assumptions!E16</f>
        <v>Replace highest 10 delta risk cable sections</v>
      </c>
      <c r="E22" s="327"/>
      <c r="F22" s="327"/>
      <c r="G22" s="327"/>
      <c r="H22" s="331">
        <v>0.18889972492595958</v>
      </c>
      <c r="I22" s="331">
        <v>0.21597381565280963</v>
      </c>
      <c r="J22" s="331">
        <v>0.24742589992618438</v>
      </c>
      <c r="K22" s="331">
        <v>0.28403528180199356</v>
      </c>
      <c r="L22" s="331">
        <v>0.32673085758655668</v>
      </c>
      <c r="M22" s="331">
        <v>0.37662146820899273</v>
      </c>
      <c r="N22" s="331">
        <v>0.43503265173386474</v>
      </c>
      <c r="O22" s="331">
        <v>0.503551180748254</v>
      </c>
      <c r="P22" s="331">
        <v>0.55065111643778597</v>
      </c>
      <c r="Q22" s="331">
        <v>0.58525031914388026</v>
      </c>
      <c r="R22" s="331">
        <v>0.6042030241893076</v>
      </c>
      <c r="S22" s="331">
        <v>0.62557443094389042</v>
      </c>
      <c r="T22" s="331">
        <v>0.64967885053180585</v>
      </c>
      <c r="U22" s="331">
        <v>0.67629553395029984</v>
      </c>
      <c r="V22" s="331">
        <v>0.67629553395029984</v>
      </c>
      <c r="W22" s="331">
        <v>0.67629553395029984</v>
      </c>
      <c r="X22" s="331">
        <v>0.67629553395029984</v>
      </c>
      <c r="Y22" s="331">
        <v>0.67629553395029984</v>
      </c>
      <c r="Z22" s="331">
        <v>0.67629553395029984</v>
      </c>
      <c r="AA22" s="331">
        <v>0.67629553395029984</v>
      </c>
      <c r="AB22" s="331">
        <v>0.67629553395029984</v>
      </c>
      <c r="AC22" s="331">
        <v>0.67629553395029984</v>
      </c>
      <c r="AD22" s="331">
        <v>0.67629553395029984</v>
      </c>
      <c r="AE22" s="331">
        <v>0.67629553395029984</v>
      </c>
      <c r="AF22" s="331">
        <v>0.67629553395029984</v>
      </c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</row>
    <row r="23" spans="1:61" x14ac:dyDescent="0.2">
      <c r="A23" s="327"/>
      <c r="B23" s="327"/>
      <c r="C23" s="327" t="s">
        <v>133</v>
      </c>
      <c r="D23" s="327" t="str">
        <f>Assumptions!E17</f>
        <v>Monitor highest delta risk cable sections and replace those with high partial discharge</v>
      </c>
      <c r="E23" s="327"/>
      <c r="F23" s="327"/>
      <c r="G23" s="327"/>
      <c r="H23" s="331">
        <v>0.48120840251258273</v>
      </c>
      <c r="I23" s="331">
        <v>0.54562182707723217</v>
      </c>
      <c r="J23" s="331">
        <v>0.61992735255147824</v>
      </c>
      <c r="K23" s="331">
        <v>0.70581900105923423</v>
      </c>
      <c r="L23" s="331">
        <v>0.80530674934108115</v>
      </c>
      <c r="M23" s="331">
        <v>0.92077928727967973</v>
      </c>
      <c r="N23" s="331">
        <v>1.0550798064216509</v>
      </c>
      <c r="O23" s="331">
        <v>1.2073838999079287</v>
      </c>
      <c r="P23" s="331">
        <v>1.3371036763601463</v>
      </c>
      <c r="Q23" s="331">
        <v>1.4294685343912927</v>
      </c>
      <c r="R23" s="331">
        <v>1.4914077603516347</v>
      </c>
      <c r="S23" s="331">
        <v>1.5590288354448993</v>
      </c>
      <c r="T23" s="331">
        <v>1.6293196391792499</v>
      </c>
      <c r="U23" s="331">
        <v>1.7064727558217607</v>
      </c>
      <c r="V23" s="331">
        <v>1.756605426124427</v>
      </c>
      <c r="W23" s="331">
        <v>1.7750958978348863</v>
      </c>
      <c r="X23" s="331">
        <v>1.7802429209437425</v>
      </c>
      <c r="Y23" s="331">
        <v>1.7858041461240461</v>
      </c>
      <c r="Z23" s="331">
        <v>1.7918135338945902</v>
      </c>
      <c r="AA23" s="331">
        <v>1.7983078616926871</v>
      </c>
      <c r="AB23" s="331">
        <v>1.8053269592785071</v>
      </c>
      <c r="AC23" s="331">
        <v>1.8129139639079792</v>
      </c>
      <c r="AD23" s="331">
        <v>1.8211155969397019</v>
      </c>
      <c r="AE23" s="331">
        <v>1.8290021389678446</v>
      </c>
      <c r="AF23" s="331">
        <v>1.8290021389678446</v>
      </c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</row>
    <row r="24" spans="1:61" x14ac:dyDescent="0.2">
      <c r="A24" s="327"/>
      <c r="B24" s="327"/>
      <c r="C24" s="327" t="s">
        <v>155</v>
      </c>
      <c r="D24" s="327" t="str">
        <f>Assumptions!E18</f>
        <v>Replace highest 5 delta risk cable sections and monitor further 10</v>
      </c>
      <c r="E24" s="327"/>
      <c r="F24" s="327"/>
      <c r="G24" s="327"/>
      <c r="H24" s="331">
        <v>0.27714146795007305</v>
      </c>
      <c r="I24" s="331">
        <v>0.31440429992523322</v>
      </c>
      <c r="J24" s="331">
        <v>0.35740301391610563</v>
      </c>
      <c r="K24" s="331">
        <v>0.40712164438959958</v>
      </c>
      <c r="L24" s="331">
        <v>0.46472800143197801</v>
      </c>
      <c r="M24" s="331">
        <v>0.53161018370400459</v>
      </c>
      <c r="N24" s="331">
        <v>0.60942066151862528</v>
      </c>
      <c r="O24" s="331">
        <v>0.70012954461336407</v>
      </c>
      <c r="P24" s="331">
        <v>0.77159601829517255</v>
      </c>
      <c r="Q24" s="331">
        <v>0.8234375012510794</v>
      </c>
      <c r="R24" s="331">
        <v>0.85935234552561257</v>
      </c>
      <c r="S24" s="331">
        <v>0.89951870768483133</v>
      </c>
      <c r="T24" s="331">
        <v>0.9444556095491361</v>
      </c>
      <c r="U24" s="331">
        <v>0.99417043100431823</v>
      </c>
      <c r="V24" s="331">
        <v>1.0197884985444803</v>
      </c>
      <c r="W24" s="331">
        <v>1.0265080857912166</v>
      </c>
      <c r="X24" s="331">
        <v>1.0265080857912166</v>
      </c>
      <c r="Y24" s="331">
        <v>1.0265080857912166</v>
      </c>
      <c r="Z24" s="331">
        <v>1.0265080857912166</v>
      </c>
      <c r="AA24" s="331">
        <v>1.0265080857912166</v>
      </c>
      <c r="AB24" s="331">
        <v>1.0265080857912166</v>
      </c>
      <c r="AC24" s="331">
        <v>1.0265080857912166</v>
      </c>
      <c r="AD24" s="331">
        <v>1.0265080857912166</v>
      </c>
      <c r="AE24" s="331">
        <v>1.0265080857912166</v>
      </c>
      <c r="AF24" s="331">
        <v>1.0265080857912166</v>
      </c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</row>
    <row r="25" spans="1:61" x14ac:dyDescent="0.2">
      <c r="A25" s="327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</row>
    <row r="26" spans="1:61" x14ac:dyDescent="0.2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</row>
    <row r="27" spans="1:61" x14ac:dyDescent="0.2">
      <c r="A27" s="327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</row>
    <row r="28" spans="1:61" x14ac:dyDescent="0.2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</row>
    <row r="29" spans="1:61" x14ac:dyDescent="0.2">
      <c r="B29" s="333" t="s">
        <v>316</v>
      </c>
      <c r="C29" s="333"/>
      <c r="D29" s="333"/>
      <c r="E29" s="333"/>
      <c r="F29" s="333"/>
      <c r="G29" s="333"/>
      <c r="H29" s="334" t="s">
        <v>273</v>
      </c>
      <c r="I29" s="334" t="s">
        <v>274</v>
      </c>
      <c r="J29" s="334" t="s">
        <v>275</v>
      </c>
      <c r="K29" s="334" t="s">
        <v>276</v>
      </c>
      <c r="L29" s="334" t="s">
        <v>277</v>
      </c>
      <c r="M29" s="334" t="s">
        <v>278</v>
      </c>
      <c r="N29" s="334" t="s">
        <v>279</v>
      </c>
      <c r="O29" s="334" t="s">
        <v>280</v>
      </c>
      <c r="P29" s="334" t="s">
        <v>281</v>
      </c>
      <c r="Q29" s="334" t="s">
        <v>282</v>
      </c>
      <c r="R29" s="334" t="s">
        <v>283</v>
      </c>
      <c r="S29" s="334" t="s">
        <v>284</v>
      </c>
      <c r="T29" s="334" t="s">
        <v>285</v>
      </c>
      <c r="U29" s="334" t="s">
        <v>286</v>
      </c>
      <c r="V29" s="334" t="s">
        <v>287</v>
      </c>
      <c r="W29" s="334" t="s">
        <v>288</v>
      </c>
      <c r="X29" s="334" t="s">
        <v>289</v>
      </c>
      <c r="Y29" s="334" t="s">
        <v>290</v>
      </c>
      <c r="Z29" s="334" t="s">
        <v>291</v>
      </c>
      <c r="AA29" s="334" t="s">
        <v>292</v>
      </c>
      <c r="AB29" s="334" t="s">
        <v>293</v>
      </c>
      <c r="AC29" s="334" t="s">
        <v>294</v>
      </c>
      <c r="AD29" s="334" t="s">
        <v>295</v>
      </c>
      <c r="AE29" s="334" t="s">
        <v>296</v>
      </c>
      <c r="AF29" s="334" t="s">
        <v>297</v>
      </c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</row>
    <row r="30" spans="1:61" x14ac:dyDescent="0.2">
      <c r="A30" s="327"/>
      <c r="B30" s="327"/>
      <c r="C30" s="338" t="s">
        <v>144</v>
      </c>
      <c r="D30" s="327" t="s">
        <v>271</v>
      </c>
      <c r="E30" s="327"/>
      <c r="F30" s="32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</row>
    <row r="31" spans="1:61" x14ac:dyDescent="0.2">
      <c r="A31" s="327"/>
      <c r="B31" s="327"/>
      <c r="C31" s="327" t="s">
        <v>131</v>
      </c>
      <c r="D31" s="327" t="s">
        <v>303</v>
      </c>
      <c r="E31" s="327"/>
      <c r="F31" s="327"/>
      <c r="G31" s="327"/>
      <c r="H31" s="335">
        <v>1.1591808281018868E-2</v>
      </c>
      <c r="I31" s="335">
        <v>1.1591808281018868E-2</v>
      </c>
      <c r="J31" s="335">
        <v>1.1591808281018868E-2</v>
      </c>
      <c r="K31" s="335">
        <v>1.1591808281018868E-2</v>
      </c>
      <c r="L31" s="335">
        <v>1.1591808281018868E-2</v>
      </c>
      <c r="M31" s="335">
        <v>1.1591808281018868E-2</v>
      </c>
      <c r="N31" s="335">
        <v>1.1591808281018868E-2</v>
      </c>
      <c r="O31" s="335">
        <v>1.1591808281018868E-2</v>
      </c>
      <c r="P31" s="335">
        <v>1.1591808281018868E-2</v>
      </c>
      <c r="Q31" s="335">
        <v>1.1591808281018868E-2</v>
      </c>
      <c r="R31" s="335">
        <v>1.1591808281018868E-2</v>
      </c>
      <c r="S31" s="335">
        <v>1.1591808281018868E-2</v>
      </c>
      <c r="T31" s="335">
        <v>1.1591808281018868E-2</v>
      </c>
      <c r="U31" s="335">
        <v>1.1591808281018868E-2</v>
      </c>
      <c r="V31" s="335">
        <v>1.1591808281018868E-2</v>
      </c>
      <c r="W31" s="335">
        <v>1.1591808281018868E-2</v>
      </c>
      <c r="X31" s="335">
        <v>1.1591808281018868E-2</v>
      </c>
      <c r="Y31" s="335">
        <v>1.1591808281018868E-2</v>
      </c>
      <c r="Z31" s="335">
        <v>1.1591808281018868E-2</v>
      </c>
      <c r="AA31" s="335">
        <v>1.1591808281018868E-2</v>
      </c>
      <c r="AB31" s="335">
        <v>1.1591808281018868E-2</v>
      </c>
      <c r="AC31" s="335">
        <v>1.1591808281018868E-2</v>
      </c>
      <c r="AD31" s="335">
        <v>1.1591808281018868E-2</v>
      </c>
      <c r="AE31" s="335">
        <v>1.1591808281018868E-2</v>
      </c>
      <c r="AF31" s="335">
        <v>1.1591808281018868E-2</v>
      </c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</row>
    <row r="32" spans="1:61" x14ac:dyDescent="0.2">
      <c r="A32" s="327"/>
      <c r="B32" s="327"/>
      <c r="C32" s="327" t="s">
        <v>132</v>
      </c>
      <c r="D32" s="327" t="s">
        <v>304</v>
      </c>
      <c r="E32" s="327"/>
      <c r="F32" s="327"/>
      <c r="G32" s="327"/>
      <c r="H32" s="335">
        <v>2.2086641761710754E-2</v>
      </c>
      <c r="I32" s="335">
        <v>2.2086641761710754E-2</v>
      </c>
      <c r="J32" s="335">
        <v>2.2086641761710754E-2</v>
      </c>
      <c r="K32" s="335">
        <v>2.2086641761710754E-2</v>
      </c>
      <c r="L32" s="335">
        <v>2.2086641761710754E-2</v>
      </c>
      <c r="M32" s="335">
        <v>2.2086641761710754E-2</v>
      </c>
      <c r="N32" s="335">
        <v>2.2086641761710754E-2</v>
      </c>
      <c r="O32" s="335">
        <v>2.2086641761710754E-2</v>
      </c>
      <c r="P32" s="335">
        <v>2.2086641761710754E-2</v>
      </c>
      <c r="Q32" s="335">
        <v>2.2086641761710754E-2</v>
      </c>
      <c r="R32" s="335">
        <v>2.2086641761710754E-2</v>
      </c>
      <c r="S32" s="335">
        <v>2.2086641761710754E-2</v>
      </c>
      <c r="T32" s="335">
        <v>2.2086641761710754E-2</v>
      </c>
      <c r="U32" s="335">
        <v>2.2086641761710754E-2</v>
      </c>
      <c r="V32" s="335">
        <v>2.2086641761710754E-2</v>
      </c>
      <c r="W32" s="335">
        <v>2.2086641761710754E-2</v>
      </c>
      <c r="X32" s="335">
        <v>2.2086641761710754E-2</v>
      </c>
      <c r="Y32" s="335">
        <v>2.2086641761710754E-2</v>
      </c>
      <c r="Z32" s="335">
        <v>2.2086641761710754E-2</v>
      </c>
      <c r="AA32" s="335">
        <v>2.2086641761710754E-2</v>
      </c>
      <c r="AB32" s="335">
        <v>2.2086641761710754E-2</v>
      </c>
      <c r="AC32" s="335">
        <v>2.2086641761710754E-2</v>
      </c>
      <c r="AD32" s="335">
        <v>2.2086641761710754E-2</v>
      </c>
      <c r="AE32" s="335">
        <v>2.2086641761710754E-2</v>
      </c>
      <c r="AF32" s="335">
        <v>2.2086641761710754E-2</v>
      </c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</row>
    <row r="33" spans="1:61" x14ac:dyDescent="0.2">
      <c r="A33" s="327"/>
      <c r="B33" s="327"/>
      <c r="C33" s="327" t="s">
        <v>133</v>
      </c>
      <c r="D33" s="327" t="s">
        <v>305</v>
      </c>
      <c r="E33" s="327"/>
      <c r="F33" s="327"/>
      <c r="G33" s="327"/>
      <c r="H33" s="335">
        <v>5.9732044641528245E-2</v>
      </c>
      <c r="I33" s="335">
        <v>5.9732044641528245E-2</v>
      </c>
      <c r="J33" s="335">
        <v>5.9732044641528245E-2</v>
      </c>
      <c r="K33" s="335">
        <v>5.9732044641528245E-2</v>
      </c>
      <c r="L33" s="335">
        <v>5.9732044641528245E-2</v>
      </c>
      <c r="M33" s="335">
        <v>5.9732044641528245E-2</v>
      </c>
      <c r="N33" s="335">
        <v>5.9732044641528245E-2</v>
      </c>
      <c r="O33" s="335">
        <v>5.9732044641528245E-2</v>
      </c>
      <c r="P33" s="335">
        <v>5.9732044641528245E-2</v>
      </c>
      <c r="Q33" s="335">
        <v>5.9732044641528245E-2</v>
      </c>
      <c r="R33" s="335">
        <v>5.9732044641528245E-2</v>
      </c>
      <c r="S33" s="335">
        <v>5.9732044641528245E-2</v>
      </c>
      <c r="T33" s="335">
        <v>5.9732044641528245E-2</v>
      </c>
      <c r="U33" s="335">
        <v>5.9732044641528245E-2</v>
      </c>
      <c r="V33" s="335">
        <v>5.9732044641528245E-2</v>
      </c>
      <c r="W33" s="335">
        <v>5.9732044641528245E-2</v>
      </c>
      <c r="X33" s="335">
        <v>5.9732044641528245E-2</v>
      </c>
      <c r="Y33" s="335">
        <v>5.9732044641528245E-2</v>
      </c>
      <c r="Z33" s="335">
        <v>5.9732044641528245E-2</v>
      </c>
      <c r="AA33" s="335">
        <v>5.9732044641528245E-2</v>
      </c>
      <c r="AB33" s="335">
        <v>5.9732044641528245E-2</v>
      </c>
      <c r="AC33" s="335">
        <v>5.9732044641528245E-2</v>
      </c>
      <c r="AD33" s="335">
        <v>5.9732044641528245E-2</v>
      </c>
      <c r="AE33" s="335">
        <v>5.9732044641528245E-2</v>
      </c>
      <c r="AF33" s="335">
        <v>5.9732044641528245E-2</v>
      </c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7"/>
      <c r="BI33" s="327"/>
    </row>
    <row r="34" spans="1:61" x14ac:dyDescent="0.2">
      <c r="A34" s="327"/>
      <c r="B34" s="327"/>
      <c r="C34" s="327" t="s">
        <v>155</v>
      </c>
      <c r="D34" s="327" t="s">
        <v>306</v>
      </c>
      <c r="E34" s="327"/>
      <c r="F34" s="327"/>
      <c r="G34" s="327"/>
      <c r="H34" s="335">
        <v>3.3523977637321185E-2</v>
      </c>
      <c r="I34" s="335">
        <v>3.3523977637321185E-2</v>
      </c>
      <c r="J34" s="335">
        <v>3.3523977637321185E-2</v>
      </c>
      <c r="K34" s="335">
        <v>3.3523977637321185E-2</v>
      </c>
      <c r="L34" s="335">
        <v>3.3523977637321185E-2</v>
      </c>
      <c r="M34" s="335">
        <v>3.3523977637321185E-2</v>
      </c>
      <c r="N34" s="335">
        <v>3.3523977637321185E-2</v>
      </c>
      <c r="O34" s="335">
        <v>3.3523977637321185E-2</v>
      </c>
      <c r="P34" s="335">
        <v>3.3523977637321185E-2</v>
      </c>
      <c r="Q34" s="335">
        <v>3.3523977637321185E-2</v>
      </c>
      <c r="R34" s="335">
        <v>3.3523977637321185E-2</v>
      </c>
      <c r="S34" s="335">
        <v>3.3523977637321185E-2</v>
      </c>
      <c r="T34" s="335">
        <v>3.3523977637321185E-2</v>
      </c>
      <c r="U34" s="335">
        <v>3.3523977637321185E-2</v>
      </c>
      <c r="V34" s="335">
        <v>3.3523977637321185E-2</v>
      </c>
      <c r="W34" s="335">
        <v>3.3523977637321185E-2</v>
      </c>
      <c r="X34" s="335">
        <v>3.3523977637321185E-2</v>
      </c>
      <c r="Y34" s="335">
        <v>3.3523977637321185E-2</v>
      </c>
      <c r="Z34" s="335">
        <v>3.3523977637321185E-2</v>
      </c>
      <c r="AA34" s="335">
        <v>3.3523977637321185E-2</v>
      </c>
      <c r="AB34" s="335">
        <v>3.3523977637321185E-2</v>
      </c>
      <c r="AC34" s="335">
        <v>3.3523977637321185E-2</v>
      </c>
      <c r="AD34" s="335">
        <v>3.3523977637321185E-2</v>
      </c>
      <c r="AE34" s="335">
        <v>3.3523977637321185E-2</v>
      </c>
      <c r="AF34" s="335">
        <v>3.3523977637321185E-2</v>
      </c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</row>
    <row r="35" spans="1:61" x14ac:dyDescent="0.2">
      <c r="A35" s="327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</row>
    <row r="36" spans="1:61" x14ac:dyDescent="0.2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</row>
    <row r="38" spans="1:61" x14ac:dyDescent="0.2">
      <c r="A38" s="327"/>
      <c r="B38" s="333" t="s">
        <v>302</v>
      </c>
      <c r="C38" s="333"/>
      <c r="D38" s="333"/>
      <c r="E38" s="333"/>
      <c r="F38" s="333"/>
      <c r="G38" s="333"/>
      <c r="H38" s="334" t="s">
        <v>273</v>
      </c>
      <c r="I38" s="334" t="s">
        <v>274</v>
      </c>
      <c r="J38" s="334" t="s">
        <v>275</v>
      </c>
      <c r="K38" s="334" t="s">
        <v>276</v>
      </c>
      <c r="L38" s="334" t="s">
        <v>277</v>
      </c>
      <c r="M38" s="334" t="s">
        <v>278</v>
      </c>
      <c r="N38" s="334" t="s">
        <v>279</v>
      </c>
      <c r="O38" s="334" t="s">
        <v>280</v>
      </c>
      <c r="P38" s="334" t="s">
        <v>281</v>
      </c>
      <c r="Q38" s="334" t="s">
        <v>282</v>
      </c>
      <c r="R38" s="334" t="s">
        <v>283</v>
      </c>
      <c r="S38" s="334" t="s">
        <v>284</v>
      </c>
      <c r="T38" s="334" t="s">
        <v>285</v>
      </c>
      <c r="U38" s="334" t="s">
        <v>286</v>
      </c>
      <c r="V38" s="334" t="s">
        <v>287</v>
      </c>
      <c r="W38" s="334" t="s">
        <v>288</v>
      </c>
      <c r="X38" s="334" t="s">
        <v>289</v>
      </c>
      <c r="Y38" s="334" t="s">
        <v>290</v>
      </c>
      <c r="Z38" s="334" t="s">
        <v>291</v>
      </c>
      <c r="AA38" s="334" t="s">
        <v>292</v>
      </c>
      <c r="AB38" s="334" t="s">
        <v>293</v>
      </c>
      <c r="AC38" s="334" t="s">
        <v>294</v>
      </c>
      <c r="AD38" s="334" t="s">
        <v>295</v>
      </c>
      <c r="AE38" s="334" t="s">
        <v>296</v>
      </c>
      <c r="AF38" s="334" t="s">
        <v>297</v>
      </c>
    </row>
    <row r="39" spans="1:61" x14ac:dyDescent="0.2">
      <c r="A39" s="327"/>
      <c r="B39" s="327"/>
      <c r="C39" s="338" t="s">
        <v>144</v>
      </c>
      <c r="F39" s="336"/>
      <c r="G39" s="33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37"/>
    </row>
    <row r="40" spans="1:61" x14ac:dyDescent="0.2">
      <c r="A40" s="327"/>
      <c r="B40" s="327"/>
      <c r="C40" s="327" t="s">
        <v>131</v>
      </c>
      <c r="D40" s="327" t="s">
        <v>303</v>
      </c>
      <c r="H40" s="347">
        <v>0</v>
      </c>
      <c r="I40" s="347">
        <v>0.2</v>
      </c>
      <c r="J40" s="347">
        <v>0.4</v>
      </c>
      <c r="K40" s="347">
        <v>0.6</v>
      </c>
      <c r="L40" s="347">
        <v>0.8</v>
      </c>
      <c r="M40" s="347">
        <v>1</v>
      </c>
      <c r="N40" s="347">
        <v>1</v>
      </c>
      <c r="O40" s="347">
        <v>1</v>
      </c>
      <c r="P40" s="347">
        <v>1</v>
      </c>
      <c r="Q40" s="347">
        <v>1</v>
      </c>
      <c r="R40" s="347">
        <v>1</v>
      </c>
      <c r="S40" s="347">
        <v>1</v>
      </c>
      <c r="T40" s="347">
        <v>1</v>
      </c>
      <c r="U40" s="347">
        <v>1</v>
      </c>
      <c r="V40" s="347">
        <v>1</v>
      </c>
      <c r="W40" s="347">
        <v>1</v>
      </c>
      <c r="X40" s="347">
        <v>1</v>
      </c>
      <c r="Y40" s="347">
        <v>1</v>
      </c>
      <c r="Z40" s="347">
        <v>1</v>
      </c>
      <c r="AA40" s="347">
        <v>1</v>
      </c>
      <c r="AB40" s="347">
        <v>1</v>
      </c>
      <c r="AC40" s="347">
        <v>1</v>
      </c>
      <c r="AD40" s="347">
        <v>1</v>
      </c>
      <c r="AE40" s="347">
        <v>1</v>
      </c>
      <c r="AF40" s="347">
        <v>1</v>
      </c>
    </row>
    <row r="41" spans="1:61" x14ac:dyDescent="0.2">
      <c r="C41" s="327" t="s">
        <v>132</v>
      </c>
      <c r="D41" s="327" t="s">
        <v>304</v>
      </c>
      <c r="H41" s="347">
        <v>0</v>
      </c>
      <c r="I41" s="347">
        <v>0.2</v>
      </c>
      <c r="J41" s="347">
        <v>0.4</v>
      </c>
      <c r="K41" s="347">
        <v>0.6</v>
      </c>
      <c r="L41" s="347">
        <v>0.8</v>
      </c>
      <c r="M41" s="347">
        <v>1</v>
      </c>
      <c r="N41" s="347">
        <v>1</v>
      </c>
      <c r="O41" s="347">
        <v>1</v>
      </c>
      <c r="P41" s="347">
        <v>1</v>
      </c>
      <c r="Q41" s="347">
        <v>1</v>
      </c>
      <c r="R41" s="347">
        <v>1</v>
      </c>
      <c r="S41" s="347">
        <v>1</v>
      </c>
      <c r="T41" s="347">
        <v>1</v>
      </c>
      <c r="U41" s="347">
        <v>1</v>
      </c>
      <c r="V41" s="347">
        <v>1</v>
      </c>
      <c r="W41" s="347">
        <v>1</v>
      </c>
      <c r="X41" s="347">
        <v>1</v>
      </c>
      <c r="Y41" s="347">
        <v>1</v>
      </c>
      <c r="Z41" s="347">
        <v>1</v>
      </c>
      <c r="AA41" s="347">
        <v>1</v>
      </c>
      <c r="AB41" s="347">
        <v>1</v>
      </c>
      <c r="AC41" s="347">
        <v>1</v>
      </c>
      <c r="AD41" s="347">
        <v>1</v>
      </c>
      <c r="AE41" s="347">
        <v>1</v>
      </c>
      <c r="AF41" s="347">
        <v>1</v>
      </c>
    </row>
    <row r="42" spans="1:61" x14ac:dyDescent="0.2">
      <c r="C42" s="327" t="s">
        <v>133</v>
      </c>
      <c r="D42" s="327" t="s">
        <v>305</v>
      </c>
      <c r="F42" s="235" t="s">
        <v>330</v>
      </c>
      <c r="H42" s="347">
        <v>1</v>
      </c>
      <c r="I42" s="347">
        <v>1</v>
      </c>
      <c r="J42" s="347">
        <v>1</v>
      </c>
      <c r="K42" s="347">
        <v>1</v>
      </c>
      <c r="L42" s="347">
        <v>1</v>
      </c>
      <c r="M42" s="347">
        <v>0.1</v>
      </c>
      <c r="N42" s="347">
        <v>0.1</v>
      </c>
      <c r="O42" s="347">
        <v>0.1</v>
      </c>
      <c r="P42" s="347">
        <v>0.1</v>
      </c>
      <c r="Q42" s="347">
        <v>0.1</v>
      </c>
      <c r="R42" s="347">
        <v>0.1</v>
      </c>
      <c r="S42" s="347">
        <v>0.1</v>
      </c>
      <c r="T42" s="347">
        <v>0.1</v>
      </c>
      <c r="U42" s="347">
        <v>0.1</v>
      </c>
      <c r="V42" s="347">
        <v>0.1</v>
      </c>
      <c r="W42" s="347">
        <v>0.1</v>
      </c>
      <c r="X42" s="347">
        <v>0.1</v>
      </c>
      <c r="Y42" s="347">
        <v>0.1</v>
      </c>
      <c r="Z42" s="347">
        <v>0.1</v>
      </c>
      <c r="AA42" s="347">
        <v>0.1</v>
      </c>
      <c r="AB42" s="347">
        <v>0.1</v>
      </c>
      <c r="AC42" s="347">
        <v>0.1</v>
      </c>
      <c r="AD42" s="347">
        <v>0.1</v>
      </c>
      <c r="AE42" s="347">
        <v>0.1</v>
      </c>
      <c r="AF42" s="347">
        <v>0.1</v>
      </c>
    </row>
    <row r="43" spans="1:61" x14ac:dyDescent="0.2">
      <c r="C43" s="327" t="s">
        <v>155</v>
      </c>
      <c r="D43" s="327" t="s">
        <v>306</v>
      </c>
      <c r="E43" s="6" t="s">
        <v>321</v>
      </c>
      <c r="F43" s="235"/>
      <c r="H43" s="347">
        <v>0</v>
      </c>
      <c r="I43" s="347">
        <v>0.2</v>
      </c>
      <c r="J43" s="347">
        <v>1</v>
      </c>
      <c r="K43" s="347">
        <v>1</v>
      </c>
      <c r="L43" s="347">
        <v>1</v>
      </c>
      <c r="M43" s="347">
        <v>1</v>
      </c>
      <c r="N43" s="347">
        <v>1</v>
      </c>
      <c r="O43" s="347">
        <v>1</v>
      </c>
      <c r="P43" s="347">
        <v>1</v>
      </c>
      <c r="Q43" s="347">
        <v>1</v>
      </c>
      <c r="R43" s="347">
        <v>1</v>
      </c>
      <c r="S43" s="347">
        <v>1</v>
      </c>
      <c r="T43" s="347">
        <v>1</v>
      </c>
      <c r="U43" s="347">
        <v>1</v>
      </c>
      <c r="V43" s="347">
        <v>1</v>
      </c>
      <c r="W43" s="347">
        <v>1</v>
      </c>
      <c r="X43" s="347">
        <v>1</v>
      </c>
      <c r="Y43" s="347">
        <v>1</v>
      </c>
      <c r="Z43" s="347">
        <v>1</v>
      </c>
      <c r="AA43" s="347">
        <v>1</v>
      </c>
      <c r="AB43" s="347">
        <v>1</v>
      </c>
      <c r="AC43" s="347">
        <v>1</v>
      </c>
      <c r="AD43" s="347">
        <v>1</v>
      </c>
      <c r="AE43" s="347">
        <v>1</v>
      </c>
      <c r="AF43" s="347">
        <v>1</v>
      </c>
    </row>
    <row r="44" spans="1:61" x14ac:dyDescent="0.2">
      <c r="E44" s="6" t="s">
        <v>268</v>
      </c>
      <c r="F44" s="235" t="s">
        <v>330</v>
      </c>
      <c r="H44" s="347">
        <v>1</v>
      </c>
      <c r="I44" s="347">
        <v>1</v>
      </c>
      <c r="J44" s="347">
        <v>1</v>
      </c>
      <c r="K44" s="347">
        <v>1</v>
      </c>
      <c r="L44" s="347">
        <v>1</v>
      </c>
      <c r="M44" s="347">
        <v>0.1</v>
      </c>
      <c r="N44" s="347">
        <v>0.1</v>
      </c>
      <c r="O44" s="347">
        <v>0.1</v>
      </c>
      <c r="P44" s="347">
        <v>0.1</v>
      </c>
      <c r="Q44" s="347">
        <v>0.1</v>
      </c>
      <c r="R44" s="347">
        <v>0.1</v>
      </c>
      <c r="S44" s="347">
        <v>0.1</v>
      </c>
      <c r="T44" s="347">
        <v>0.1</v>
      </c>
      <c r="U44" s="347">
        <v>0.1</v>
      </c>
      <c r="V44" s="347">
        <v>0.1</v>
      </c>
      <c r="W44" s="347">
        <v>0.1</v>
      </c>
      <c r="X44" s="347">
        <v>0.1</v>
      </c>
      <c r="Y44" s="347">
        <v>0.1</v>
      </c>
      <c r="Z44" s="347">
        <v>0.1</v>
      </c>
      <c r="AA44" s="347">
        <v>0.1</v>
      </c>
      <c r="AB44" s="347">
        <v>0.1</v>
      </c>
      <c r="AC44" s="347">
        <v>0.1</v>
      </c>
      <c r="AD44" s="347">
        <v>0.1</v>
      </c>
      <c r="AE44" s="347">
        <v>0.1</v>
      </c>
      <c r="AF44" s="347">
        <v>0.1</v>
      </c>
    </row>
    <row r="46" spans="1:61" x14ac:dyDescent="0.2">
      <c r="B46" s="333" t="s">
        <v>317</v>
      </c>
      <c r="C46" s="333"/>
      <c r="D46" s="333"/>
      <c r="E46" s="333"/>
      <c r="F46" s="333"/>
      <c r="G46" s="333"/>
      <c r="H46" s="334" t="s">
        <v>273</v>
      </c>
      <c r="I46" s="334" t="s">
        <v>274</v>
      </c>
      <c r="J46" s="334" t="s">
        <v>275</v>
      </c>
      <c r="K46" s="334" t="s">
        <v>276</v>
      </c>
      <c r="L46" s="334" t="s">
        <v>277</v>
      </c>
      <c r="M46" s="334" t="s">
        <v>278</v>
      </c>
      <c r="N46" s="334" t="s">
        <v>279</v>
      </c>
      <c r="O46" s="334" t="s">
        <v>280</v>
      </c>
      <c r="P46" s="334" t="s">
        <v>281</v>
      </c>
      <c r="Q46" s="334" t="s">
        <v>282</v>
      </c>
      <c r="R46" s="334" t="s">
        <v>283</v>
      </c>
      <c r="S46" s="334" t="s">
        <v>284</v>
      </c>
      <c r="T46" s="334" t="s">
        <v>285</v>
      </c>
      <c r="U46" s="334" t="s">
        <v>286</v>
      </c>
      <c r="V46" s="334" t="s">
        <v>287</v>
      </c>
      <c r="W46" s="334" t="s">
        <v>288</v>
      </c>
      <c r="X46" s="334" t="s">
        <v>289</v>
      </c>
      <c r="Y46" s="334" t="s">
        <v>290</v>
      </c>
      <c r="Z46" s="334" t="s">
        <v>291</v>
      </c>
      <c r="AA46" s="334" t="s">
        <v>292</v>
      </c>
      <c r="AB46" s="334" t="s">
        <v>293</v>
      </c>
      <c r="AC46" s="334" t="s">
        <v>294</v>
      </c>
      <c r="AD46" s="334" t="s">
        <v>295</v>
      </c>
      <c r="AE46" s="334" t="s">
        <v>296</v>
      </c>
      <c r="AF46" s="334" t="s">
        <v>297</v>
      </c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</row>
    <row r="47" spans="1:61" x14ac:dyDescent="0.2">
      <c r="A47" s="327"/>
      <c r="B47" s="327"/>
      <c r="C47" s="338" t="s">
        <v>144</v>
      </c>
      <c r="D47" s="327" t="s">
        <v>123</v>
      </c>
      <c r="E47" s="327"/>
      <c r="F47" s="327"/>
      <c r="G47"/>
      <c r="H47" s="348">
        <v>81.482802725768195</v>
      </c>
      <c r="I47" s="348">
        <v>89.747333419345836</v>
      </c>
      <c r="J47" s="348">
        <v>99.348098173954838</v>
      </c>
      <c r="K47" s="348">
        <v>110.37839374016018</v>
      </c>
      <c r="L47" s="348">
        <v>123.0369581592673</v>
      </c>
      <c r="M47" s="348">
        <v>137.58718552963941</v>
      </c>
      <c r="N47" s="348">
        <v>154.31769732751448</v>
      </c>
      <c r="O47" s="348">
        <v>173.47020636771506</v>
      </c>
      <c r="P47" s="348">
        <v>194.471841731654</v>
      </c>
      <c r="Q47" s="348">
        <v>216.81897905089423</v>
      </c>
      <c r="R47" s="348">
        <v>240.38183034943899</v>
      </c>
      <c r="S47" s="348">
        <v>266.48396923081776</v>
      </c>
      <c r="T47" s="348">
        <v>294.87360063466326</v>
      </c>
      <c r="U47" s="348">
        <v>324.09447684967438</v>
      </c>
      <c r="V47" s="348">
        <v>351.83893572933493</v>
      </c>
      <c r="W47" s="348">
        <v>378.56500204462372</v>
      </c>
      <c r="X47" s="348">
        <v>404.73313557229267</v>
      </c>
      <c r="Y47" s="348">
        <v>429.36526672120709</v>
      </c>
      <c r="Z47" s="348">
        <v>451.91731769370796</v>
      </c>
      <c r="AA47" s="348">
        <v>471.5884488492851</v>
      </c>
      <c r="AB47" s="348">
        <v>491.42861392235045</v>
      </c>
      <c r="AC47" s="348">
        <v>511.67485799902568</v>
      </c>
      <c r="AD47" s="348">
        <v>531.9748204153118</v>
      </c>
      <c r="AE47" s="348">
        <v>552.70228622052355</v>
      </c>
      <c r="AF47" s="348">
        <v>573.52782096648707</v>
      </c>
      <c r="AG47"/>
      <c r="AH4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</row>
    <row r="48" spans="1:61" x14ac:dyDescent="0.2">
      <c r="A48" s="327"/>
      <c r="B48" s="327"/>
      <c r="C48" s="327" t="s">
        <v>131</v>
      </c>
      <c r="D48" s="327" t="s">
        <v>123</v>
      </c>
      <c r="E48" s="349"/>
      <c r="F48" s="327"/>
      <c r="G48" s="327"/>
      <c r="H48" s="348">
        <v>81.482802725768195</v>
      </c>
      <c r="I48" s="348">
        <v>89.681565358087553</v>
      </c>
      <c r="J48" s="348">
        <v>99.194715083499659</v>
      </c>
      <c r="K48" s="348">
        <v>110.10999013688301</v>
      </c>
      <c r="L48" s="348">
        <v>122.61918924615931</v>
      </c>
      <c r="M48" s="348">
        <v>136.97704179670464</v>
      </c>
      <c r="N48" s="348">
        <v>153.60407287055054</v>
      </c>
      <c r="O48" s="348">
        <v>172.63456124911153</v>
      </c>
      <c r="P48" s="348">
        <v>193.56462579852911</v>
      </c>
      <c r="Q48" s="348">
        <v>215.88074913083742</v>
      </c>
      <c r="R48" s="348">
        <v>239.42286082171216</v>
      </c>
      <c r="S48" s="348">
        <v>265.50161335320666</v>
      </c>
      <c r="T48" s="348">
        <v>293.86486771988683</v>
      </c>
      <c r="U48" s="348">
        <v>323.05661777215482</v>
      </c>
      <c r="V48" s="348">
        <v>350.80107665181538</v>
      </c>
      <c r="W48" s="348">
        <v>377.52714296710423</v>
      </c>
      <c r="X48" s="348">
        <v>403.69527649477311</v>
      </c>
      <c r="Y48" s="348">
        <v>428.32740764368754</v>
      </c>
      <c r="Z48" s="348">
        <v>450.8794586161884</v>
      </c>
      <c r="AA48" s="348">
        <v>470.5505897717656</v>
      </c>
      <c r="AB48" s="348">
        <v>490.39075484483089</v>
      </c>
      <c r="AC48" s="348">
        <v>510.63699892150612</v>
      </c>
      <c r="AD48" s="348">
        <v>530.93696133779224</v>
      </c>
      <c r="AE48" s="348">
        <v>551.66442714300399</v>
      </c>
      <c r="AF48" s="348">
        <v>572.48996188896751</v>
      </c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</row>
    <row r="49" spans="1:61" x14ac:dyDescent="0.2">
      <c r="A49" s="327"/>
      <c r="B49" s="327"/>
      <c r="C49" s="327" t="s">
        <v>132</v>
      </c>
      <c r="D49" s="327" t="s">
        <v>123</v>
      </c>
      <c r="E49" s="349"/>
      <c r="F49" s="327"/>
      <c r="G49" s="327"/>
      <c r="H49" s="348">
        <v>81.482802725768195</v>
      </c>
      <c r="I49" s="348">
        <v>89.644050315271471</v>
      </c>
      <c r="J49" s="348">
        <v>99.1080231077608</v>
      </c>
      <c r="K49" s="348">
        <v>109.95977602385965</v>
      </c>
      <c r="L49" s="348">
        <v>122.38782599405533</v>
      </c>
      <c r="M49" s="348">
        <v>136.64288744526723</v>
      </c>
      <c r="N49" s="348">
        <v>153.21782194975995</v>
      </c>
      <c r="O49" s="348">
        <v>172.18783293655162</v>
      </c>
      <c r="P49" s="348">
        <v>193.06401834260814</v>
      </c>
      <c r="Q49" s="348">
        <v>215.31900121495363</v>
      </c>
      <c r="R49" s="348">
        <v>238.83137227366581</v>
      </c>
      <c r="S49" s="348">
        <v>264.87658874022588</v>
      </c>
      <c r="T49" s="348">
        <v>293.2020183913977</v>
      </c>
      <c r="U49" s="348">
        <v>322.35200147747059</v>
      </c>
      <c r="V49" s="348">
        <v>350.09646035713115</v>
      </c>
      <c r="W49" s="348">
        <v>376.82252667241994</v>
      </c>
      <c r="X49" s="348">
        <v>402.99066020008888</v>
      </c>
      <c r="Y49" s="348">
        <v>427.62279134900336</v>
      </c>
      <c r="Z49" s="348">
        <v>450.17484232150417</v>
      </c>
      <c r="AA49" s="348">
        <v>469.84597347708137</v>
      </c>
      <c r="AB49" s="348">
        <v>489.68613855014667</v>
      </c>
      <c r="AC49" s="348">
        <v>509.93238262682189</v>
      </c>
      <c r="AD49" s="348">
        <v>530.23234504310801</v>
      </c>
      <c r="AE49" s="348">
        <v>550.95981084831976</v>
      </c>
      <c r="AF49" s="348">
        <v>571.78534559428329</v>
      </c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</row>
    <row r="50" spans="1:61" x14ac:dyDescent="0.2">
      <c r="A50" s="327"/>
      <c r="B50" s="327"/>
      <c r="C50" s="327" t="s">
        <v>133</v>
      </c>
      <c r="D50" s="327" t="s">
        <v>123</v>
      </c>
      <c r="E50" s="349"/>
      <c r="F50" s="327"/>
      <c r="G50" s="327"/>
      <c r="H50" s="348">
        <v>79.742685561050052</v>
      </c>
      <c r="I50" s="348">
        <v>87.77428826513713</v>
      </c>
      <c r="J50" s="348">
        <v>97.106353804113141</v>
      </c>
      <c r="K50" s="348">
        <v>107.82605310663337</v>
      </c>
      <c r="L50" s="348">
        <v>120.12485585582688</v>
      </c>
      <c r="M50" s="348">
        <v>137.27581875409589</v>
      </c>
      <c r="N50" s="348">
        <v>153.9577655981237</v>
      </c>
      <c r="O50" s="348">
        <v>173.05519933915065</v>
      </c>
      <c r="P50" s="348">
        <v>194.0099262101312</v>
      </c>
      <c r="Q50" s="348">
        <v>216.32366309952903</v>
      </c>
      <c r="R50" s="348">
        <v>239.8641163040879</v>
      </c>
      <c r="S50" s="348">
        <v>265.94180245503799</v>
      </c>
      <c r="T50" s="348">
        <v>294.30601571708434</v>
      </c>
      <c r="U50" s="348">
        <v>323.49899228157398</v>
      </c>
      <c r="V50" s="348">
        <v>351.22532248358647</v>
      </c>
      <c r="W50" s="348">
        <v>377.94470238462338</v>
      </c>
      <c r="X50" s="348">
        <v>404.11097467645101</v>
      </c>
      <c r="Y50" s="348">
        <v>428.74109480823807</v>
      </c>
      <c r="Z50" s="348">
        <v>451.29097270172485</v>
      </c>
      <c r="AA50" s="348">
        <v>470.95975541716348</v>
      </c>
      <c r="AB50" s="348">
        <v>490.79738228596506</v>
      </c>
      <c r="AC50" s="348">
        <v>511.0408827952138</v>
      </c>
      <c r="AD50" s="348">
        <v>531.33787938581133</v>
      </c>
      <c r="AE50" s="348">
        <v>552.06249330666662</v>
      </c>
      <c r="AF50" s="348">
        <v>572.88802805263015</v>
      </c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</row>
    <row r="51" spans="1:61" x14ac:dyDescent="0.2">
      <c r="A51" s="327"/>
      <c r="B51" s="327"/>
      <c r="C51" s="327" t="s">
        <v>155</v>
      </c>
      <c r="D51" s="327" t="s">
        <v>123</v>
      </c>
      <c r="E51" s="349"/>
      <c r="F51" s="327"/>
      <c r="G51" s="327"/>
      <c r="H51" s="348">
        <v>81.045919428723153</v>
      </c>
      <c r="I51" s="348">
        <v>89.153720519503153</v>
      </c>
      <c r="J51" s="348">
        <v>98.599048104023922</v>
      </c>
      <c r="K51" s="348">
        <v>109.43655729908042</v>
      </c>
      <c r="L51" s="348">
        <v>121.85642321204772</v>
      </c>
      <c r="M51" s="348">
        <v>136.90255087593826</v>
      </c>
      <c r="N51" s="348">
        <v>153.51876153458636</v>
      </c>
      <c r="O51" s="348">
        <v>172.53677445616796</v>
      </c>
      <c r="P51" s="348">
        <v>193.45455349775551</v>
      </c>
      <c r="Q51" s="348">
        <v>215.7596746553055</v>
      </c>
      <c r="R51" s="348">
        <v>239.2940896056605</v>
      </c>
      <c r="S51" s="348">
        <v>265.36425343737807</v>
      </c>
      <c r="T51" s="348">
        <v>293.71792033866325</v>
      </c>
      <c r="U51" s="348">
        <v>322.89905799603611</v>
      </c>
      <c r="V51" s="348">
        <v>350.63654743198794</v>
      </c>
      <c r="W51" s="348">
        <v>377.36078567086201</v>
      </c>
      <c r="X51" s="348">
        <v>403.5289191985309</v>
      </c>
      <c r="Y51" s="348">
        <v>428.16105034744533</v>
      </c>
      <c r="Z51" s="348">
        <v>450.71310131994619</v>
      </c>
      <c r="AA51" s="348">
        <v>470.38423247552333</v>
      </c>
      <c r="AB51" s="348">
        <v>490.22439754858868</v>
      </c>
      <c r="AC51" s="348">
        <v>510.47064162526391</v>
      </c>
      <c r="AD51" s="348">
        <v>530.77060404154997</v>
      </c>
      <c r="AE51" s="348">
        <v>551.49806984676172</v>
      </c>
      <c r="AF51" s="348">
        <v>572.32360459272525</v>
      </c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</row>
    <row r="52" spans="1:61" x14ac:dyDescent="0.2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</row>
    <row r="53" spans="1:61" x14ac:dyDescent="0.2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</row>
    <row r="56" spans="1:61" x14ac:dyDescent="0.2">
      <c r="A56" s="327"/>
      <c r="B56" s="327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</row>
    <row r="57" spans="1:61" x14ac:dyDescent="0.2">
      <c r="A57" s="327"/>
      <c r="B57" s="32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</row>
    <row r="58" spans="1:61" ht="15" x14ac:dyDescent="0.25">
      <c r="A58" s="206" t="str">
        <f>UPPER(B60)&amp; " RISK"</f>
        <v>OPTION 1 (BASE CASE) RISK</v>
      </c>
      <c r="B58" s="54"/>
      <c r="C58" s="19"/>
      <c r="D58" s="19"/>
      <c r="E58" s="83"/>
      <c r="F58" s="83"/>
      <c r="G58" s="19"/>
      <c r="H58" s="227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0"/>
      <c r="AI58" s="10"/>
      <c r="AJ58" s="8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</row>
    <row r="59" spans="1:61" x14ac:dyDescent="0.2">
      <c r="A59" s="327"/>
      <c r="B59" s="327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</row>
    <row r="60" spans="1:61" x14ac:dyDescent="0.2">
      <c r="A60" s="327"/>
      <c r="B60" s="333" t="s">
        <v>144</v>
      </c>
      <c r="C60" s="333"/>
      <c r="D60" s="333"/>
      <c r="E60" s="333"/>
      <c r="F60" s="333" t="s">
        <v>310</v>
      </c>
      <c r="G60" s="333"/>
      <c r="H60" s="334" t="s">
        <v>273</v>
      </c>
      <c r="I60" s="334" t="s">
        <v>274</v>
      </c>
      <c r="J60" s="334" t="s">
        <v>275</v>
      </c>
      <c r="K60" s="334" t="s">
        <v>276</v>
      </c>
      <c r="L60" s="334" t="s">
        <v>277</v>
      </c>
      <c r="M60" s="334" t="s">
        <v>278</v>
      </c>
      <c r="N60" s="334" t="s">
        <v>279</v>
      </c>
      <c r="O60" s="334" t="s">
        <v>280</v>
      </c>
      <c r="P60" s="334" t="s">
        <v>281</v>
      </c>
      <c r="Q60" s="334" t="s">
        <v>282</v>
      </c>
      <c r="R60" s="334" t="s">
        <v>283</v>
      </c>
      <c r="S60" s="334" t="s">
        <v>284</v>
      </c>
      <c r="T60" s="334" t="s">
        <v>285</v>
      </c>
      <c r="U60" s="334" t="s">
        <v>286</v>
      </c>
      <c r="V60" s="334" t="s">
        <v>287</v>
      </c>
      <c r="W60" s="334" t="s">
        <v>288</v>
      </c>
      <c r="X60" s="334" t="s">
        <v>289</v>
      </c>
      <c r="Y60" s="334" t="s">
        <v>290</v>
      </c>
      <c r="Z60" s="334" t="s">
        <v>291</v>
      </c>
      <c r="AA60" s="334" t="s">
        <v>292</v>
      </c>
      <c r="AB60" s="334" t="s">
        <v>293</v>
      </c>
      <c r="AC60" s="334" t="s">
        <v>294</v>
      </c>
      <c r="AD60" s="334" t="s">
        <v>295</v>
      </c>
      <c r="AE60" s="334" t="s">
        <v>296</v>
      </c>
      <c r="AF60" s="334" t="s">
        <v>297</v>
      </c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</row>
    <row r="61" spans="1:61" x14ac:dyDescent="0.2">
      <c r="A61" s="327"/>
      <c r="B61" s="327"/>
      <c r="C61" s="336"/>
      <c r="D61" s="336"/>
      <c r="E61" s="336"/>
      <c r="F61" s="336"/>
      <c r="G61" s="336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  <c r="BB61" s="327"/>
      <c r="BC61" s="327"/>
      <c r="BD61" s="327"/>
      <c r="BE61" s="327"/>
      <c r="BF61" s="327"/>
      <c r="BG61" s="327"/>
    </row>
    <row r="62" spans="1:61" x14ac:dyDescent="0.2">
      <c r="A62" s="327"/>
      <c r="B62" s="327"/>
      <c r="C62" s="336"/>
      <c r="D62" s="336"/>
      <c r="E62" s="336"/>
      <c r="F62" s="336"/>
      <c r="G62" s="336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</row>
    <row r="63" spans="1:61" x14ac:dyDescent="0.2">
      <c r="A63" s="327"/>
      <c r="B63" s="327"/>
      <c r="C63" s="338" t="str">
        <f>$B$60</f>
        <v>Option 1 (base case)</v>
      </c>
      <c r="D63" s="6" t="str">
        <f>C11</f>
        <v>Response cost</v>
      </c>
      <c r="E63" s="349" t="str">
        <f>C63&amp;D63</f>
        <v>Option 1 (base case)Response cost</v>
      </c>
      <c r="F63" s="340" cm="1">
        <f t="array" ref="F63:F66">INDEX($H$11:$L$14,,MATCH($B60, $H$9:$L$9,0))</f>
        <v>14958.721860065398</v>
      </c>
      <c r="G63" s="340"/>
      <c r="H63" s="31">
        <f t="shared" ref="H63:Q66" si="0">$F63*H$20</f>
        <v>400238.05280161236</v>
      </c>
      <c r="I63" s="31">
        <f t="shared" si="0"/>
        <v>440832.87233978003</v>
      </c>
      <c r="J63" s="31">
        <f t="shared" si="0"/>
        <v>487991.18381469772</v>
      </c>
      <c r="K63" s="31">
        <f t="shared" si="0"/>
        <v>542171.25459726749</v>
      </c>
      <c r="L63" s="31">
        <f t="shared" si="0"/>
        <v>604349.27259473864</v>
      </c>
      <c r="M63" s="31">
        <f t="shared" si="0"/>
        <v>675819.01192289765</v>
      </c>
      <c r="N63" s="31">
        <f t="shared" si="0"/>
        <v>757998.16188282298</v>
      </c>
      <c r="O63" s="31">
        <f t="shared" si="0"/>
        <v>852073.99958214397</v>
      </c>
      <c r="P63" s="31">
        <f t="shared" si="0"/>
        <v>955232.62155544281</v>
      </c>
      <c r="Q63" s="31">
        <f t="shared" si="0"/>
        <v>1065000.2587395089</v>
      </c>
      <c r="R63" s="31">
        <f t="shared" ref="R63:AF66" si="1">$F63*R$20</f>
        <v>1180739.4013156774</v>
      </c>
      <c r="S63" s="31">
        <f t="shared" si="1"/>
        <v>1308951.3539040056</v>
      </c>
      <c r="T63" s="31">
        <f t="shared" si="1"/>
        <v>1448399.316084095</v>
      </c>
      <c r="U63" s="31">
        <f t="shared" si="1"/>
        <v>1591930.2969318423</v>
      </c>
      <c r="V63" s="31">
        <f t="shared" si="1"/>
        <v>1728209.215017193</v>
      </c>
      <c r="W63" s="31">
        <f t="shared" si="1"/>
        <v>1859485.8572441202</v>
      </c>
      <c r="X63" s="31">
        <f t="shared" si="1"/>
        <v>1988021.9711013655</v>
      </c>
      <c r="Y63" s="31">
        <f t="shared" si="1"/>
        <v>2109013.3444660637</v>
      </c>
      <c r="Z63" s="31">
        <f t="shared" si="1"/>
        <v>2219787.5037484122</v>
      </c>
      <c r="AA63" s="31">
        <f t="shared" si="1"/>
        <v>2316410.7784363306</v>
      </c>
      <c r="AB63" s="31">
        <f t="shared" si="1"/>
        <v>2413864.3363708938</v>
      </c>
      <c r="AC63" s="31">
        <f t="shared" si="1"/>
        <v>2513312.5270899404</v>
      </c>
      <c r="AD63" s="31">
        <f t="shared" si="1"/>
        <v>2613024.5786842438</v>
      </c>
      <c r="AE63" s="31">
        <f t="shared" si="1"/>
        <v>2714836.4982043668</v>
      </c>
      <c r="AF63" s="31">
        <f t="shared" si="1"/>
        <v>2817130.1257729828</v>
      </c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7"/>
      <c r="BC63" s="327"/>
      <c r="BD63" s="327"/>
      <c r="BE63" s="327"/>
      <c r="BF63" s="327"/>
      <c r="BG63" s="327"/>
    </row>
    <row r="64" spans="1:61" x14ac:dyDescent="0.2">
      <c r="C64" s="338" t="str">
        <f>C63</f>
        <v>Option 1 (base case)</v>
      </c>
      <c r="D64" s="6" t="str">
        <f>C12</f>
        <v>Unplanned replacements</v>
      </c>
      <c r="E64" s="349" t="str">
        <f t="shared" ref="E64:E66" si="2">C64&amp;D64</f>
        <v>Option 1 (base case)Unplanned replacements</v>
      </c>
      <c r="F64" s="340">
        <v>80695.967133398721</v>
      </c>
      <c r="G64" s="340"/>
      <c r="H64" s="31">
        <f t="shared" si="0"/>
        <v>2159114.732966444</v>
      </c>
      <c r="I64" s="31">
        <f t="shared" si="0"/>
        <v>2378106.5862733489</v>
      </c>
      <c r="J64" s="31">
        <f t="shared" si="0"/>
        <v>2632505.6979384883</v>
      </c>
      <c r="K64" s="31">
        <f t="shared" si="0"/>
        <v>2924784.2262817076</v>
      </c>
      <c r="L64" s="31">
        <f t="shared" si="0"/>
        <v>3260208.2914980575</v>
      </c>
      <c r="M64" s="31">
        <f t="shared" si="0"/>
        <v>3645757.256831415</v>
      </c>
      <c r="N64" s="31">
        <f t="shared" si="0"/>
        <v>4089078.9554533176</v>
      </c>
      <c r="O64" s="31">
        <f t="shared" si="0"/>
        <v>4596578.244366372</v>
      </c>
      <c r="P64" s="31">
        <f t="shared" si="0"/>
        <v>5153075.306492216</v>
      </c>
      <c r="Q64" s="31">
        <f t="shared" si="0"/>
        <v>5745225.205753563</v>
      </c>
      <c r="R64" s="31">
        <f t="shared" si="1"/>
        <v>6369588.8467614185</v>
      </c>
      <c r="S64" s="31">
        <f t="shared" si="1"/>
        <v>7061238.0136462813</v>
      </c>
      <c r="T64" s="31">
        <f t="shared" si="1"/>
        <v>7813500.6921138335</v>
      </c>
      <c r="U64" s="31">
        <f t="shared" si="1"/>
        <v>8587789.5265118591</v>
      </c>
      <c r="V64" s="31">
        <f t="shared" si="1"/>
        <v>9322956.5546621177</v>
      </c>
      <c r="W64" s="31">
        <f t="shared" si="1"/>
        <v>10031138.423783438</v>
      </c>
      <c r="X64" s="31">
        <f t="shared" si="1"/>
        <v>10724536.303382339</v>
      </c>
      <c r="Y64" s="31">
        <f t="shared" si="1"/>
        <v>11377233.504372995</v>
      </c>
      <c r="Z64" s="31">
        <f t="shared" si="1"/>
        <v>11974813.163938856</v>
      </c>
      <c r="AA64" s="31">
        <f t="shared" si="1"/>
        <v>12496054.796177048</v>
      </c>
      <c r="AB64" s="31">
        <f t="shared" si="1"/>
        <v>13021775.454779219</v>
      </c>
      <c r="AC64" s="31">
        <f t="shared" si="1"/>
        <v>13558256.312222281</v>
      </c>
      <c r="AD64" s="31">
        <f t="shared" si="1"/>
        <v>14096160.587302005</v>
      </c>
      <c r="AE64" s="31">
        <f t="shared" si="1"/>
        <v>14645392.76022698</v>
      </c>
      <c r="AF64" s="31">
        <f t="shared" si="1"/>
        <v>15197223.543996703</v>
      </c>
    </row>
    <row r="65" spans="1:61" x14ac:dyDescent="0.2">
      <c r="C65" s="338" t="str">
        <f t="shared" ref="C65:C66" si="3">C64</f>
        <v>Option 1 (base case)</v>
      </c>
      <c r="D65" s="6" t="str">
        <f>C13</f>
        <v>Safety Consequence</v>
      </c>
      <c r="E65" s="349" t="str">
        <f t="shared" si="2"/>
        <v>Option 1 (base case)Safety Consequence</v>
      </c>
      <c r="F65" s="340">
        <v>35022.626626685204</v>
      </c>
      <c r="G65" s="340"/>
      <c r="H65" s="31">
        <f t="shared" si="0"/>
        <v>937071.22949347389</v>
      </c>
      <c r="I65" s="31">
        <f t="shared" si="0"/>
        <v>1032115.2593887324</v>
      </c>
      <c r="J65" s="31">
        <f t="shared" si="0"/>
        <v>1142526.2925359015</v>
      </c>
      <c r="K65" s="31">
        <f t="shared" si="0"/>
        <v>1269377.2633191114</v>
      </c>
      <c r="L65" s="31">
        <f t="shared" si="0"/>
        <v>1414953.705550201</v>
      </c>
      <c r="M65" s="31">
        <f t="shared" si="0"/>
        <v>1582284.7127720765</v>
      </c>
      <c r="N65" s="31">
        <f t="shared" si="0"/>
        <v>1774689.4992551012</v>
      </c>
      <c r="O65" s="31">
        <f t="shared" si="0"/>
        <v>1994947.8187263578</v>
      </c>
      <c r="P65" s="31">
        <f t="shared" si="0"/>
        <v>2236471.5220542043</v>
      </c>
      <c r="Q65" s="31">
        <f t="shared" si="0"/>
        <v>2493468.8115789252</v>
      </c>
      <c r="R65" s="31">
        <f t="shared" si="1"/>
        <v>2764447.0953158024</v>
      </c>
      <c r="S65" s="31">
        <f t="shared" si="1"/>
        <v>3064627.7783036241</v>
      </c>
      <c r="T65" s="31">
        <f t="shared" si="1"/>
        <v>3391115.1586408131</v>
      </c>
      <c r="U65" s="31">
        <f t="shared" si="1"/>
        <v>3727162.0481155384</v>
      </c>
      <c r="V65" s="31">
        <f t="shared" si="1"/>
        <v>4046229.7939992091</v>
      </c>
      <c r="W65" s="31">
        <f t="shared" si="1"/>
        <v>4353585.7879489828</v>
      </c>
      <c r="X65" s="31">
        <f t="shared" si="1"/>
        <v>4654525.4247561423</v>
      </c>
      <c r="Y65" s="31">
        <f t="shared" si="1"/>
        <v>4937800.6760805333</v>
      </c>
      <c r="Z65" s="31">
        <f t="shared" si="1"/>
        <v>5197154.5203944538</v>
      </c>
      <c r="AA65" s="31">
        <f t="shared" si="1"/>
        <v>5423377.1151120365</v>
      </c>
      <c r="AB65" s="31">
        <f t="shared" si="1"/>
        <v>5651543.6392918844</v>
      </c>
      <c r="AC65" s="31">
        <f t="shared" si="1"/>
        <v>5884380.1666927179</v>
      </c>
      <c r="AD65" s="31">
        <f t="shared" si="1"/>
        <v>6117834.4675237909</v>
      </c>
      <c r="AE65" s="31">
        <f t="shared" si="1"/>
        <v>6356205.1570021892</v>
      </c>
      <c r="AF65" s="31">
        <f t="shared" si="1"/>
        <v>6595703.6621645261</v>
      </c>
    </row>
    <row r="66" spans="1:61" x14ac:dyDescent="0.2">
      <c r="C66" s="338" t="str">
        <f t="shared" si="3"/>
        <v>Option 1 (base case)</v>
      </c>
      <c r="D66" s="6" t="str">
        <f>C14</f>
        <v>Environmental Consequence</v>
      </c>
      <c r="E66" s="349" t="str">
        <f t="shared" si="2"/>
        <v>Option 1 (base case)Environmental Consequence</v>
      </c>
      <c r="F66" s="340">
        <v>4800</v>
      </c>
      <c r="G66" s="340"/>
      <c r="H66" s="31">
        <f t="shared" si="0"/>
        <v>128429.59922776051</v>
      </c>
      <c r="I66" s="31">
        <f t="shared" si="0"/>
        <v>141455.78793599503</v>
      </c>
      <c r="J66" s="31">
        <f t="shared" si="0"/>
        <v>156588.0898262994</v>
      </c>
      <c r="K66" s="31">
        <f t="shared" si="0"/>
        <v>173973.55512134018</v>
      </c>
      <c r="L66" s="31">
        <f t="shared" si="0"/>
        <v>193925.42595494608</v>
      </c>
      <c r="M66" s="31">
        <f t="shared" si="0"/>
        <v>216858.85248592531</v>
      </c>
      <c r="N66" s="31">
        <f t="shared" si="0"/>
        <v>243228.74715324401</v>
      </c>
      <c r="O66" s="31">
        <f t="shared" si="0"/>
        <v>273416.08703301405</v>
      </c>
      <c r="P66" s="31">
        <f t="shared" si="0"/>
        <v>306517.93825425667</v>
      </c>
      <c r="Q66" s="31">
        <f t="shared" si="0"/>
        <v>341740.51030368538</v>
      </c>
      <c r="R66" s="31">
        <f t="shared" si="1"/>
        <v>378879.23709883547</v>
      </c>
      <c r="S66" s="31">
        <f t="shared" si="1"/>
        <v>420020.27696714981</v>
      </c>
      <c r="T66" s="31">
        <f t="shared" si="1"/>
        <v>464766.761641844</v>
      </c>
      <c r="U66" s="31">
        <f t="shared" si="1"/>
        <v>510823.41771942249</v>
      </c>
      <c r="V66" s="31">
        <f t="shared" si="1"/>
        <v>554553.0099218156</v>
      </c>
      <c r="W66" s="31">
        <f t="shared" si="1"/>
        <v>596677.45668831863</v>
      </c>
      <c r="X66" s="31">
        <f t="shared" si="1"/>
        <v>637922.5144069118</v>
      </c>
      <c r="Y66" s="31">
        <f t="shared" si="1"/>
        <v>676746.59293336491</v>
      </c>
      <c r="Z66" s="31">
        <f t="shared" si="1"/>
        <v>712292.1408437629</v>
      </c>
      <c r="AA66" s="31">
        <f t="shared" si="1"/>
        <v>743296.91002395411</v>
      </c>
      <c r="AB66" s="31">
        <f t="shared" si="1"/>
        <v>774568.10300834314</v>
      </c>
      <c r="AC66" s="31">
        <f t="shared" si="1"/>
        <v>806479.33980496996</v>
      </c>
      <c r="AD66" s="31">
        <f t="shared" si="1"/>
        <v>838475.245078829</v>
      </c>
      <c r="AE66" s="31">
        <f t="shared" si="1"/>
        <v>871144.96233597246</v>
      </c>
      <c r="AF66" s="31">
        <f t="shared" si="1"/>
        <v>903969.25153144065</v>
      </c>
    </row>
    <row r="67" spans="1:61" x14ac:dyDescent="0.2">
      <c r="C67" s="338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61" x14ac:dyDescent="0.2">
      <c r="C68" s="338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61" x14ac:dyDescent="0.2">
      <c r="C69" s="338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61" ht="15" x14ac:dyDescent="0.25">
      <c r="A70" s="206" t="str">
        <f>UPPER(B72)&amp; " RISK"</f>
        <v>OPTION 2 RISK</v>
      </c>
      <c r="B70" s="54"/>
      <c r="C70" s="19"/>
      <c r="D70" s="19"/>
      <c r="E70" s="83"/>
      <c r="F70" s="19"/>
      <c r="G70" s="19"/>
      <c r="H70" s="227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10"/>
      <c r="AI70" s="10"/>
      <c r="AJ70" s="8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</row>
    <row r="71" spans="1:61" x14ac:dyDescent="0.2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</row>
    <row r="72" spans="1:61" x14ac:dyDescent="0.2">
      <c r="A72" s="327"/>
      <c r="B72" s="333" t="s">
        <v>131</v>
      </c>
      <c r="C72" s="333"/>
      <c r="D72" s="333"/>
      <c r="E72" s="333"/>
      <c r="F72" s="333" t="s">
        <v>310</v>
      </c>
      <c r="G72" s="333"/>
      <c r="H72" s="334" t="s">
        <v>273</v>
      </c>
      <c r="I72" s="334" t="s">
        <v>274</v>
      </c>
      <c r="J72" s="334" t="s">
        <v>275</v>
      </c>
      <c r="K72" s="334" t="s">
        <v>276</v>
      </c>
      <c r="L72" s="334" t="s">
        <v>277</v>
      </c>
      <c r="M72" s="334" t="s">
        <v>278</v>
      </c>
      <c r="N72" s="334" t="s">
        <v>279</v>
      </c>
      <c r="O72" s="334" t="s">
        <v>280</v>
      </c>
      <c r="P72" s="334" t="s">
        <v>281</v>
      </c>
      <c r="Q72" s="334" t="s">
        <v>282</v>
      </c>
      <c r="R72" s="334" t="s">
        <v>283</v>
      </c>
      <c r="S72" s="334" t="s">
        <v>284</v>
      </c>
      <c r="T72" s="334" t="s">
        <v>285</v>
      </c>
      <c r="U72" s="334" t="s">
        <v>286</v>
      </c>
      <c r="V72" s="334" t="s">
        <v>287</v>
      </c>
      <c r="W72" s="334" t="s">
        <v>288</v>
      </c>
      <c r="X72" s="334" t="s">
        <v>289</v>
      </c>
      <c r="Y72" s="334" t="s">
        <v>290</v>
      </c>
      <c r="Z72" s="334" t="s">
        <v>291</v>
      </c>
      <c r="AA72" s="334" t="s">
        <v>292</v>
      </c>
      <c r="AB72" s="334" t="s">
        <v>293</v>
      </c>
      <c r="AC72" s="334" t="s">
        <v>294</v>
      </c>
      <c r="AD72" s="334" t="s">
        <v>295</v>
      </c>
      <c r="AE72" s="334" t="s">
        <v>296</v>
      </c>
      <c r="AF72" s="334" t="s">
        <v>297</v>
      </c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</row>
    <row r="73" spans="1:61" x14ac:dyDescent="0.2">
      <c r="A73" s="327"/>
      <c r="B73" s="327"/>
      <c r="C73" s="342"/>
      <c r="D73" s="327"/>
      <c r="E73" s="327"/>
      <c r="F73" s="327"/>
      <c r="G73" s="327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</row>
    <row r="74" spans="1:61" x14ac:dyDescent="0.2">
      <c r="A74" s="327"/>
      <c r="B74" s="328" t="s">
        <v>308</v>
      </c>
      <c r="C74" s="343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</row>
    <row r="75" spans="1:61" x14ac:dyDescent="0.2">
      <c r="A75" s="327"/>
      <c r="B75" s="327"/>
      <c r="C75" s="342" t="str">
        <f>$B$72</f>
        <v>Option 2</v>
      </c>
      <c r="D75" s="6" t="s">
        <v>298</v>
      </c>
      <c r="E75" s="6" t="s">
        <v>307</v>
      </c>
      <c r="F75" s="340" cm="1">
        <f t="array" ref="F75:F78">INDEX($H$11:$L$14,,MATCH($B72, $H$9:$L$9,0))</f>
        <v>1670</v>
      </c>
      <c r="G75" s="340"/>
      <c r="H75" s="31">
        <f t="shared" ref="H75:Q78" si="4">INDEX(H$20:H$24, MATCH($C75, $C$20:$C$24,0))*$F75</f>
        <v>175.18307514725197</v>
      </c>
      <c r="I75" s="31">
        <f t="shared" si="4"/>
        <v>201.0357894358097</v>
      </c>
      <c r="J75" s="31">
        <f t="shared" si="4"/>
        <v>231.21078454527441</v>
      </c>
      <c r="K75" s="31">
        <f t="shared" si="4"/>
        <v>266.50405462174649</v>
      </c>
      <c r="L75" s="31">
        <f t="shared" si="4"/>
        <v>307.86917738538091</v>
      </c>
      <c r="M75" s="31">
        <f t="shared" si="4"/>
        <v>356.4501159840363</v>
      </c>
      <c r="N75" s="31">
        <f t="shared" si="4"/>
        <v>413.6210762799102</v>
      </c>
      <c r="O75" s="31">
        <f t="shared" si="4"/>
        <v>481.03496874460768</v>
      </c>
      <c r="P75" s="31">
        <f t="shared" si="4"/>
        <v>520.57636385689273</v>
      </c>
      <c r="Q75" s="31">
        <f t="shared" si="4"/>
        <v>537.71095034278869</v>
      </c>
      <c r="R75" s="31">
        <f t="shared" ref="R75:AF78" si="5">INDEX(R$20:R$24, MATCH($C75, $C$20:$C$24,0))*$F75</f>
        <v>549.16915473570555</v>
      </c>
      <c r="S75" s="31">
        <f t="shared" si="5"/>
        <v>562.08962947380917</v>
      </c>
      <c r="T75" s="31">
        <f t="shared" si="5"/>
        <v>576.66239709452407</v>
      </c>
      <c r="U75" s="31">
        <f t="shared" si="5"/>
        <v>592.75399975175253</v>
      </c>
      <c r="V75" s="31">
        <f t="shared" si="5"/>
        <v>592.75399975175253</v>
      </c>
      <c r="W75" s="31">
        <f t="shared" si="5"/>
        <v>592.75399975175253</v>
      </c>
      <c r="X75" s="31">
        <f t="shared" si="5"/>
        <v>592.75399975175253</v>
      </c>
      <c r="Y75" s="31">
        <f t="shared" si="5"/>
        <v>592.75399975175253</v>
      </c>
      <c r="Z75" s="31">
        <f t="shared" si="5"/>
        <v>592.75399975175253</v>
      </c>
      <c r="AA75" s="31">
        <f t="shared" si="5"/>
        <v>592.75399975175253</v>
      </c>
      <c r="AB75" s="31">
        <f t="shared" si="5"/>
        <v>592.75399975175253</v>
      </c>
      <c r="AC75" s="31">
        <f t="shared" si="5"/>
        <v>592.75399975175253</v>
      </c>
      <c r="AD75" s="31">
        <f t="shared" si="5"/>
        <v>592.75399975175253</v>
      </c>
      <c r="AE75" s="31">
        <f t="shared" si="5"/>
        <v>592.75399975175253</v>
      </c>
      <c r="AF75" s="31">
        <f t="shared" si="5"/>
        <v>592.75399975175253</v>
      </c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</row>
    <row r="76" spans="1:61" x14ac:dyDescent="0.2">
      <c r="A76" s="327"/>
      <c r="B76" s="327"/>
      <c r="C76" s="342" t="str">
        <f>C75</f>
        <v>Option 2</v>
      </c>
      <c r="D76" s="6" t="s">
        <v>116</v>
      </c>
      <c r="F76" s="340">
        <v>550666.66666666674</v>
      </c>
      <c r="G76" s="340"/>
      <c r="H76" s="31">
        <f t="shared" si="4"/>
        <v>57764.958112427208</v>
      </c>
      <c r="I76" s="31">
        <f t="shared" si="4"/>
        <v>66289.645538514509</v>
      </c>
      <c r="J76" s="31">
        <f t="shared" si="4"/>
        <v>76239.564085587495</v>
      </c>
      <c r="K76" s="31">
        <f t="shared" si="4"/>
        <v>87877.185276472112</v>
      </c>
      <c r="L76" s="31">
        <f t="shared" si="4"/>
        <v>101516.9423234829</v>
      </c>
      <c r="M76" s="31">
        <f t="shared" si="4"/>
        <v>117536.04622866829</v>
      </c>
      <c r="N76" s="31">
        <f t="shared" si="4"/>
        <v>136387.62834618997</v>
      </c>
      <c r="O76" s="31">
        <f t="shared" si="4"/>
        <v>158616.72023275291</v>
      </c>
      <c r="P76" s="31">
        <f t="shared" si="4"/>
        <v>171655.12037756227</v>
      </c>
      <c r="Q76" s="31">
        <f t="shared" si="4"/>
        <v>177305.08781762214</v>
      </c>
      <c r="R76" s="31">
        <f t="shared" si="5"/>
        <v>181083.32208051611</v>
      </c>
      <c r="S76" s="31">
        <f t="shared" si="5"/>
        <v>185343.72612589481</v>
      </c>
      <c r="T76" s="31">
        <f t="shared" si="5"/>
        <v>190148.95808386305</v>
      </c>
      <c r="U76" s="31">
        <f t="shared" si="5"/>
        <v>195455.0114949891</v>
      </c>
      <c r="V76" s="31">
        <f t="shared" si="5"/>
        <v>195455.0114949891</v>
      </c>
      <c r="W76" s="31">
        <f t="shared" si="5"/>
        <v>195455.0114949891</v>
      </c>
      <c r="X76" s="31">
        <f t="shared" si="5"/>
        <v>195455.0114949891</v>
      </c>
      <c r="Y76" s="31">
        <f t="shared" si="5"/>
        <v>195455.0114949891</v>
      </c>
      <c r="Z76" s="31">
        <f t="shared" si="5"/>
        <v>195455.0114949891</v>
      </c>
      <c r="AA76" s="31">
        <f t="shared" si="5"/>
        <v>195455.0114949891</v>
      </c>
      <c r="AB76" s="31">
        <f t="shared" si="5"/>
        <v>195455.0114949891</v>
      </c>
      <c r="AC76" s="31">
        <f t="shared" si="5"/>
        <v>195455.0114949891</v>
      </c>
      <c r="AD76" s="31">
        <f t="shared" si="5"/>
        <v>195455.0114949891</v>
      </c>
      <c r="AE76" s="31">
        <f t="shared" si="5"/>
        <v>195455.0114949891</v>
      </c>
      <c r="AF76" s="31">
        <f t="shared" si="5"/>
        <v>195455.0114949891</v>
      </c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</row>
    <row r="77" spans="1:61" x14ac:dyDescent="0.2">
      <c r="A77" s="327"/>
      <c r="B77" s="327"/>
      <c r="C77" s="342" t="str">
        <f t="shared" ref="C77:C78" si="6">C76</f>
        <v>Option 2</v>
      </c>
      <c r="D77" s="6" t="s">
        <v>299</v>
      </c>
      <c r="F77" s="340">
        <v>33489.526800000007</v>
      </c>
      <c r="G77" s="340"/>
      <c r="H77" s="31">
        <f t="shared" si="4"/>
        <v>3513.0528682935992</v>
      </c>
      <c r="I77" s="31">
        <f t="shared" si="4"/>
        <v>4031.4930886644956</v>
      </c>
      <c r="J77" s="31">
        <f t="shared" si="4"/>
        <v>4636.6106380107749</v>
      </c>
      <c r="K77" s="31">
        <f t="shared" si="4"/>
        <v>5344.3680715949968</v>
      </c>
      <c r="L77" s="31">
        <f t="shared" si="4"/>
        <v>6173.888064036928</v>
      </c>
      <c r="M77" s="31">
        <f t="shared" si="4"/>
        <v>7148.1112048565838</v>
      </c>
      <c r="N77" s="31">
        <f t="shared" si="4"/>
        <v>8294.5952809107184</v>
      </c>
      <c r="O77" s="31">
        <f t="shared" si="4"/>
        <v>9646.4871122812601</v>
      </c>
      <c r="P77" s="31">
        <f t="shared" si="4"/>
        <v>10439.434783731716</v>
      </c>
      <c r="Q77" s="31">
        <f t="shared" si="4"/>
        <v>10783.045079136702</v>
      </c>
      <c r="R77" s="31">
        <f t="shared" si="5"/>
        <v>11012.823428296264</v>
      </c>
      <c r="S77" s="31">
        <f t="shared" si="5"/>
        <v>11271.925575009107</v>
      </c>
      <c r="T77" s="31">
        <f t="shared" si="5"/>
        <v>11564.162156915754</v>
      </c>
      <c r="U77" s="31">
        <f t="shared" si="5"/>
        <v>11886.856862570967</v>
      </c>
      <c r="V77" s="31">
        <f t="shared" si="5"/>
        <v>11886.856862570967</v>
      </c>
      <c r="W77" s="31">
        <f t="shared" si="5"/>
        <v>11886.856862570967</v>
      </c>
      <c r="X77" s="31">
        <f t="shared" si="5"/>
        <v>11886.856862570967</v>
      </c>
      <c r="Y77" s="31">
        <f t="shared" si="5"/>
        <v>11886.856862570967</v>
      </c>
      <c r="Z77" s="31">
        <f t="shared" si="5"/>
        <v>11886.856862570967</v>
      </c>
      <c r="AA77" s="31">
        <f t="shared" si="5"/>
        <v>11886.856862570967</v>
      </c>
      <c r="AB77" s="31">
        <f t="shared" si="5"/>
        <v>11886.856862570967</v>
      </c>
      <c r="AC77" s="31">
        <f t="shared" si="5"/>
        <v>11886.856862570967</v>
      </c>
      <c r="AD77" s="31">
        <f t="shared" si="5"/>
        <v>11886.856862570967</v>
      </c>
      <c r="AE77" s="31">
        <f t="shared" si="5"/>
        <v>11886.856862570967</v>
      </c>
      <c r="AF77" s="31">
        <f t="shared" si="5"/>
        <v>11886.856862570967</v>
      </c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</row>
    <row r="78" spans="1:61" x14ac:dyDescent="0.2">
      <c r="A78" s="327"/>
      <c r="B78" s="327"/>
      <c r="C78" s="342" t="str">
        <f t="shared" si="6"/>
        <v>Option 2</v>
      </c>
      <c r="D78" s="6" t="s">
        <v>301</v>
      </c>
      <c r="F78" s="340">
        <v>4800</v>
      </c>
      <c r="G78" s="340"/>
      <c r="H78" s="31">
        <f t="shared" si="4"/>
        <v>503.5202159921015</v>
      </c>
      <c r="I78" s="31">
        <f t="shared" si="4"/>
        <v>577.82741873765667</v>
      </c>
      <c r="J78" s="31">
        <f t="shared" si="4"/>
        <v>664.55794360318396</v>
      </c>
      <c r="K78" s="31">
        <f t="shared" si="4"/>
        <v>765.99967795472048</v>
      </c>
      <c r="L78" s="31">
        <f t="shared" si="4"/>
        <v>884.89344398193316</v>
      </c>
      <c r="M78" s="31">
        <f t="shared" si="4"/>
        <v>1024.5272794750745</v>
      </c>
      <c r="N78" s="31">
        <f t="shared" si="4"/>
        <v>1188.8509976907599</v>
      </c>
      <c r="O78" s="31">
        <f t="shared" si="4"/>
        <v>1382.6154790264172</v>
      </c>
      <c r="P78" s="31">
        <f t="shared" si="4"/>
        <v>1496.2673931216079</v>
      </c>
      <c r="Q78" s="31">
        <f t="shared" si="4"/>
        <v>1545.5165039792728</v>
      </c>
      <c r="R78" s="31">
        <f t="shared" si="5"/>
        <v>1578.4502651086148</v>
      </c>
      <c r="S78" s="31">
        <f t="shared" si="5"/>
        <v>1615.5869589666372</v>
      </c>
      <c r="T78" s="31">
        <f t="shared" si="5"/>
        <v>1657.4727581159973</v>
      </c>
      <c r="U78" s="31">
        <f t="shared" si="5"/>
        <v>1703.7240711427619</v>
      </c>
      <c r="V78" s="31">
        <f t="shared" si="5"/>
        <v>1703.7240711427619</v>
      </c>
      <c r="W78" s="31">
        <f t="shared" si="5"/>
        <v>1703.7240711427619</v>
      </c>
      <c r="X78" s="31">
        <f t="shared" si="5"/>
        <v>1703.7240711427619</v>
      </c>
      <c r="Y78" s="31">
        <f t="shared" si="5"/>
        <v>1703.7240711427619</v>
      </c>
      <c r="Z78" s="31">
        <f t="shared" si="5"/>
        <v>1703.7240711427619</v>
      </c>
      <c r="AA78" s="31">
        <f t="shared" si="5"/>
        <v>1703.7240711427619</v>
      </c>
      <c r="AB78" s="31">
        <f t="shared" si="5"/>
        <v>1703.7240711427619</v>
      </c>
      <c r="AC78" s="31">
        <f t="shared" si="5"/>
        <v>1703.7240711427619</v>
      </c>
      <c r="AD78" s="31">
        <f t="shared" si="5"/>
        <v>1703.7240711427619</v>
      </c>
      <c r="AE78" s="31">
        <f t="shared" si="5"/>
        <v>1703.7240711427619</v>
      </c>
      <c r="AF78" s="31">
        <f t="shared" si="5"/>
        <v>1703.7240711427619</v>
      </c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</row>
    <row r="79" spans="1:61" x14ac:dyDescent="0.2">
      <c r="A79" s="327"/>
      <c r="B79" s="327"/>
      <c r="C79" s="342"/>
      <c r="D79" s="327"/>
      <c r="F79" s="327"/>
      <c r="G79" s="327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</row>
    <row r="80" spans="1:61" x14ac:dyDescent="0.2">
      <c r="A80" s="327"/>
      <c r="B80" s="328" t="s">
        <v>309</v>
      </c>
      <c r="C80" s="343"/>
      <c r="D80" s="327"/>
      <c r="F80" s="327"/>
      <c r="G80" s="327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</row>
    <row r="81" spans="1:61" x14ac:dyDescent="0.2">
      <c r="A81" s="327"/>
      <c r="B81" s="327"/>
      <c r="C81" s="342" t="str">
        <f>$C78</f>
        <v>Option 2</v>
      </c>
      <c r="D81" s="6" t="str">
        <f>D75</f>
        <v>Response cost</v>
      </c>
      <c r="F81" s="340">
        <f>F75</f>
        <v>1670</v>
      </c>
      <c r="G81" s="340"/>
      <c r="H81" s="31">
        <f>INDEX(H$30:H$34, MATCH($C81, $C$30:$C$34,0))*$F81</f>
        <v>19.358319829301511</v>
      </c>
      <c r="I81" s="31">
        <f t="shared" ref="H81:Q84" si="7">INDEX(I$30:I$34, MATCH($C81, $C$30:$C$34,0))*$F81</f>
        <v>19.358319829301511</v>
      </c>
      <c r="J81" s="31">
        <f t="shared" si="7"/>
        <v>19.358319829301511</v>
      </c>
      <c r="K81" s="31">
        <f t="shared" si="7"/>
        <v>19.358319829301511</v>
      </c>
      <c r="L81" s="31">
        <f t="shared" si="7"/>
        <v>19.358319829301511</v>
      </c>
      <c r="M81" s="31">
        <f t="shared" si="7"/>
        <v>19.358319829301511</v>
      </c>
      <c r="N81" s="31">
        <f t="shared" si="7"/>
        <v>19.358319829301511</v>
      </c>
      <c r="O81" s="31">
        <f t="shared" si="7"/>
        <v>19.358319829301511</v>
      </c>
      <c r="P81" s="31">
        <f t="shared" si="7"/>
        <v>19.358319829301511</v>
      </c>
      <c r="Q81" s="31">
        <f t="shared" si="7"/>
        <v>19.358319829301511</v>
      </c>
      <c r="R81" s="31">
        <f t="shared" ref="R81:AF84" si="8">INDEX(R$30:R$34, MATCH($C81, $C$30:$C$34,0))*$F81</f>
        <v>19.358319829301511</v>
      </c>
      <c r="S81" s="31">
        <f t="shared" si="8"/>
        <v>19.358319829301511</v>
      </c>
      <c r="T81" s="31">
        <f t="shared" si="8"/>
        <v>19.358319829301511</v>
      </c>
      <c r="U81" s="31">
        <f t="shared" si="8"/>
        <v>19.358319829301511</v>
      </c>
      <c r="V81" s="31">
        <f t="shared" si="8"/>
        <v>19.358319829301511</v>
      </c>
      <c r="W81" s="31">
        <f t="shared" si="8"/>
        <v>19.358319829301511</v>
      </c>
      <c r="X81" s="31">
        <f t="shared" si="8"/>
        <v>19.358319829301511</v>
      </c>
      <c r="Y81" s="31">
        <f t="shared" si="8"/>
        <v>19.358319829301511</v>
      </c>
      <c r="Z81" s="31">
        <f t="shared" si="8"/>
        <v>19.358319829301511</v>
      </c>
      <c r="AA81" s="31">
        <f t="shared" si="8"/>
        <v>19.358319829301511</v>
      </c>
      <c r="AB81" s="31">
        <f t="shared" si="8"/>
        <v>19.358319829301511</v>
      </c>
      <c r="AC81" s="31">
        <f t="shared" si="8"/>
        <v>19.358319829301511</v>
      </c>
      <c r="AD81" s="31">
        <f t="shared" si="8"/>
        <v>19.358319829301511</v>
      </c>
      <c r="AE81" s="31">
        <f t="shared" si="8"/>
        <v>19.358319829301511</v>
      </c>
      <c r="AF81" s="31">
        <f t="shared" si="8"/>
        <v>19.358319829301511</v>
      </c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</row>
    <row r="82" spans="1:61" x14ac:dyDescent="0.2">
      <c r="A82" s="327"/>
      <c r="B82" s="327"/>
      <c r="C82" s="342" t="str">
        <f>C81</f>
        <v>Option 2</v>
      </c>
      <c r="D82" s="6" t="str">
        <f t="shared" ref="D82:D84" si="9">D76</f>
        <v>Unplanned replacements</v>
      </c>
      <c r="F82" s="340">
        <f>F76</f>
        <v>550666.66666666674</v>
      </c>
      <c r="G82" s="340"/>
      <c r="H82" s="31">
        <f t="shared" si="7"/>
        <v>6383.2224267477241</v>
      </c>
      <c r="I82" s="31">
        <f t="shared" si="7"/>
        <v>6383.2224267477241</v>
      </c>
      <c r="J82" s="31">
        <f t="shared" si="7"/>
        <v>6383.2224267477241</v>
      </c>
      <c r="K82" s="31">
        <f t="shared" si="7"/>
        <v>6383.2224267477241</v>
      </c>
      <c r="L82" s="31">
        <f t="shared" si="7"/>
        <v>6383.2224267477241</v>
      </c>
      <c r="M82" s="31">
        <f t="shared" si="7"/>
        <v>6383.2224267477241</v>
      </c>
      <c r="N82" s="31">
        <f t="shared" si="7"/>
        <v>6383.2224267477241</v>
      </c>
      <c r="O82" s="31">
        <f t="shared" si="7"/>
        <v>6383.2224267477241</v>
      </c>
      <c r="P82" s="31">
        <f t="shared" si="7"/>
        <v>6383.2224267477241</v>
      </c>
      <c r="Q82" s="31">
        <f t="shared" si="7"/>
        <v>6383.2224267477241</v>
      </c>
      <c r="R82" s="31">
        <f t="shared" si="8"/>
        <v>6383.2224267477241</v>
      </c>
      <c r="S82" s="31">
        <f t="shared" si="8"/>
        <v>6383.2224267477241</v>
      </c>
      <c r="T82" s="31">
        <f t="shared" si="8"/>
        <v>6383.2224267477241</v>
      </c>
      <c r="U82" s="31">
        <f t="shared" si="8"/>
        <v>6383.2224267477241</v>
      </c>
      <c r="V82" s="31">
        <f t="shared" si="8"/>
        <v>6383.2224267477241</v>
      </c>
      <c r="W82" s="31">
        <f t="shared" si="8"/>
        <v>6383.2224267477241</v>
      </c>
      <c r="X82" s="31">
        <f t="shared" si="8"/>
        <v>6383.2224267477241</v>
      </c>
      <c r="Y82" s="31">
        <f t="shared" si="8"/>
        <v>6383.2224267477241</v>
      </c>
      <c r="Z82" s="31">
        <f t="shared" si="8"/>
        <v>6383.2224267477241</v>
      </c>
      <c r="AA82" s="31">
        <f t="shared" si="8"/>
        <v>6383.2224267477241</v>
      </c>
      <c r="AB82" s="31">
        <f t="shared" si="8"/>
        <v>6383.2224267477241</v>
      </c>
      <c r="AC82" s="31">
        <f t="shared" si="8"/>
        <v>6383.2224267477241</v>
      </c>
      <c r="AD82" s="31">
        <f t="shared" si="8"/>
        <v>6383.2224267477241</v>
      </c>
      <c r="AE82" s="31">
        <f t="shared" si="8"/>
        <v>6383.2224267477241</v>
      </c>
      <c r="AF82" s="31">
        <f t="shared" si="8"/>
        <v>6383.2224267477241</v>
      </c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</row>
    <row r="83" spans="1:61" x14ac:dyDescent="0.2">
      <c r="A83" s="327"/>
      <c r="B83" s="327"/>
      <c r="C83" s="342" t="str">
        <f t="shared" ref="C83:C84" si="10">C82</f>
        <v>Option 2</v>
      </c>
      <c r="D83" s="6" t="str">
        <f t="shared" si="9"/>
        <v>Safety Consequence</v>
      </c>
      <c r="F83" s="340">
        <f>F77</f>
        <v>33489.526800000007</v>
      </c>
      <c r="G83" s="340"/>
      <c r="H83" s="31">
        <f t="shared" si="7"/>
        <v>388.20417408764342</v>
      </c>
      <c r="I83" s="31">
        <f t="shared" si="7"/>
        <v>388.20417408764342</v>
      </c>
      <c r="J83" s="31">
        <f t="shared" si="7"/>
        <v>388.20417408764342</v>
      </c>
      <c r="K83" s="31">
        <f t="shared" si="7"/>
        <v>388.20417408764342</v>
      </c>
      <c r="L83" s="31">
        <f t="shared" si="7"/>
        <v>388.20417408764342</v>
      </c>
      <c r="M83" s="31">
        <f t="shared" si="7"/>
        <v>388.20417408764342</v>
      </c>
      <c r="N83" s="31">
        <f t="shared" si="7"/>
        <v>388.20417408764342</v>
      </c>
      <c r="O83" s="31">
        <f t="shared" si="7"/>
        <v>388.20417408764342</v>
      </c>
      <c r="P83" s="31">
        <f t="shared" si="7"/>
        <v>388.20417408764342</v>
      </c>
      <c r="Q83" s="31">
        <f t="shared" si="7"/>
        <v>388.20417408764342</v>
      </c>
      <c r="R83" s="31">
        <f t="shared" si="8"/>
        <v>388.20417408764342</v>
      </c>
      <c r="S83" s="31">
        <f t="shared" si="8"/>
        <v>388.20417408764342</v>
      </c>
      <c r="T83" s="31">
        <f t="shared" si="8"/>
        <v>388.20417408764342</v>
      </c>
      <c r="U83" s="31">
        <f t="shared" si="8"/>
        <v>388.20417408764342</v>
      </c>
      <c r="V83" s="31">
        <f t="shared" si="8"/>
        <v>388.20417408764342</v>
      </c>
      <c r="W83" s="31">
        <f t="shared" si="8"/>
        <v>388.20417408764342</v>
      </c>
      <c r="X83" s="31">
        <f t="shared" si="8"/>
        <v>388.20417408764342</v>
      </c>
      <c r="Y83" s="31">
        <f t="shared" si="8"/>
        <v>388.20417408764342</v>
      </c>
      <c r="Z83" s="31">
        <f t="shared" si="8"/>
        <v>388.20417408764342</v>
      </c>
      <c r="AA83" s="31">
        <f t="shared" si="8"/>
        <v>388.20417408764342</v>
      </c>
      <c r="AB83" s="31">
        <f t="shared" si="8"/>
        <v>388.20417408764342</v>
      </c>
      <c r="AC83" s="31">
        <f t="shared" si="8"/>
        <v>388.20417408764342</v>
      </c>
      <c r="AD83" s="31">
        <f t="shared" si="8"/>
        <v>388.20417408764342</v>
      </c>
      <c r="AE83" s="31">
        <f t="shared" si="8"/>
        <v>388.20417408764342</v>
      </c>
      <c r="AF83" s="31">
        <f t="shared" si="8"/>
        <v>388.20417408764342</v>
      </c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</row>
    <row r="84" spans="1:61" x14ac:dyDescent="0.2">
      <c r="A84" s="327"/>
      <c r="B84" s="327"/>
      <c r="C84" s="342" t="str">
        <f t="shared" si="10"/>
        <v>Option 2</v>
      </c>
      <c r="D84" s="6" t="str">
        <f t="shared" si="9"/>
        <v>Environmental Consequence</v>
      </c>
      <c r="F84" s="340">
        <f>F78</f>
        <v>4800</v>
      </c>
      <c r="G84" s="340"/>
      <c r="H84" s="31">
        <f t="shared" si="7"/>
        <v>55.64067974889057</v>
      </c>
      <c r="I84" s="31">
        <f t="shared" si="7"/>
        <v>55.64067974889057</v>
      </c>
      <c r="J84" s="31">
        <f t="shared" si="7"/>
        <v>55.64067974889057</v>
      </c>
      <c r="K84" s="31">
        <f t="shared" si="7"/>
        <v>55.64067974889057</v>
      </c>
      <c r="L84" s="31">
        <f t="shared" si="7"/>
        <v>55.64067974889057</v>
      </c>
      <c r="M84" s="31">
        <f t="shared" si="7"/>
        <v>55.64067974889057</v>
      </c>
      <c r="N84" s="31">
        <f t="shared" si="7"/>
        <v>55.64067974889057</v>
      </c>
      <c r="O84" s="31">
        <f t="shared" si="7"/>
        <v>55.64067974889057</v>
      </c>
      <c r="P84" s="31">
        <f t="shared" si="7"/>
        <v>55.64067974889057</v>
      </c>
      <c r="Q84" s="31">
        <f t="shared" si="7"/>
        <v>55.64067974889057</v>
      </c>
      <c r="R84" s="31">
        <f t="shared" si="8"/>
        <v>55.64067974889057</v>
      </c>
      <c r="S84" s="31">
        <f t="shared" si="8"/>
        <v>55.64067974889057</v>
      </c>
      <c r="T84" s="31">
        <f t="shared" si="8"/>
        <v>55.64067974889057</v>
      </c>
      <c r="U84" s="31">
        <f t="shared" si="8"/>
        <v>55.64067974889057</v>
      </c>
      <c r="V84" s="31">
        <f t="shared" si="8"/>
        <v>55.64067974889057</v>
      </c>
      <c r="W84" s="31">
        <f t="shared" si="8"/>
        <v>55.64067974889057</v>
      </c>
      <c r="X84" s="31">
        <f t="shared" si="8"/>
        <v>55.64067974889057</v>
      </c>
      <c r="Y84" s="31">
        <f t="shared" si="8"/>
        <v>55.64067974889057</v>
      </c>
      <c r="Z84" s="31">
        <f t="shared" si="8"/>
        <v>55.64067974889057</v>
      </c>
      <c r="AA84" s="31">
        <f t="shared" si="8"/>
        <v>55.64067974889057</v>
      </c>
      <c r="AB84" s="31">
        <f t="shared" si="8"/>
        <v>55.64067974889057</v>
      </c>
      <c r="AC84" s="31">
        <f t="shared" si="8"/>
        <v>55.64067974889057</v>
      </c>
      <c r="AD84" s="31">
        <f t="shared" si="8"/>
        <v>55.64067974889057</v>
      </c>
      <c r="AE84" s="31">
        <f t="shared" si="8"/>
        <v>55.64067974889057</v>
      </c>
      <c r="AF84" s="31">
        <f t="shared" si="8"/>
        <v>55.64067974889057</v>
      </c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</row>
    <row r="85" spans="1:61" x14ac:dyDescent="0.2">
      <c r="A85" s="327"/>
      <c r="B85" s="327"/>
      <c r="C85" s="342"/>
      <c r="D85" s="327"/>
      <c r="F85" s="327"/>
      <c r="G85" s="327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7"/>
      <c r="BA85" s="327"/>
      <c r="BB85" s="327"/>
      <c r="BC85" s="327"/>
      <c r="BD85" s="327"/>
      <c r="BE85" s="327"/>
      <c r="BF85" s="327"/>
      <c r="BG85" s="327"/>
      <c r="BH85" s="327"/>
      <c r="BI85" s="327"/>
    </row>
    <row r="86" spans="1:61" x14ac:dyDescent="0.2">
      <c r="A86" s="327"/>
      <c r="B86" s="328" t="s">
        <v>320</v>
      </c>
      <c r="C86" s="343"/>
      <c r="D86" s="327"/>
      <c r="F86" s="327"/>
      <c r="G86" s="327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7"/>
      <c r="BA86" s="327"/>
      <c r="BB86" s="327"/>
      <c r="BC86" s="327"/>
      <c r="BD86" s="327"/>
      <c r="BE86" s="327"/>
      <c r="BF86" s="327"/>
      <c r="BG86" s="327"/>
      <c r="BH86" s="327"/>
      <c r="BI86" s="327"/>
    </row>
    <row r="87" spans="1:61" x14ac:dyDescent="0.2">
      <c r="A87" s="327"/>
      <c r="B87" s="327"/>
      <c r="C87" s="342" t="str">
        <f>$C84</f>
        <v>Option 2</v>
      </c>
      <c r="D87" s="327" t="str">
        <f>D75</f>
        <v>Response cost</v>
      </c>
      <c r="F87" s="327"/>
      <c r="G87" s="327"/>
      <c r="H87" s="31">
        <f>INDEX(H$40:H$43, MATCH($C87, $C$40:$C$43,0))*(H81-H75)</f>
        <v>0</v>
      </c>
      <c r="I87" s="31">
        <f>INDEX(I$40:I$43, MATCH($C87, $C$40:$C$43,0))*(I81-I75)</f>
        <v>-36.335493921301641</v>
      </c>
      <c r="J87" s="31">
        <f t="shared" ref="J87:AE87" si="11">INDEX(J$40:J$43, MATCH($C87, $C$40:$C$43,0))*(J81-J75)</f>
        <v>-84.740985886389169</v>
      </c>
      <c r="K87" s="31">
        <f t="shared" si="11"/>
        <v>-148.28744087546698</v>
      </c>
      <c r="L87" s="31">
        <f t="shared" si="11"/>
        <v>-230.80868604486352</v>
      </c>
      <c r="M87" s="31">
        <f t="shared" si="11"/>
        <v>-337.09179615473477</v>
      </c>
      <c r="N87" s="31">
        <f t="shared" si="11"/>
        <v>-394.26275645060866</v>
      </c>
      <c r="O87" s="31">
        <f t="shared" si="11"/>
        <v>-461.67664891530615</v>
      </c>
      <c r="P87" s="31">
        <f t="shared" si="11"/>
        <v>-501.21804402759119</v>
      </c>
      <c r="Q87" s="31">
        <f t="shared" si="11"/>
        <v>-518.35263051348716</v>
      </c>
      <c r="R87" s="31">
        <f t="shared" si="11"/>
        <v>-529.81083490640401</v>
      </c>
      <c r="S87" s="31">
        <f t="shared" si="11"/>
        <v>-542.73130964450763</v>
      </c>
      <c r="T87" s="31">
        <f t="shared" si="11"/>
        <v>-557.30407726522253</v>
      </c>
      <c r="U87" s="31">
        <f t="shared" si="11"/>
        <v>-573.395679922451</v>
      </c>
      <c r="V87" s="31">
        <f t="shared" si="11"/>
        <v>-573.395679922451</v>
      </c>
      <c r="W87" s="31">
        <f t="shared" si="11"/>
        <v>-573.395679922451</v>
      </c>
      <c r="X87" s="31">
        <f t="shared" si="11"/>
        <v>-573.395679922451</v>
      </c>
      <c r="Y87" s="31">
        <f t="shared" si="11"/>
        <v>-573.395679922451</v>
      </c>
      <c r="Z87" s="31">
        <f t="shared" si="11"/>
        <v>-573.395679922451</v>
      </c>
      <c r="AA87" s="31">
        <f t="shared" si="11"/>
        <v>-573.395679922451</v>
      </c>
      <c r="AB87" s="31">
        <f t="shared" si="11"/>
        <v>-573.395679922451</v>
      </c>
      <c r="AC87" s="31">
        <f t="shared" si="11"/>
        <v>-573.395679922451</v>
      </c>
      <c r="AD87" s="31">
        <f t="shared" si="11"/>
        <v>-573.395679922451</v>
      </c>
      <c r="AE87" s="31">
        <f t="shared" si="11"/>
        <v>-573.395679922451</v>
      </c>
      <c r="AF87" s="31">
        <f t="shared" ref="AF87" si="12">INDEX(AF$40:AF$43, MATCH($C87, $C$40:$C$43,0))*(AF81-AF75)</f>
        <v>-573.395679922451</v>
      </c>
      <c r="AG87" s="327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7"/>
      <c r="BA87" s="327"/>
      <c r="BB87" s="327"/>
      <c r="BC87" s="327"/>
      <c r="BD87" s="327"/>
      <c r="BE87" s="327"/>
      <c r="BF87" s="327"/>
      <c r="BG87" s="327"/>
      <c r="BH87" s="327"/>
      <c r="BI87" s="327"/>
    </row>
    <row r="88" spans="1:61" x14ac:dyDescent="0.2">
      <c r="A88" s="327"/>
      <c r="B88" s="327"/>
      <c r="C88" s="342" t="str">
        <f>C87</f>
        <v>Option 2</v>
      </c>
      <c r="D88" s="327" t="str">
        <f t="shared" ref="D88:D90" si="13">D76</f>
        <v>Unplanned replacements</v>
      </c>
      <c r="F88" s="327"/>
      <c r="G88" s="327"/>
      <c r="H88" s="31">
        <f t="shared" ref="H88" si="14">INDEX(H$40:H$43, MATCH($C88, $C$40:$C$43,0))*(H82-H76)</f>
        <v>0</v>
      </c>
      <c r="I88" s="31">
        <f t="shared" ref="I88:I90" si="15">INDEX(I$40:I$43, MATCH($C88, $C$40:$C$43,0))*(I82-I76)</f>
        <v>-11981.284622353358</v>
      </c>
      <c r="J88" s="31">
        <f t="shared" ref="J88:AE88" si="16">INDEX(J$40:J$43, MATCH($C88, $C$40:$C$43,0))*(J82-J76)</f>
        <v>-27942.53666353591</v>
      </c>
      <c r="K88" s="31">
        <f t="shared" si="16"/>
        <v>-48896.377709834625</v>
      </c>
      <c r="L88" s="31">
        <f t="shared" si="16"/>
        <v>-76106.975917388147</v>
      </c>
      <c r="M88" s="31">
        <f t="shared" si="16"/>
        <v>-111152.82380192056</v>
      </c>
      <c r="N88" s="31">
        <f t="shared" si="16"/>
        <v>-130004.40591944224</v>
      </c>
      <c r="O88" s="31">
        <f t="shared" si="16"/>
        <v>-152233.49780600518</v>
      </c>
      <c r="P88" s="31">
        <f t="shared" si="16"/>
        <v>-165271.89795081454</v>
      </c>
      <c r="Q88" s="31">
        <f t="shared" si="16"/>
        <v>-170921.86539087442</v>
      </c>
      <c r="R88" s="31">
        <f t="shared" si="16"/>
        <v>-174700.09965376838</v>
      </c>
      <c r="S88" s="31">
        <f t="shared" si="16"/>
        <v>-178960.50369914708</v>
      </c>
      <c r="T88" s="31">
        <f t="shared" si="16"/>
        <v>-183765.73565711532</v>
      </c>
      <c r="U88" s="31">
        <f t="shared" si="16"/>
        <v>-189071.78906824137</v>
      </c>
      <c r="V88" s="31">
        <f t="shared" si="16"/>
        <v>-189071.78906824137</v>
      </c>
      <c r="W88" s="31">
        <f t="shared" si="16"/>
        <v>-189071.78906824137</v>
      </c>
      <c r="X88" s="31">
        <f t="shared" si="16"/>
        <v>-189071.78906824137</v>
      </c>
      <c r="Y88" s="31">
        <f t="shared" si="16"/>
        <v>-189071.78906824137</v>
      </c>
      <c r="Z88" s="31">
        <f t="shared" si="16"/>
        <v>-189071.78906824137</v>
      </c>
      <c r="AA88" s="31">
        <f t="shared" si="16"/>
        <v>-189071.78906824137</v>
      </c>
      <c r="AB88" s="31">
        <f t="shared" si="16"/>
        <v>-189071.78906824137</v>
      </c>
      <c r="AC88" s="31">
        <f t="shared" si="16"/>
        <v>-189071.78906824137</v>
      </c>
      <c r="AD88" s="31">
        <f t="shared" si="16"/>
        <v>-189071.78906824137</v>
      </c>
      <c r="AE88" s="31">
        <f t="shared" si="16"/>
        <v>-189071.78906824137</v>
      </c>
      <c r="AF88" s="31">
        <f t="shared" ref="AF88" si="17">INDEX(AF$40:AF$43, MATCH($C88, $C$40:$C$43,0))*(AF82-AF76)</f>
        <v>-189071.78906824137</v>
      </c>
      <c r="AG88" s="327"/>
      <c r="AH88" s="327"/>
      <c r="AI88" s="327"/>
      <c r="AJ88" s="327"/>
      <c r="AK88" s="327"/>
      <c r="AL88" s="327"/>
      <c r="AM88" s="327"/>
      <c r="AN88" s="327"/>
      <c r="AO88" s="327"/>
      <c r="AP88" s="327"/>
      <c r="AQ88" s="327"/>
      <c r="AR88" s="327"/>
      <c r="AS88" s="327"/>
      <c r="AT88" s="327"/>
      <c r="AU88" s="327"/>
      <c r="AV88" s="327"/>
      <c r="AW88" s="327"/>
      <c r="AX88" s="327"/>
      <c r="AY88" s="327"/>
      <c r="AZ88" s="327"/>
      <c r="BA88" s="327"/>
      <c r="BB88" s="327"/>
      <c r="BC88" s="327"/>
      <c r="BD88" s="327"/>
      <c r="BE88" s="327"/>
      <c r="BF88" s="327"/>
      <c r="BG88" s="327"/>
      <c r="BH88" s="327"/>
      <c r="BI88" s="327"/>
    </row>
    <row r="89" spans="1:61" x14ac:dyDescent="0.2">
      <c r="A89" s="327"/>
      <c r="B89" s="327"/>
      <c r="C89" s="342" t="str">
        <f t="shared" ref="C89:C90" si="18">C88</f>
        <v>Option 2</v>
      </c>
      <c r="D89" s="327" t="str">
        <f t="shared" si="13"/>
        <v>Safety Consequence</v>
      </c>
      <c r="F89" s="327"/>
      <c r="G89" s="327"/>
      <c r="H89" s="31">
        <f t="shared" ref="H89" si="19">INDEX(H$40:H$43, MATCH($C89, $C$40:$C$43,0))*(H83-H77)</f>
        <v>0</v>
      </c>
      <c r="I89" s="31">
        <f t="shared" si="15"/>
        <v>-728.65778291537049</v>
      </c>
      <c r="J89" s="31">
        <f t="shared" ref="J89:AE89" si="20">INDEX(J$40:J$43, MATCH($C89, $C$40:$C$43,0))*(J83-J77)</f>
        <v>-1699.3625855692526</v>
      </c>
      <c r="K89" s="31">
        <f t="shared" si="20"/>
        <v>-2973.6983385044118</v>
      </c>
      <c r="L89" s="31">
        <f t="shared" si="20"/>
        <v>-4628.5471119594285</v>
      </c>
      <c r="M89" s="31">
        <f t="shared" si="20"/>
        <v>-6759.9070307689399</v>
      </c>
      <c r="N89" s="31">
        <f t="shared" si="20"/>
        <v>-7906.3911068230755</v>
      </c>
      <c r="O89" s="31">
        <f t="shared" si="20"/>
        <v>-9258.2829381936172</v>
      </c>
      <c r="P89" s="31">
        <f t="shared" si="20"/>
        <v>-10051.230609644073</v>
      </c>
      <c r="Q89" s="31">
        <f t="shared" si="20"/>
        <v>-10394.840905049059</v>
      </c>
      <c r="R89" s="31">
        <f t="shared" si="20"/>
        <v>-10624.619254208621</v>
      </c>
      <c r="S89" s="31">
        <f t="shared" si="20"/>
        <v>-10883.721400921464</v>
      </c>
      <c r="T89" s="31">
        <f t="shared" si="20"/>
        <v>-11175.957982828111</v>
      </c>
      <c r="U89" s="31">
        <f t="shared" si="20"/>
        <v>-11498.652688483324</v>
      </c>
      <c r="V89" s="31">
        <f t="shared" si="20"/>
        <v>-11498.652688483324</v>
      </c>
      <c r="W89" s="31">
        <f t="shared" si="20"/>
        <v>-11498.652688483324</v>
      </c>
      <c r="X89" s="31">
        <f t="shared" si="20"/>
        <v>-11498.652688483324</v>
      </c>
      <c r="Y89" s="31">
        <f t="shared" si="20"/>
        <v>-11498.652688483324</v>
      </c>
      <c r="Z89" s="31">
        <f t="shared" si="20"/>
        <v>-11498.652688483324</v>
      </c>
      <c r="AA89" s="31">
        <f t="shared" si="20"/>
        <v>-11498.652688483324</v>
      </c>
      <c r="AB89" s="31">
        <f t="shared" si="20"/>
        <v>-11498.652688483324</v>
      </c>
      <c r="AC89" s="31">
        <f t="shared" si="20"/>
        <v>-11498.652688483324</v>
      </c>
      <c r="AD89" s="31">
        <f t="shared" si="20"/>
        <v>-11498.652688483324</v>
      </c>
      <c r="AE89" s="31">
        <f t="shared" si="20"/>
        <v>-11498.652688483324</v>
      </c>
      <c r="AF89" s="31">
        <f t="shared" ref="AF89" si="21">INDEX(AF$40:AF$43, MATCH($C89, $C$40:$C$43,0))*(AF83-AF77)</f>
        <v>-11498.652688483324</v>
      </c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</row>
    <row r="90" spans="1:61" x14ac:dyDescent="0.2">
      <c r="A90" s="327"/>
      <c r="B90" s="327"/>
      <c r="C90" s="342" t="str">
        <f t="shared" si="18"/>
        <v>Option 2</v>
      </c>
      <c r="D90" s="327" t="str">
        <f t="shared" si="13"/>
        <v>Environmental Consequence</v>
      </c>
      <c r="F90" s="327"/>
      <c r="G90" s="327"/>
      <c r="H90" s="31">
        <f t="shared" ref="H90" si="22">INDEX(H$40:H$43, MATCH($C90, $C$40:$C$43,0))*(H84-H78)</f>
        <v>0</v>
      </c>
      <c r="I90" s="31">
        <f t="shared" si="15"/>
        <v>-104.43734779775323</v>
      </c>
      <c r="J90" s="31">
        <f t="shared" ref="J90:AE90" si="23">INDEX(J$40:J$43, MATCH($C90, $C$40:$C$43,0))*(J84-J78)</f>
        <v>-243.56690554171738</v>
      </c>
      <c r="K90" s="31">
        <f t="shared" si="23"/>
        <v>-426.21539892349796</v>
      </c>
      <c r="L90" s="31">
        <f t="shared" si="23"/>
        <v>-663.40221138643415</v>
      </c>
      <c r="M90" s="31">
        <f t="shared" si="23"/>
        <v>-968.88659972618393</v>
      </c>
      <c r="N90" s="31">
        <f t="shared" si="23"/>
        <v>-1133.2103179418693</v>
      </c>
      <c r="O90" s="31">
        <f t="shared" si="23"/>
        <v>-1326.9747992775267</v>
      </c>
      <c r="P90" s="31">
        <f t="shared" si="23"/>
        <v>-1440.6267133727174</v>
      </c>
      <c r="Q90" s="31">
        <f t="shared" si="23"/>
        <v>-1489.8758242303822</v>
      </c>
      <c r="R90" s="31">
        <f t="shared" si="23"/>
        <v>-1522.8095853597242</v>
      </c>
      <c r="S90" s="31">
        <f t="shared" si="23"/>
        <v>-1559.9462792177467</v>
      </c>
      <c r="T90" s="31">
        <f t="shared" si="23"/>
        <v>-1601.8320783671068</v>
      </c>
      <c r="U90" s="31">
        <f t="shared" si="23"/>
        <v>-1648.0833913938714</v>
      </c>
      <c r="V90" s="31">
        <f t="shared" si="23"/>
        <v>-1648.0833913938714</v>
      </c>
      <c r="W90" s="31">
        <f t="shared" si="23"/>
        <v>-1648.0833913938714</v>
      </c>
      <c r="X90" s="31">
        <f t="shared" si="23"/>
        <v>-1648.0833913938714</v>
      </c>
      <c r="Y90" s="31">
        <f t="shared" si="23"/>
        <v>-1648.0833913938714</v>
      </c>
      <c r="Z90" s="31">
        <f t="shared" si="23"/>
        <v>-1648.0833913938714</v>
      </c>
      <c r="AA90" s="31">
        <f t="shared" si="23"/>
        <v>-1648.0833913938714</v>
      </c>
      <c r="AB90" s="31">
        <f t="shared" si="23"/>
        <v>-1648.0833913938714</v>
      </c>
      <c r="AC90" s="31">
        <f t="shared" si="23"/>
        <v>-1648.0833913938714</v>
      </c>
      <c r="AD90" s="31">
        <f t="shared" si="23"/>
        <v>-1648.0833913938714</v>
      </c>
      <c r="AE90" s="31">
        <f t="shared" si="23"/>
        <v>-1648.0833913938714</v>
      </c>
      <c r="AF90" s="31">
        <f t="shared" ref="AF90" si="24">INDEX(AF$40:AF$43, MATCH($C90, $C$40:$C$43,0))*(AF84-AF78)</f>
        <v>-1648.0833913938714</v>
      </c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327"/>
      <c r="BB90" s="327"/>
      <c r="BC90" s="327"/>
      <c r="BD90" s="327"/>
      <c r="BE90" s="327"/>
      <c r="BF90" s="327"/>
      <c r="BG90" s="327"/>
      <c r="BH90" s="327"/>
      <c r="BI90" s="327"/>
    </row>
    <row r="91" spans="1:61" x14ac:dyDescent="0.2">
      <c r="A91" s="327"/>
      <c r="B91" s="327"/>
      <c r="C91" s="342"/>
      <c r="D91" s="327"/>
      <c r="F91" s="327"/>
      <c r="G91" s="327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7"/>
      <c r="BA91" s="327"/>
      <c r="BB91" s="327"/>
      <c r="BC91" s="327"/>
      <c r="BD91" s="327"/>
      <c r="BE91" s="327"/>
      <c r="BF91" s="327"/>
      <c r="BG91" s="327"/>
      <c r="BH91" s="327"/>
      <c r="BI91" s="327"/>
    </row>
    <row r="92" spans="1:61" x14ac:dyDescent="0.2">
      <c r="A92" s="327"/>
      <c r="B92" s="328" t="s">
        <v>318</v>
      </c>
      <c r="C92" s="343"/>
      <c r="D92" s="327"/>
      <c r="F92" s="327"/>
      <c r="G92" s="327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</row>
    <row r="93" spans="1:61" x14ac:dyDescent="0.2">
      <c r="A93" s="327"/>
      <c r="B93" s="327"/>
      <c r="C93" s="342" t="str">
        <f>$C90</f>
        <v>Option 2</v>
      </c>
      <c r="D93" s="327" t="str">
        <f>D75</f>
        <v>Response cost</v>
      </c>
      <c r="E93" s="349" t="str">
        <f>C93&amp;D93</f>
        <v>Option 2Response cost</v>
      </c>
      <c r="F93" s="327"/>
      <c r="G93" s="327"/>
      <c r="H93" s="31" cm="1">
        <f t="array" ref="H93:H96">H$63:H$66+H87:H90</f>
        <v>400238.05280161236</v>
      </c>
      <c r="I93" s="31" cm="1">
        <f t="array" ref="I93:I96">I$63:I$66+I87:I90</f>
        <v>440796.53684585873</v>
      </c>
      <c r="J93" s="31" cm="1">
        <f t="array" ref="J93:J96">J$63:J$66+J87:J90</f>
        <v>487906.44282881136</v>
      </c>
      <c r="K93" s="31" cm="1">
        <f t="array" ref="K93:K96">K$63:K$66+K87:K90</f>
        <v>542022.96715639206</v>
      </c>
      <c r="L93" s="31" cm="1">
        <f t="array" ref="L93:L96">L$63:L$66+L87:L90</f>
        <v>604118.46390869375</v>
      </c>
      <c r="M93" s="31" cm="1">
        <f t="array" ref="M93:M96">M$63:M$66+M87:M90</f>
        <v>675481.92012674292</v>
      </c>
      <c r="N93" s="31" cm="1">
        <f t="array" ref="N93:N96">N$63:N$66+N87:N90</f>
        <v>757603.89912637242</v>
      </c>
      <c r="O93" s="31" cm="1">
        <f t="array" ref="O93:O96">O$63:O$66+O87:O90</f>
        <v>851612.32293322869</v>
      </c>
      <c r="P93" s="31" cm="1">
        <f t="array" ref="P93:P96">P$63:P$66+P87:P90</f>
        <v>954731.40351141524</v>
      </c>
      <c r="Q93" s="31" cm="1">
        <f t="array" ref="Q93:Q96">Q$63:Q$66+Q87:Q90</f>
        <v>1064481.9061089954</v>
      </c>
      <c r="R93" s="31" cm="1">
        <f t="array" ref="R93:R96">R$63:R$66+R87:R90</f>
        <v>1180209.5904807711</v>
      </c>
      <c r="S93" s="31" cm="1">
        <f t="array" ref="S93:S96">S$63:S$66+S87:S90</f>
        <v>1308408.6225943612</v>
      </c>
      <c r="T93" s="31" cm="1">
        <f t="array" ref="T93:T96">T$63:T$66+T87:T90</f>
        <v>1447842.0120068297</v>
      </c>
      <c r="U93" s="31" cm="1">
        <f t="array" ref="U93:U96">U$63:U$66+U87:U90</f>
        <v>1591356.9012519198</v>
      </c>
      <c r="V93" s="31" cm="1">
        <f t="array" ref="V93:V96">V$63:V$66+V87:V90</f>
        <v>1727635.8193372705</v>
      </c>
      <c r="W93" s="31" cm="1">
        <f t="array" ref="W93:W96">W$63:W$66+W87:W90</f>
        <v>1858912.4615641977</v>
      </c>
      <c r="X93" s="31" cm="1">
        <f t="array" ref="X93:X96">X$63:X$66+X87:X90</f>
        <v>1987448.575421443</v>
      </c>
      <c r="Y93" s="31" cm="1">
        <f t="array" ref="Y93:Y96">Y$63:Y$66+Y87:Y90</f>
        <v>2108439.9487861414</v>
      </c>
      <c r="Z93" s="31" cm="1">
        <f t="array" ref="Z93:Z96">Z$63:Z$66+Z87:Z90</f>
        <v>2219214.1080684899</v>
      </c>
      <c r="AA93" s="31" cm="1">
        <f t="array" ref="AA93:AA96">AA$63:AA$66+AA87:AA90</f>
        <v>2315837.3827564083</v>
      </c>
      <c r="AB93" s="31" cm="1">
        <f t="array" ref="AB93:AB96">AB$63:AB$66+AB87:AB90</f>
        <v>2413290.9406909714</v>
      </c>
      <c r="AC93" s="31" cm="1">
        <f t="array" ref="AC93:AC96">AC$63:AC$66+AC87:AC90</f>
        <v>2512739.1314100181</v>
      </c>
      <c r="AD93" s="31" cm="1">
        <f t="array" ref="AD93:AD96">AD$63:AD$66+AD87:AD90</f>
        <v>2612451.1830043215</v>
      </c>
      <c r="AE93" s="31" cm="1">
        <f t="array" ref="AE93:AE96">AE$63:AE$66+AE87:AE90</f>
        <v>2714263.1025244445</v>
      </c>
      <c r="AF93" s="31" cm="1">
        <f t="array" ref="AF93:AF96">AF$63:AF$66+AF87:AF90</f>
        <v>2816556.7300930605</v>
      </c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</row>
    <row r="94" spans="1:61" x14ac:dyDescent="0.2">
      <c r="A94" s="327"/>
      <c r="B94" s="327"/>
      <c r="C94" s="342" t="str">
        <f>C93</f>
        <v>Option 2</v>
      </c>
      <c r="D94" s="327" t="str">
        <f t="shared" ref="D94:D96" si="25">D76</f>
        <v>Unplanned replacements</v>
      </c>
      <c r="E94" s="349" t="str">
        <f t="shared" ref="E94:E96" si="26">C94&amp;D94</f>
        <v>Option 2Unplanned replacements</v>
      </c>
      <c r="F94" s="327"/>
      <c r="G94" s="327"/>
      <c r="H94" s="31">
        <v>2159114.732966444</v>
      </c>
      <c r="I94" s="31">
        <v>2366125.3016509954</v>
      </c>
      <c r="J94" s="31">
        <v>2604563.1612749523</v>
      </c>
      <c r="K94" s="31">
        <v>2875887.8485718728</v>
      </c>
      <c r="L94" s="31">
        <v>3184101.3155806693</v>
      </c>
      <c r="M94" s="31">
        <v>3534604.4330294942</v>
      </c>
      <c r="N94" s="31">
        <v>3959074.5495338752</v>
      </c>
      <c r="O94" s="31">
        <v>4444344.7465603668</v>
      </c>
      <c r="P94" s="31">
        <v>4987803.4085414018</v>
      </c>
      <c r="Q94" s="31">
        <v>5574303.3403626885</v>
      </c>
      <c r="R94" s="31">
        <v>6194888.7471076502</v>
      </c>
      <c r="S94" s="31">
        <v>6882277.5099471342</v>
      </c>
      <c r="T94" s="31">
        <v>7629734.956456718</v>
      </c>
      <c r="U94" s="31">
        <v>8398717.7374436185</v>
      </c>
      <c r="V94" s="31">
        <v>9133884.7655938771</v>
      </c>
      <c r="W94" s="31">
        <v>9842066.6347151976</v>
      </c>
      <c r="X94" s="31">
        <v>10535464.514314098</v>
      </c>
      <c r="Y94" s="31">
        <v>11188161.715304755</v>
      </c>
      <c r="Z94" s="31">
        <v>11785741.374870615</v>
      </c>
      <c r="AA94" s="31">
        <v>12306983.007108808</v>
      </c>
      <c r="AB94" s="31">
        <v>12832703.665710978</v>
      </c>
      <c r="AC94" s="31">
        <v>13369184.523154041</v>
      </c>
      <c r="AD94" s="31">
        <v>13907088.798233764</v>
      </c>
      <c r="AE94" s="31">
        <v>14456320.971158739</v>
      </c>
      <c r="AF94" s="31">
        <v>15008151.754928462</v>
      </c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</row>
    <row r="95" spans="1:61" x14ac:dyDescent="0.2">
      <c r="A95" s="327"/>
      <c r="B95" s="327"/>
      <c r="C95" s="342" t="str">
        <f t="shared" ref="C95:C96" si="27">C94</f>
        <v>Option 2</v>
      </c>
      <c r="D95" s="327" t="str">
        <f t="shared" si="25"/>
        <v>Safety Consequence</v>
      </c>
      <c r="E95" s="349" t="str">
        <f t="shared" si="26"/>
        <v>Option 2Safety Consequence</v>
      </c>
      <c r="F95" s="327"/>
      <c r="G95" s="327"/>
      <c r="H95" s="31">
        <v>937071.22949347389</v>
      </c>
      <c r="I95" s="31">
        <v>1031386.601605817</v>
      </c>
      <c r="J95" s="31">
        <v>1140826.9299503323</v>
      </c>
      <c r="K95" s="31">
        <v>1266403.564980607</v>
      </c>
      <c r="L95" s="31">
        <v>1410325.1584382416</v>
      </c>
      <c r="M95" s="31">
        <v>1575524.8057413076</v>
      </c>
      <c r="N95" s="31">
        <v>1766783.1081482782</v>
      </c>
      <c r="O95" s="31">
        <v>1985689.5357881642</v>
      </c>
      <c r="P95" s="31">
        <v>2226420.29144456</v>
      </c>
      <c r="Q95" s="31">
        <v>2483073.9706738763</v>
      </c>
      <c r="R95" s="31">
        <v>2753822.4760615937</v>
      </c>
      <c r="S95" s="31">
        <v>3053744.0569027029</v>
      </c>
      <c r="T95" s="31">
        <v>3379939.2006579852</v>
      </c>
      <c r="U95" s="31">
        <v>3715663.3954270552</v>
      </c>
      <c r="V95" s="31">
        <v>4034731.1413107258</v>
      </c>
      <c r="W95" s="31">
        <v>4342087.1352604991</v>
      </c>
      <c r="X95" s="31">
        <v>4643026.7720676586</v>
      </c>
      <c r="Y95" s="31">
        <v>4926302.0233920496</v>
      </c>
      <c r="Z95" s="31">
        <v>5185655.8677059701</v>
      </c>
      <c r="AA95" s="31">
        <v>5411878.4624235528</v>
      </c>
      <c r="AB95" s="31">
        <v>5640044.9866034007</v>
      </c>
      <c r="AC95" s="31">
        <v>5872881.5140042342</v>
      </c>
      <c r="AD95" s="31">
        <v>6106335.8148353072</v>
      </c>
      <c r="AE95" s="31">
        <v>6344706.5043137055</v>
      </c>
      <c r="AF95" s="31">
        <v>6584205.0094760424</v>
      </c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</row>
    <row r="96" spans="1:61" x14ac:dyDescent="0.2">
      <c r="A96" s="327"/>
      <c r="B96" s="327"/>
      <c r="C96" s="342" t="str">
        <f t="shared" si="27"/>
        <v>Option 2</v>
      </c>
      <c r="D96" s="327" t="str">
        <f t="shared" si="25"/>
        <v>Environmental Consequence</v>
      </c>
      <c r="E96" s="349" t="str">
        <f t="shared" si="26"/>
        <v>Option 2Environmental Consequence</v>
      </c>
      <c r="F96" s="327"/>
      <c r="G96" s="327"/>
      <c r="H96" s="31">
        <v>128429.59922776051</v>
      </c>
      <c r="I96" s="31">
        <v>141351.35058819727</v>
      </c>
      <c r="J96" s="31">
        <v>156344.52292075768</v>
      </c>
      <c r="K96" s="31">
        <v>173547.33972241668</v>
      </c>
      <c r="L96" s="31">
        <v>193262.02374355964</v>
      </c>
      <c r="M96" s="31">
        <v>215889.96588619912</v>
      </c>
      <c r="N96" s="31">
        <v>242095.53683530213</v>
      </c>
      <c r="O96" s="31">
        <v>272089.11223373649</v>
      </c>
      <c r="P96" s="31">
        <v>305077.31154088397</v>
      </c>
      <c r="Q96" s="31">
        <v>340250.63447945501</v>
      </c>
      <c r="R96" s="31">
        <v>377356.42751347576</v>
      </c>
      <c r="S96" s="31">
        <v>418460.33068793209</v>
      </c>
      <c r="T96" s="31">
        <v>463164.92956347688</v>
      </c>
      <c r="U96" s="31">
        <v>509175.33432802861</v>
      </c>
      <c r="V96" s="31">
        <v>552904.92653042171</v>
      </c>
      <c r="W96" s="31">
        <v>595029.37329692475</v>
      </c>
      <c r="X96" s="31">
        <v>636274.43101551791</v>
      </c>
      <c r="Y96" s="31">
        <v>675098.50954197103</v>
      </c>
      <c r="Z96" s="31">
        <v>710644.05745236902</v>
      </c>
      <c r="AA96" s="31">
        <v>741648.82663256023</v>
      </c>
      <c r="AB96" s="31">
        <v>772920.01961694926</v>
      </c>
      <c r="AC96" s="31">
        <v>804831.25641357608</v>
      </c>
      <c r="AD96" s="31">
        <v>836827.16168743512</v>
      </c>
      <c r="AE96" s="31">
        <v>869496.87894457858</v>
      </c>
      <c r="AF96" s="31">
        <v>902321.16814004676</v>
      </c>
      <c r="AG96" s="327"/>
      <c r="AH96" s="327"/>
      <c r="AI96" s="327"/>
      <c r="AJ96" s="327"/>
      <c r="AK96" s="327"/>
      <c r="AL96" s="327"/>
      <c r="AM96" s="327"/>
      <c r="AN96" s="327"/>
      <c r="AO96" s="327"/>
      <c r="AP96" s="327"/>
      <c r="AQ96" s="327"/>
      <c r="AR96" s="327"/>
      <c r="AS96" s="327"/>
      <c r="AT96" s="327"/>
      <c r="AU96" s="327"/>
      <c r="AV96" s="327"/>
      <c r="AW96" s="327"/>
      <c r="AX96" s="327"/>
      <c r="AY96" s="327"/>
      <c r="AZ96" s="327"/>
      <c r="BA96" s="327"/>
      <c r="BB96" s="327"/>
      <c r="BC96" s="327"/>
      <c r="BD96" s="327"/>
      <c r="BE96" s="327"/>
      <c r="BF96" s="327"/>
      <c r="BG96" s="327"/>
      <c r="BH96" s="327"/>
      <c r="BI96" s="327"/>
    </row>
    <row r="97" spans="1:61" x14ac:dyDescent="0.2">
      <c r="A97" s="327"/>
      <c r="B97" s="327"/>
      <c r="C97" s="342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27"/>
      <c r="AH97" s="327"/>
      <c r="AI97" s="327"/>
      <c r="AJ97" s="327"/>
      <c r="AK97" s="327"/>
      <c r="AL97" s="327"/>
      <c r="AM97" s="327"/>
      <c r="AN97" s="327"/>
      <c r="AO97" s="327"/>
      <c r="AP97" s="327"/>
      <c r="AQ97" s="327"/>
      <c r="AR97" s="327"/>
      <c r="AS97" s="327"/>
      <c r="AT97" s="327"/>
      <c r="AU97" s="327"/>
      <c r="AV97" s="327"/>
      <c r="AW97" s="327"/>
      <c r="AX97" s="327"/>
      <c r="AY97" s="327"/>
      <c r="AZ97" s="327"/>
      <c r="BA97" s="327"/>
      <c r="BB97" s="327"/>
      <c r="BC97" s="327"/>
      <c r="BD97" s="327"/>
      <c r="BE97" s="327"/>
      <c r="BF97" s="327"/>
      <c r="BG97" s="327"/>
      <c r="BH97" s="327"/>
      <c r="BI97" s="327"/>
    </row>
    <row r="98" spans="1:61" x14ac:dyDescent="0.2">
      <c r="A98" s="327"/>
      <c r="B98" s="327"/>
      <c r="C98" s="344"/>
      <c r="D98"/>
      <c r="E98"/>
      <c r="F98"/>
      <c r="G98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/>
      <c r="Y98"/>
      <c r="Z98"/>
      <c r="AA98"/>
      <c r="AB98"/>
      <c r="AC98"/>
      <c r="AD98"/>
      <c r="AE98"/>
      <c r="AF98"/>
      <c r="AG98" s="327"/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7"/>
      <c r="AS98" s="327"/>
      <c r="AT98" s="327"/>
      <c r="AU98" s="327"/>
      <c r="AV98" s="327"/>
      <c r="AW98" s="327"/>
      <c r="AX98" s="327"/>
      <c r="AY98" s="327"/>
      <c r="AZ98" s="327"/>
      <c r="BA98" s="327"/>
      <c r="BB98" s="327"/>
      <c r="BC98" s="327"/>
      <c r="BD98" s="327"/>
      <c r="BE98" s="327"/>
      <c r="BF98" s="327"/>
      <c r="BG98" s="327"/>
    </row>
    <row r="99" spans="1:61" x14ac:dyDescent="0.2">
      <c r="A99" s="327"/>
      <c r="B99" s="327"/>
      <c r="C99"/>
      <c r="D99"/>
      <c r="E99"/>
      <c r="F99"/>
      <c r="G99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/>
      <c r="Y99"/>
      <c r="Z99"/>
      <c r="AA99"/>
      <c r="AB99"/>
      <c r="AC99"/>
      <c r="AD99"/>
      <c r="AE99"/>
      <c r="AF99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327"/>
    </row>
    <row r="100" spans="1:61" ht="15" x14ac:dyDescent="0.25">
      <c r="A100" s="206" t="str">
        <f>UPPER(B102)&amp; " RISK"</f>
        <v>OPTION 3 RISK</v>
      </c>
      <c r="B100" s="54"/>
      <c r="C100" s="19"/>
      <c r="D100" s="19"/>
      <c r="E100" s="83"/>
      <c r="F100" s="19"/>
      <c r="G100" s="19"/>
      <c r="H100" s="227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10"/>
      <c r="AI100" s="10"/>
      <c r="AJ100" s="8"/>
      <c r="AK100" s="327"/>
      <c r="AL100" s="327"/>
      <c r="AM100" s="327"/>
      <c r="AN100" s="327"/>
      <c r="AO100" s="327"/>
      <c r="AP100" s="327"/>
      <c r="AQ100" s="327"/>
      <c r="AR100" s="327"/>
      <c r="AS100" s="327"/>
      <c r="AT100" s="327"/>
      <c r="AU100" s="327"/>
      <c r="AV100" s="327"/>
      <c r="AW100" s="327"/>
      <c r="AX100" s="327"/>
      <c r="AY100" s="327"/>
      <c r="AZ100" s="327"/>
      <c r="BA100" s="327"/>
      <c r="BB100" s="327"/>
      <c r="BC100" s="327"/>
      <c r="BD100" s="327"/>
      <c r="BE100" s="327"/>
      <c r="BF100" s="327"/>
      <c r="BG100" s="327"/>
    </row>
    <row r="101" spans="1:61" x14ac:dyDescent="0.2">
      <c r="A101" s="327"/>
      <c r="B101" s="327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  <c r="AW101" s="327"/>
      <c r="AX101" s="327"/>
      <c r="AY101" s="327"/>
      <c r="AZ101" s="327"/>
      <c r="BA101" s="327"/>
      <c r="BB101" s="327"/>
      <c r="BC101" s="327"/>
      <c r="BD101" s="327"/>
      <c r="BE101" s="327"/>
      <c r="BF101" s="327"/>
      <c r="BG101" s="327"/>
    </row>
    <row r="102" spans="1:61" x14ac:dyDescent="0.2">
      <c r="A102" s="327"/>
      <c r="B102" s="333" t="s">
        <v>132</v>
      </c>
      <c r="C102" s="333"/>
      <c r="D102" s="333"/>
      <c r="E102" s="333"/>
      <c r="F102" s="333" t="s">
        <v>310</v>
      </c>
      <c r="G102" s="333"/>
      <c r="H102" s="334" t="s">
        <v>273</v>
      </c>
      <c r="I102" s="334" t="s">
        <v>274</v>
      </c>
      <c r="J102" s="334" t="s">
        <v>275</v>
      </c>
      <c r="K102" s="334" t="s">
        <v>276</v>
      </c>
      <c r="L102" s="334" t="s">
        <v>277</v>
      </c>
      <c r="M102" s="334" t="s">
        <v>278</v>
      </c>
      <c r="N102" s="334" t="s">
        <v>279</v>
      </c>
      <c r="O102" s="334" t="s">
        <v>280</v>
      </c>
      <c r="P102" s="334" t="s">
        <v>281</v>
      </c>
      <c r="Q102" s="334" t="s">
        <v>282</v>
      </c>
      <c r="R102" s="334" t="s">
        <v>283</v>
      </c>
      <c r="S102" s="334" t="s">
        <v>284</v>
      </c>
      <c r="T102" s="334" t="s">
        <v>285</v>
      </c>
      <c r="U102" s="334" t="s">
        <v>286</v>
      </c>
      <c r="V102" s="334" t="s">
        <v>287</v>
      </c>
      <c r="W102" s="334" t="s">
        <v>288</v>
      </c>
      <c r="X102" s="334" t="s">
        <v>289</v>
      </c>
      <c r="Y102" s="334" t="s">
        <v>290</v>
      </c>
      <c r="Z102" s="334" t="s">
        <v>291</v>
      </c>
      <c r="AA102" s="334" t="s">
        <v>292</v>
      </c>
      <c r="AB102" s="334" t="s">
        <v>293</v>
      </c>
      <c r="AC102" s="334" t="s">
        <v>294</v>
      </c>
      <c r="AD102" s="334" t="s">
        <v>295</v>
      </c>
      <c r="AE102" s="334" t="s">
        <v>296</v>
      </c>
      <c r="AF102" s="334" t="s">
        <v>297</v>
      </c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27"/>
      <c r="AS102" s="327"/>
      <c r="AT102" s="327"/>
      <c r="AU102" s="327"/>
      <c r="AV102" s="327"/>
      <c r="AW102" s="327"/>
      <c r="AX102" s="327"/>
      <c r="AY102" s="327"/>
      <c r="AZ102" s="327"/>
      <c r="BA102" s="327"/>
      <c r="BB102" s="327"/>
      <c r="BC102" s="327"/>
      <c r="BD102" s="327"/>
      <c r="BE102" s="327"/>
      <c r="BF102" s="327"/>
      <c r="BG102" s="327"/>
      <c r="BH102" s="327"/>
      <c r="BI102" s="327"/>
    </row>
    <row r="103" spans="1:61" x14ac:dyDescent="0.2">
      <c r="A103" s="327"/>
      <c r="B103" s="327"/>
      <c r="C103" s="342"/>
      <c r="D103" s="327"/>
      <c r="E103" s="327"/>
      <c r="F103" s="327"/>
      <c r="G103" s="327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27"/>
      <c r="AH103" s="327"/>
      <c r="AI103" s="327"/>
      <c r="AJ103" s="327"/>
      <c r="AK103" s="327"/>
      <c r="AL103" s="327"/>
      <c r="AM103" s="327"/>
      <c r="AN103" s="327"/>
      <c r="AO103" s="327"/>
      <c r="AP103" s="327"/>
      <c r="AQ103" s="327"/>
      <c r="AR103" s="327"/>
      <c r="AS103" s="327"/>
      <c r="AT103" s="327"/>
      <c r="AU103" s="327"/>
      <c r="AV103" s="327"/>
      <c r="AW103" s="327"/>
      <c r="AX103" s="327"/>
      <c r="AY103" s="327"/>
      <c r="AZ103" s="327"/>
      <c r="BA103" s="327"/>
      <c r="BB103" s="327"/>
      <c r="BC103" s="327"/>
      <c r="BD103" s="327"/>
      <c r="BE103" s="327"/>
      <c r="BF103" s="327"/>
      <c r="BG103" s="327"/>
      <c r="BH103" s="327"/>
      <c r="BI103" s="327"/>
    </row>
    <row r="104" spans="1:61" x14ac:dyDescent="0.2">
      <c r="A104" s="327"/>
      <c r="B104" s="328" t="s">
        <v>308</v>
      </c>
      <c r="C104" s="343"/>
      <c r="D104" s="327"/>
      <c r="E104" s="327"/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</row>
    <row r="105" spans="1:61" x14ac:dyDescent="0.2">
      <c r="A105" s="327"/>
      <c r="B105" s="327"/>
      <c r="C105" s="342" t="str">
        <f>$B$102</f>
        <v>Option 3</v>
      </c>
      <c r="D105" s="6" t="s">
        <v>298</v>
      </c>
      <c r="E105" s="6" t="s">
        <v>307</v>
      </c>
      <c r="F105" s="340" cm="1">
        <f t="array" ref="F105:F108">INDEX($H$11:$L$14,,MATCH($B102, $H$9:$L$9,0))</f>
        <v>1670</v>
      </c>
      <c r="G105" s="340"/>
      <c r="H105" s="31">
        <f t="shared" ref="H105:Q108" si="28">INDEX(H$20:H$24, MATCH($C105, $C$20:$C$24,0))*$F105</f>
        <v>315.46254062635251</v>
      </c>
      <c r="I105" s="31">
        <f t="shared" si="28"/>
        <v>360.67627214019205</v>
      </c>
      <c r="J105" s="31">
        <f t="shared" si="28"/>
        <v>413.20125287672795</v>
      </c>
      <c r="K105" s="31">
        <f t="shared" si="28"/>
        <v>474.33892060932925</v>
      </c>
      <c r="L105" s="31">
        <f t="shared" si="28"/>
        <v>545.6405321695496</v>
      </c>
      <c r="M105" s="31">
        <f t="shared" si="28"/>
        <v>628.9578519090179</v>
      </c>
      <c r="N105" s="31">
        <f t="shared" si="28"/>
        <v>726.50452839555408</v>
      </c>
      <c r="O105" s="31">
        <f t="shared" si="28"/>
        <v>840.93047184958414</v>
      </c>
      <c r="P105" s="31">
        <f t="shared" si="28"/>
        <v>919.58736445110253</v>
      </c>
      <c r="Q105" s="31">
        <f t="shared" si="28"/>
        <v>977.36803297028007</v>
      </c>
      <c r="R105" s="31">
        <f t="shared" ref="R105:AF108" si="29">INDEX(R$20:R$24, MATCH($C105, $C$20:$C$24,0))*$F105</f>
        <v>1009.0190503961437</v>
      </c>
      <c r="S105" s="31">
        <f t="shared" si="29"/>
        <v>1044.709299676297</v>
      </c>
      <c r="T105" s="31">
        <f t="shared" si="29"/>
        <v>1084.9636803881158</v>
      </c>
      <c r="U105" s="31">
        <f t="shared" si="29"/>
        <v>1129.4135416970007</v>
      </c>
      <c r="V105" s="31">
        <f t="shared" si="29"/>
        <v>1129.4135416970007</v>
      </c>
      <c r="W105" s="31">
        <f t="shared" si="29"/>
        <v>1129.4135416970007</v>
      </c>
      <c r="X105" s="31">
        <f t="shared" si="29"/>
        <v>1129.4135416970007</v>
      </c>
      <c r="Y105" s="31">
        <f t="shared" si="29"/>
        <v>1129.4135416970007</v>
      </c>
      <c r="Z105" s="31">
        <f t="shared" si="29"/>
        <v>1129.4135416970007</v>
      </c>
      <c r="AA105" s="31">
        <f t="shared" si="29"/>
        <v>1129.4135416970007</v>
      </c>
      <c r="AB105" s="31">
        <f t="shared" si="29"/>
        <v>1129.4135416970007</v>
      </c>
      <c r="AC105" s="31">
        <f t="shared" si="29"/>
        <v>1129.4135416970007</v>
      </c>
      <c r="AD105" s="31">
        <f t="shared" si="29"/>
        <v>1129.4135416970007</v>
      </c>
      <c r="AE105" s="31">
        <f t="shared" si="29"/>
        <v>1129.4135416970007</v>
      </c>
      <c r="AF105" s="31">
        <f t="shared" si="29"/>
        <v>1129.4135416970007</v>
      </c>
      <c r="AG105" s="327"/>
      <c r="AH105" s="327"/>
      <c r="AI105" s="327"/>
      <c r="AJ105" s="327"/>
      <c r="AK105" s="327"/>
      <c r="AL105" s="327"/>
      <c r="AM105" s="327"/>
      <c r="AN105" s="327"/>
      <c r="AO105" s="327"/>
      <c r="AP105" s="327"/>
      <c r="AQ105" s="327"/>
      <c r="AR105" s="327"/>
      <c r="AS105" s="327"/>
      <c r="AT105" s="327"/>
      <c r="AU105" s="327"/>
      <c r="AV105" s="327"/>
      <c r="AW105" s="327"/>
      <c r="AX105" s="327"/>
      <c r="AY105" s="327"/>
      <c r="AZ105" s="327"/>
      <c r="BA105" s="327"/>
      <c r="BB105" s="327"/>
      <c r="BC105" s="327"/>
      <c r="BD105" s="327"/>
      <c r="BE105" s="327"/>
      <c r="BF105" s="327"/>
      <c r="BG105" s="327"/>
      <c r="BH105" s="327"/>
      <c r="BI105" s="327"/>
    </row>
    <row r="106" spans="1:61" x14ac:dyDescent="0.2">
      <c r="A106" s="327"/>
      <c r="B106" s="327"/>
      <c r="C106" s="342" t="str">
        <f>C105</f>
        <v>Option 3</v>
      </c>
      <c r="D106" s="6" t="s">
        <v>116</v>
      </c>
      <c r="F106" s="340">
        <v>555333.33333333337</v>
      </c>
      <c r="G106" s="340"/>
      <c r="H106" s="31">
        <f t="shared" si="28"/>
        <v>104902.31390888289</v>
      </c>
      <c r="I106" s="31">
        <f t="shared" si="28"/>
        <v>119937.45895919362</v>
      </c>
      <c r="J106" s="31">
        <f t="shared" si="28"/>
        <v>137403.84975900775</v>
      </c>
      <c r="K106" s="31">
        <f t="shared" si="28"/>
        <v>157734.25982737375</v>
      </c>
      <c r="L106" s="31">
        <f t="shared" si="28"/>
        <v>181444.53624640114</v>
      </c>
      <c r="M106" s="31">
        <f t="shared" si="28"/>
        <v>209150.45534539397</v>
      </c>
      <c r="N106" s="31">
        <f t="shared" si="28"/>
        <v>241588.13259620624</v>
      </c>
      <c r="O106" s="31">
        <f t="shared" si="28"/>
        <v>279638.75570886373</v>
      </c>
      <c r="P106" s="31">
        <f t="shared" si="28"/>
        <v>305794.91999511718</v>
      </c>
      <c r="Q106" s="31">
        <f t="shared" si="28"/>
        <v>325009.01056456822</v>
      </c>
      <c r="R106" s="31">
        <f t="shared" si="29"/>
        <v>335534.07943312882</v>
      </c>
      <c r="S106" s="31">
        <f t="shared" si="29"/>
        <v>347402.33398417383</v>
      </c>
      <c r="T106" s="31">
        <f t="shared" si="29"/>
        <v>360788.32166199619</v>
      </c>
      <c r="U106" s="31">
        <f t="shared" si="29"/>
        <v>375569.45318706654</v>
      </c>
      <c r="V106" s="31">
        <f t="shared" si="29"/>
        <v>375569.45318706654</v>
      </c>
      <c r="W106" s="31">
        <f t="shared" si="29"/>
        <v>375569.45318706654</v>
      </c>
      <c r="X106" s="31">
        <f t="shared" si="29"/>
        <v>375569.45318706654</v>
      </c>
      <c r="Y106" s="31">
        <f t="shared" si="29"/>
        <v>375569.45318706654</v>
      </c>
      <c r="Z106" s="31">
        <f t="shared" si="29"/>
        <v>375569.45318706654</v>
      </c>
      <c r="AA106" s="31">
        <f t="shared" si="29"/>
        <v>375569.45318706654</v>
      </c>
      <c r="AB106" s="31">
        <f t="shared" si="29"/>
        <v>375569.45318706654</v>
      </c>
      <c r="AC106" s="31">
        <f t="shared" si="29"/>
        <v>375569.45318706654</v>
      </c>
      <c r="AD106" s="31">
        <f t="shared" si="29"/>
        <v>375569.45318706654</v>
      </c>
      <c r="AE106" s="31">
        <f t="shared" si="29"/>
        <v>375569.45318706654</v>
      </c>
      <c r="AF106" s="31">
        <f t="shared" si="29"/>
        <v>375569.45318706654</v>
      </c>
      <c r="AG106" s="327"/>
      <c r="AH106" s="327"/>
      <c r="AI106" s="327"/>
      <c r="AJ106" s="327"/>
      <c r="AK106" s="327"/>
      <c r="AL106" s="327"/>
      <c r="AM106" s="327"/>
      <c r="AN106" s="327"/>
      <c r="AO106" s="327"/>
      <c r="AP106" s="327"/>
      <c r="AQ106" s="327"/>
      <c r="AR106" s="327"/>
      <c r="AS106" s="327"/>
      <c r="AT106" s="327"/>
      <c r="AU106" s="327"/>
      <c r="AV106" s="327"/>
      <c r="AW106" s="327"/>
      <c r="AX106" s="327"/>
      <c r="AY106" s="327"/>
      <c r="AZ106" s="327"/>
      <c r="BA106" s="327"/>
      <c r="BB106" s="327"/>
      <c r="BC106" s="327"/>
      <c r="BD106" s="327"/>
      <c r="BE106" s="327"/>
      <c r="BF106" s="327"/>
      <c r="BG106" s="327"/>
      <c r="BH106" s="327"/>
      <c r="BI106" s="327"/>
    </row>
    <row r="107" spans="1:61" x14ac:dyDescent="0.2">
      <c r="A107" s="327"/>
      <c r="B107" s="327"/>
      <c r="C107" s="342" t="str">
        <f t="shared" ref="C107:C108" si="30">C106</f>
        <v>Option 3</v>
      </c>
      <c r="D107" s="6" t="s">
        <v>299</v>
      </c>
      <c r="F107" s="340">
        <v>33489.5268</v>
      </c>
      <c r="G107" s="340"/>
      <c r="H107" s="31">
        <f t="shared" si="28"/>
        <v>6326.1624004205514</v>
      </c>
      <c r="I107" s="31">
        <f t="shared" si="28"/>
        <v>7232.8608874030269</v>
      </c>
      <c r="J107" s="31">
        <f t="shared" si="28"/>
        <v>8286.1763065920695</v>
      </c>
      <c r="K107" s="31">
        <f t="shared" si="28"/>
        <v>9512.2071820534147</v>
      </c>
      <c r="L107" s="31">
        <f t="shared" si="28"/>
        <v>10942.061811531974</v>
      </c>
      <c r="M107" s="31">
        <f t="shared" si="28"/>
        <v>12612.874753040409</v>
      </c>
      <c r="N107" s="31">
        <f t="shared" si="28"/>
        <v>14569.03764911633</v>
      </c>
      <c r="O107" s="31">
        <f t="shared" si="28"/>
        <v>16863.690762840295</v>
      </c>
      <c r="P107" s="31">
        <f t="shared" si="28"/>
        <v>18441.045321393154</v>
      </c>
      <c r="Q107" s="31">
        <f t="shared" si="28"/>
        <v>19599.756247677531</v>
      </c>
      <c r="R107" s="31">
        <f t="shared" si="29"/>
        <v>20234.473371228865</v>
      </c>
      <c r="S107" s="31">
        <f t="shared" si="29"/>
        <v>20950.191670490167</v>
      </c>
      <c r="T107" s="31">
        <f t="shared" si="29"/>
        <v>21757.437276278106</v>
      </c>
      <c r="U107" s="31">
        <f t="shared" si="29"/>
        <v>22648.817408948875</v>
      </c>
      <c r="V107" s="31">
        <f t="shared" si="29"/>
        <v>22648.817408948875</v>
      </c>
      <c r="W107" s="31">
        <f t="shared" si="29"/>
        <v>22648.817408948875</v>
      </c>
      <c r="X107" s="31">
        <f t="shared" si="29"/>
        <v>22648.817408948875</v>
      </c>
      <c r="Y107" s="31">
        <f t="shared" si="29"/>
        <v>22648.817408948875</v>
      </c>
      <c r="Z107" s="31">
        <f t="shared" si="29"/>
        <v>22648.817408948875</v>
      </c>
      <c r="AA107" s="31">
        <f t="shared" si="29"/>
        <v>22648.817408948875</v>
      </c>
      <c r="AB107" s="31">
        <f t="shared" si="29"/>
        <v>22648.817408948875</v>
      </c>
      <c r="AC107" s="31">
        <f t="shared" si="29"/>
        <v>22648.817408948875</v>
      </c>
      <c r="AD107" s="31">
        <f t="shared" si="29"/>
        <v>22648.817408948875</v>
      </c>
      <c r="AE107" s="31">
        <f t="shared" si="29"/>
        <v>22648.817408948875</v>
      </c>
      <c r="AF107" s="31">
        <f t="shared" si="29"/>
        <v>22648.817408948875</v>
      </c>
      <c r="AG107" s="327"/>
      <c r="AH107" s="327"/>
      <c r="AI107" s="327"/>
      <c r="AJ107" s="327"/>
      <c r="AK107" s="327"/>
      <c r="AL107" s="327"/>
      <c r="AM107" s="327"/>
      <c r="AN107" s="327"/>
      <c r="AO107" s="327"/>
      <c r="AP107" s="327"/>
      <c r="AQ107" s="327"/>
      <c r="AR107" s="327"/>
      <c r="AS107" s="327"/>
      <c r="AT107" s="327"/>
      <c r="AU107" s="327"/>
      <c r="AV107" s="327"/>
      <c r="AW107" s="327"/>
      <c r="AX107" s="327"/>
      <c r="AY107" s="327"/>
      <c r="AZ107" s="327"/>
      <c r="BA107" s="327"/>
      <c r="BB107" s="327"/>
      <c r="BC107" s="327"/>
      <c r="BD107" s="327"/>
      <c r="BE107" s="327"/>
      <c r="BF107" s="327"/>
      <c r="BG107" s="327"/>
      <c r="BH107" s="327"/>
      <c r="BI107" s="327"/>
    </row>
    <row r="108" spans="1:61" x14ac:dyDescent="0.2">
      <c r="A108" s="327"/>
      <c r="B108" s="327"/>
      <c r="C108" s="342" t="str">
        <f t="shared" si="30"/>
        <v>Option 3</v>
      </c>
      <c r="D108" s="6" t="s">
        <v>301</v>
      </c>
      <c r="F108" s="340">
        <v>4800</v>
      </c>
      <c r="G108" s="340"/>
      <c r="H108" s="31">
        <f t="shared" si="28"/>
        <v>906.71867964460603</v>
      </c>
      <c r="I108" s="31">
        <f t="shared" si="28"/>
        <v>1036.6743151334863</v>
      </c>
      <c r="J108" s="31">
        <f t="shared" si="28"/>
        <v>1187.6443196456851</v>
      </c>
      <c r="K108" s="31">
        <f t="shared" si="28"/>
        <v>1363.369352649569</v>
      </c>
      <c r="L108" s="31">
        <f t="shared" si="28"/>
        <v>1568.3081164154721</v>
      </c>
      <c r="M108" s="31">
        <f t="shared" si="28"/>
        <v>1807.783047403165</v>
      </c>
      <c r="N108" s="31">
        <f t="shared" si="28"/>
        <v>2088.1567283225509</v>
      </c>
      <c r="O108" s="31">
        <f t="shared" si="28"/>
        <v>2417.0456675916193</v>
      </c>
      <c r="P108" s="31">
        <f t="shared" si="28"/>
        <v>2643.1253589013727</v>
      </c>
      <c r="Q108" s="31">
        <f t="shared" si="28"/>
        <v>2809.2015318906251</v>
      </c>
      <c r="R108" s="31">
        <f t="shared" si="29"/>
        <v>2900.1745161086765</v>
      </c>
      <c r="S108" s="31">
        <f t="shared" si="29"/>
        <v>3002.7572685306741</v>
      </c>
      <c r="T108" s="31">
        <f t="shared" si="29"/>
        <v>3118.4584825526681</v>
      </c>
      <c r="U108" s="31">
        <f t="shared" si="29"/>
        <v>3246.2185629614391</v>
      </c>
      <c r="V108" s="31">
        <f t="shared" si="29"/>
        <v>3246.2185629614391</v>
      </c>
      <c r="W108" s="31">
        <f t="shared" si="29"/>
        <v>3246.2185629614391</v>
      </c>
      <c r="X108" s="31">
        <f t="shared" si="29"/>
        <v>3246.2185629614391</v>
      </c>
      <c r="Y108" s="31">
        <f t="shared" si="29"/>
        <v>3246.2185629614391</v>
      </c>
      <c r="Z108" s="31">
        <f t="shared" si="29"/>
        <v>3246.2185629614391</v>
      </c>
      <c r="AA108" s="31">
        <f t="shared" si="29"/>
        <v>3246.2185629614391</v>
      </c>
      <c r="AB108" s="31">
        <f t="shared" si="29"/>
        <v>3246.2185629614391</v>
      </c>
      <c r="AC108" s="31">
        <f t="shared" si="29"/>
        <v>3246.2185629614391</v>
      </c>
      <c r="AD108" s="31">
        <f t="shared" si="29"/>
        <v>3246.2185629614391</v>
      </c>
      <c r="AE108" s="31">
        <f t="shared" si="29"/>
        <v>3246.2185629614391</v>
      </c>
      <c r="AF108" s="31">
        <f t="shared" si="29"/>
        <v>3246.2185629614391</v>
      </c>
      <c r="AG108" s="327"/>
      <c r="AH108" s="327"/>
      <c r="AI108" s="327"/>
      <c r="AJ108" s="327"/>
      <c r="AK108" s="327"/>
      <c r="AL108" s="327"/>
      <c r="AM108" s="327"/>
      <c r="AN108" s="327"/>
      <c r="AO108" s="327"/>
      <c r="AP108" s="327"/>
      <c r="AQ108" s="327"/>
      <c r="AR108" s="327"/>
      <c r="AS108" s="327"/>
      <c r="AT108" s="327"/>
      <c r="AU108" s="327"/>
      <c r="AV108" s="327"/>
      <c r="AW108" s="327"/>
      <c r="AX108" s="327"/>
      <c r="AY108" s="327"/>
      <c r="AZ108" s="327"/>
      <c r="BA108" s="327"/>
      <c r="BB108" s="327"/>
      <c r="BC108" s="327"/>
      <c r="BD108" s="327"/>
      <c r="BE108" s="327"/>
      <c r="BF108" s="327"/>
      <c r="BG108" s="327"/>
      <c r="BH108" s="327"/>
      <c r="BI108" s="327"/>
    </row>
    <row r="109" spans="1:61" x14ac:dyDescent="0.2">
      <c r="A109" s="327"/>
      <c r="B109" s="327"/>
      <c r="C109" s="342"/>
      <c r="D109" s="327"/>
      <c r="F109" s="327"/>
      <c r="G109" s="32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27"/>
      <c r="AH109" s="327"/>
      <c r="AI109" s="327"/>
      <c r="AJ109" s="327"/>
      <c r="AK109" s="327"/>
      <c r="AL109" s="327"/>
      <c r="AM109" s="327"/>
      <c r="AN109" s="327"/>
      <c r="AO109" s="327"/>
      <c r="AP109" s="327"/>
      <c r="AQ109" s="327"/>
      <c r="AR109" s="327"/>
      <c r="AS109" s="327"/>
      <c r="AT109" s="327"/>
      <c r="AU109" s="327"/>
      <c r="AV109" s="327"/>
      <c r="AW109" s="327"/>
      <c r="AX109" s="327"/>
      <c r="AY109" s="327"/>
      <c r="AZ109" s="327"/>
      <c r="BA109" s="327"/>
      <c r="BB109" s="327"/>
      <c r="BC109" s="327"/>
      <c r="BD109" s="327"/>
      <c r="BE109" s="327"/>
      <c r="BF109" s="327"/>
      <c r="BG109" s="327"/>
      <c r="BH109" s="327"/>
      <c r="BI109" s="327"/>
    </row>
    <row r="110" spans="1:61" x14ac:dyDescent="0.2">
      <c r="A110" s="327"/>
      <c r="B110" s="328" t="s">
        <v>309</v>
      </c>
      <c r="C110" s="343"/>
      <c r="D110" s="327"/>
      <c r="F110" s="327"/>
      <c r="G110" s="327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27"/>
      <c r="AH110" s="327"/>
      <c r="AI110" s="327"/>
      <c r="AJ110" s="327"/>
      <c r="AK110" s="327"/>
      <c r="AL110" s="327"/>
      <c r="AM110" s="327"/>
      <c r="AN110" s="327"/>
      <c r="AO110" s="327"/>
      <c r="AP110" s="327"/>
      <c r="AQ110" s="327"/>
      <c r="AR110" s="327"/>
      <c r="AS110" s="327"/>
      <c r="AT110" s="327"/>
      <c r="AU110" s="327"/>
      <c r="AV110" s="327"/>
      <c r="AW110" s="327"/>
      <c r="AX110" s="327"/>
      <c r="AY110" s="327"/>
      <c r="AZ110" s="327"/>
      <c r="BA110" s="327"/>
      <c r="BB110" s="327"/>
      <c r="BC110" s="327"/>
      <c r="BD110" s="327"/>
      <c r="BE110" s="327"/>
      <c r="BF110" s="327"/>
      <c r="BG110" s="327"/>
      <c r="BH110" s="327"/>
      <c r="BI110" s="327"/>
    </row>
    <row r="111" spans="1:61" x14ac:dyDescent="0.2">
      <c r="A111" s="327"/>
      <c r="B111" s="327"/>
      <c r="C111" s="342" t="str">
        <f>$C108</f>
        <v>Option 3</v>
      </c>
      <c r="D111" s="6" t="str">
        <f>D105</f>
        <v>Response cost</v>
      </c>
      <c r="F111" s="340">
        <f>F105</f>
        <v>1670</v>
      </c>
      <c r="G111" s="340"/>
      <c r="H111" s="31">
        <f t="shared" ref="H111:Q114" si="31">INDEX(H$30:H$34, MATCH($C111, $C$30:$C$34,0))*$F111</f>
        <v>36.884691742056958</v>
      </c>
      <c r="I111" s="31">
        <f t="shared" si="31"/>
        <v>36.884691742056958</v>
      </c>
      <c r="J111" s="31">
        <f t="shared" si="31"/>
        <v>36.884691742056958</v>
      </c>
      <c r="K111" s="31">
        <f t="shared" si="31"/>
        <v>36.884691742056958</v>
      </c>
      <c r="L111" s="31">
        <f t="shared" si="31"/>
        <v>36.884691742056958</v>
      </c>
      <c r="M111" s="31">
        <f t="shared" si="31"/>
        <v>36.884691742056958</v>
      </c>
      <c r="N111" s="31">
        <f t="shared" si="31"/>
        <v>36.884691742056958</v>
      </c>
      <c r="O111" s="31">
        <f t="shared" si="31"/>
        <v>36.884691742056958</v>
      </c>
      <c r="P111" s="31">
        <f t="shared" si="31"/>
        <v>36.884691742056958</v>
      </c>
      <c r="Q111" s="31">
        <f t="shared" si="31"/>
        <v>36.884691742056958</v>
      </c>
      <c r="R111" s="31">
        <f t="shared" ref="R111:AF114" si="32">INDEX(R$30:R$34, MATCH($C111, $C$30:$C$34,0))*$F111</f>
        <v>36.884691742056958</v>
      </c>
      <c r="S111" s="31">
        <f t="shared" si="32"/>
        <v>36.884691742056958</v>
      </c>
      <c r="T111" s="31">
        <f t="shared" si="32"/>
        <v>36.884691742056958</v>
      </c>
      <c r="U111" s="31">
        <f t="shared" si="32"/>
        <v>36.884691742056958</v>
      </c>
      <c r="V111" s="31">
        <f t="shared" si="32"/>
        <v>36.884691742056958</v>
      </c>
      <c r="W111" s="31">
        <f t="shared" si="32"/>
        <v>36.884691742056958</v>
      </c>
      <c r="X111" s="31">
        <f t="shared" si="32"/>
        <v>36.884691742056958</v>
      </c>
      <c r="Y111" s="31">
        <f t="shared" si="32"/>
        <v>36.884691742056958</v>
      </c>
      <c r="Z111" s="31">
        <f t="shared" si="32"/>
        <v>36.884691742056958</v>
      </c>
      <c r="AA111" s="31">
        <f t="shared" si="32"/>
        <v>36.884691742056958</v>
      </c>
      <c r="AB111" s="31">
        <f t="shared" si="32"/>
        <v>36.884691742056958</v>
      </c>
      <c r="AC111" s="31">
        <f t="shared" si="32"/>
        <v>36.884691742056958</v>
      </c>
      <c r="AD111" s="31">
        <f t="shared" si="32"/>
        <v>36.884691742056958</v>
      </c>
      <c r="AE111" s="31">
        <f t="shared" si="32"/>
        <v>36.884691742056958</v>
      </c>
      <c r="AF111" s="31">
        <f t="shared" si="32"/>
        <v>36.884691742056958</v>
      </c>
      <c r="AG111" s="327"/>
      <c r="AH111" s="327"/>
      <c r="AI111" s="327"/>
      <c r="AJ111" s="327"/>
      <c r="AK111" s="327"/>
      <c r="AL111" s="327"/>
      <c r="AM111" s="327"/>
      <c r="AN111" s="327"/>
      <c r="AO111" s="327"/>
      <c r="AP111" s="327"/>
      <c r="AQ111" s="327"/>
      <c r="AR111" s="327"/>
      <c r="AS111" s="327"/>
      <c r="AT111" s="327"/>
      <c r="AU111" s="327"/>
      <c r="AV111" s="327"/>
      <c r="AW111" s="327"/>
      <c r="AX111" s="327"/>
      <c r="AY111" s="327"/>
      <c r="AZ111" s="327"/>
      <c r="BA111" s="327"/>
      <c r="BB111" s="327"/>
      <c r="BC111" s="327"/>
      <c r="BD111" s="327"/>
      <c r="BE111" s="327"/>
      <c r="BF111" s="327"/>
      <c r="BG111" s="327"/>
      <c r="BH111" s="327"/>
      <c r="BI111" s="327"/>
    </row>
    <row r="112" spans="1:61" x14ac:dyDescent="0.2">
      <c r="A112" s="327"/>
      <c r="B112" s="327"/>
      <c r="C112" s="342" t="str">
        <f>C111</f>
        <v>Option 3</v>
      </c>
      <c r="D112" s="6" t="str">
        <f t="shared" ref="D112:D114" si="33">D106</f>
        <v>Unplanned replacements</v>
      </c>
      <c r="F112" s="340">
        <f>F106</f>
        <v>555333.33333333337</v>
      </c>
      <c r="G112" s="340"/>
      <c r="H112" s="31">
        <f t="shared" si="31"/>
        <v>12265.448391670039</v>
      </c>
      <c r="I112" s="31">
        <f t="shared" si="31"/>
        <v>12265.448391670039</v>
      </c>
      <c r="J112" s="31">
        <f t="shared" si="31"/>
        <v>12265.448391670039</v>
      </c>
      <c r="K112" s="31">
        <f t="shared" si="31"/>
        <v>12265.448391670039</v>
      </c>
      <c r="L112" s="31">
        <f t="shared" si="31"/>
        <v>12265.448391670039</v>
      </c>
      <c r="M112" s="31">
        <f t="shared" si="31"/>
        <v>12265.448391670039</v>
      </c>
      <c r="N112" s="31">
        <f t="shared" si="31"/>
        <v>12265.448391670039</v>
      </c>
      <c r="O112" s="31">
        <f t="shared" si="31"/>
        <v>12265.448391670039</v>
      </c>
      <c r="P112" s="31">
        <f t="shared" si="31"/>
        <v>12265.448391670039</v>
      </c>
      <c r="Q112" s="31">
        <f t="shared" si="31"/>
        <v>12265.448391670039</v>
      </c>
      <c r="R112" s="31">
        <f t="shared" si="32"/>
        <v>12265.448391670039</v>
      </c>
      <c r="S112" s="31">
        <f t="shared" si="32"/>
        <v>12265.448391670039</v>
      </c>
      <c r="T112" s="31">
        <f t="shared" si="32"/>
        <v>12265.448391670039</v>
      </c>
      <c r="U112" s="31">
        <f t="shared" si="32"/>
        <v>12265.448391670039</v>
      </c>
      <c r="V112" s="31">
        <f t="shared" si="32"/>
        <v>12265.448391670039</v>
      </c>
      <c r="W112" s="31">
        <f t="shared" si="32"/>
        <v>12265.448391670039</v>
      </c>
      <c r="X112" s="31">
        <f t="shared" si="32"/>
        <v>12265.448391670039</v>
      </c>
      <c r="Y112" s="31">
        <f t="shared" si="32"/>
        <v>12265.448391670039</v>
      </c>
      <c r="Z112" s="31">
        <f t="shared" si="32"/>
        <v>12265.448391670039</v>
      </c>
      <c r="AA112" s="31">
        <f t="shared" si="32"/>
        <v>12265.448391670039</v>
      </c>
      <c r="AB112" s="31">
        <f t="shared" si="32"/>
        <v>12265.448391670039</v>
      </c>
      <c r="AC112" s="31">
        <f t="shared" si="32"/>
        <v>12265.448391670039</v>
      </c>
      <c r="AD112" s="31">
        <f t="shared" si="32"/>
        <v>12265.448391670039</v>
      </c>
      <c r="AE112" s="31">
        <f t="shared" si="32"/>
        <v>12265.448391670039</v>
      </c>
      <c r="AF112" s="31">
        <f t="shared" si="32"/>
        <v>12265.448391670039</v>
      </c>
      <c r="AG112" s="327"/>
      <c r="AH112" s="327"/>
      <c r="AI112" s="327"/>
      <c r="AJ112" s="327"/>
      <c r="AK112" s="327"/>
      <c r="AL112" s="327"/>
      <c r="AM112" s="327"/>
      <c r="AN112" s="327"/>
      <c r="AO112" s="327"/>
      <c r="AP112" s="327"/>
      <c r="AQ112" s="327"/>
      <c r="AR112" s="327"/>
      <c r="AS112" s="327"/>
      <c r="AT112" s="327"/>
      <c r="AU112" s="327"/>
      <c r="AV112" s="327"/>
      <c r="AW112" s="327"/>
      <c r="AX112" s="327"/>
      <c r="AY112" s="327"/>
      <c r="AZ112" s="327"/>
      <c r="BA112" s="327"/>
      <c r="BB112" s="327"/>
      <c r="BC112" s="327"/>
      <c r="BD112" s="327"/>
      <c r="BE112" s="327"/>
      <c r="BF112" s="327"/>
      <c r="BG112" s="327"/>
      <c r="BH112" s="327"/>
      <c r="BI112" s="327"/>
    </row>
    <row r="113" spans="1:61" x14ac:dyDescent="0.2">
      <c r="A113" s="327"/>
      <c r="B113" s="327"/>
      <c r="C113" s="342" t="str">
        <f t="shared" ref="C113:C114" si="34">C112</f>
        <v>Option 3</v>
      </c>
      <c r="D113" s="6" t="str">
        <f t="shared" si="33"/>
        <v>Safety Consequence</v>
      </c>
      <c r="F113" s="340">
        <f>F107</f>
        <v>33489.5268</v>
      </c>
      <c r="G113" s="340"/>
      <c r="H113" s="31">
        <f t="shared" si="31"/>
        <v>739.67118120081147</v>
      </c>
      <c r="I113" s="31">
        <f t="shared" si="31"/>
        <v>739.67118120081147</v>
      </c>
      <c r="J113" s="31">
        <f t="shared" si="31"/>
        <v>739.67118120081147</v>
      </c>
      <c r="K113" s="31">
        <f t="shared" si="31"/>
        <v>739.67118120081147</v>
      </c>
      <c r="L113" s="31">
        <f t="shared" si="31"/>
        <v>739.67118120081147</v>
      </c>
      <c r="M113" s="31">
        <f t="shared" si="31"/>
        <v>739.67118120081147</v>
      </c>
      <c r="N113" s="31">
        <f t="shared" si="31"/>
        <v>739.67118120081147</v>
      </c>
      <c r="O113" s="31">
        <f t="shared" si="31"/>
        <v>739.67118120081147</v>
      </c>
      <c r="P113" s="31">
        <f t="shared" si="31"/>
        <v>739.67118120081147</v>
      </c>
      <c r="Q113" s="31">
        <f t="shared" si="31"/>
        <v>739.67118120081147</v>
      </c>
      <c r="R113" s="31">
        <f t="shared" si="32"/>
        <v>739.67118120081147</v>
      </c>
      <c r="S113" s="31">
        <f t="shared" si="32"/>
        <v>739.67118120081147</v>
      </c>
      <c r="T113" s="31">
        <f t="shared" si="32"/>
        <v>739.67118120081147</v>
      </c>
      <c r="U113" s="31">
        <f t="shared" si="32"/>
        <v>739.67118120081147</v>
      </c>
      <c r="V113" s="31">
        <f t="shared" si="32"/>
        <v>739.67118120081147</v>
      </c>
      <c r="W113" s="31">
        <f t="shared" si="32"/>
        <v>739.67118120081147</v>
      </c>
      <c r="X113" s="31">
        <f t="shared" si="32"/>
        <v>739.67118120081147</v>
      </c>
      <c r="Y113" s="31">
        <f t="shared" si="32"/>
        <v>739.67118120081147</v>
      </c>
      <c r="Z113" s="31">
        <f t="shared" si="32"/>
        <v>739.67118120081147</v>
      </c>
      <c r="AA113" s="31">
        <f t="shared" si="32"/>
        <v>739.67118120081147</v>
      </c>
      <c r="AB113" s="31">
        <f t="shared" si="32"/>
        <v>739.67118120081147</v>
      </c>
      <c r="AC113" s="31">
        <f t="shared" si="32"/>
        <v>739.67118120081147</v>
      </c>
      <c r="AD113" s="31">
        <f t="shared" si="32"/>
        <v>739.67118120081147</v>
      </c>
      <c r="AE113" s="31">
        <f t="shared" si="32"/>
        <v>739.67118120081147</v>
      </c>
      <c r="AF113" s="31">
        <f t="shared" si="32"/>
        <v>739.67118120081147</v>
      </c>
      <c r="AG113" s="327"/>
      <c r="AH113" s="327"/>
      <c r="AI113" s="327"/>
      <c r="AJ113" s="327"/>
      <c r="AK113" s="327"/>
      <c r="AL113" s="327"/>
      <c r="AM113" s="327"/>
      <c r="AN113" s="327"/>
      <c r="AO113" s="327"/>
      <c r="AP113" s="327"/>
      <c r="AQ113" s="327"/>
      <c r="AR113" s="327"/>
      <c r="AS113" s="327"/>
      <c r="AT113" s="327"/>
      <c r="AU113" s="327"/>
      <c r="AV113" s="327"/>
      <c r="AW113" s="327"/>
      <c r="AX113" s="327"/>
      <c r="AY113" s="327"/>
      <c r="AZ113" s="327"/>
      <c r="BA113" s="327"/>
      <c r="BB113" s="327"/>
      <c r="BC113" s="327"/>
      <c r="BD113" s="327"/>
      <c r="BE113" s="327"/>
      <c r="BF113" s="327"/>
      <c r="BG113" s="327"/>
      <c r="BH113" s="327"/>
      <c r="BI113" s="327"/>
    </row>
    <row r="114" spans="1:61" x14ac:dyDescent="0.2">
      <c r="A114" s="327"/>
      <c r="B114" s="327"/>
      <c r="C114" s="342" t="str">
        <f t="shared" si="34"/>
        <v>Option 3</v>
      </c>
      <c r="D114" s="6" t="str">
        <f t="shared" si="33"/>
        <v>Environmental Consequence</v>
      </c>
      <c r="F114" s="340">
        <f>F108</f>
        <v>4800</v>
      </c>
      <c r="G114" s="340"/>
      <c r="H114" s="31">
        <f t="shared" si="31"/>
        <v>106.01588045621162</v>
      </c>
      <c r="I114" s="31">
        <f t="shared" si="31"/>
        <v>106.01588045621162</v>
      </c>
      <c r="J114" s="31">
        <f t="shared" si="31"/>
        <v>106.01588045621162</v>
      </c>
      <c r="K114" s="31">
        <f t="shared" si="31"/>
        <v>106.01588045621162</v>
      </c>
      <c r="L114" s="31">
        <f t="shared" si="31"/>
        <v>106.01588045621162</v>
      </c>
      <c r="M114" s="31">
        <f t="shared" si="31"/>
        <v>106.01588045621162</v>
      </c>
      <c r="N114" s="31">
        <f t="shared" si="31"/>
        <v>106.01588045621162</v>
      </c>
      <c r="O114" s="31">
        <f t="shared" si="31"/>
        <v>106.01588045621162</v>
      </c>
      <c r="P114" s="31">
        <f t="shared" si="31"/>
        <v>106.01588045621162</v>
      </c>
      <c r="Q114" s="31">
        <f t="shared" si="31"/>
        <v>106.01588045621162</v>
      </c>
      <c r="R114" s="31">
        <f t="shared" si="32"/>
        <v>106.01588045621162</v>
      </c>
      <c r="S114" s="31">
        <f t="shared" si="32"/>
        <v>106.01588045621162</v>
      </c>
      <c r="T114" s="31">
        <f t="shared" si="32"/>
        <v>106.01588045621162</v>
      </c>
      <c r="U114" s="31">
        <f t="shared" si="32"/>
        <v>106.01588045621162</v>
      </c>
      <c r="V114" s="31">
        <f t="shared" si="32"/>
        <v>106.01588045621162</v>
      </c>
      <c r="W114" s="31">
        <f t="shared" si="32"/>
        <v>106.01588045621162</v>
      </c>
      <c r="X114" s="31">
        <f t="shared" si="32"/>
        <v>106.01588045621162</v>
      </c>
      <c r="Y114" s="31">
        <f t="shared" si="32"/>
        <v>106.01588045621162</v>
      </c>
      <c r="Z114" s="31">
        <f t="shared" si="32"/>
        <v>106.01588045621162</v>
      </c>
      <c r="AA114" s="31">
        <f t="shared" si="32"/>
        <v>106.01588045621162</v>
      </c>
      <c r="AB114" s="31">
        <f t="shared" si="32"/>
        <v>106.01588045621162</v>
      </c>
      <c r="AC114" s="31">
        <f t="shared" si="32"/>
        <v>106.01588045621162</v>
      </c>
      <c r="AD114" s="31">
        <f t="shared" si="32"/>
        <v>106.01588045621162</v>
      </c>
      <c r="AE114" s="31">
        <f t="shared" si="32"/>
        <v>106.01588045621162</v>
      </c>
      <c r="AF114" s="31">
        <f t="shared" si="32"/>
        <v>106.01588045621162</v>
      </c>
      <c r="AG114" s="327"/>
      <c r="AH114" s="327"/>
      <c r="AI114" s="327"/>
      <c r="AJ114" s="327"/>
      <c r="AK114" s="327"/>
      <c r="AL114" s="327"/>
      <c r="AM114" s="327"/>
      <c r="AN114" s="327"/>
      <c r="AO114" s="327"/>
      <c r="AP114" s="327"/>
      <c r="AQ114" s="327"/>
      <c r="AR114" s="327"/>
      <c r="AS114" s="327"/>
      <c r="AT114" s="327"/>
      <c r="AU114" s="327"/>
      <c r="AV114" s="327"/>
      <c r="AW114" s="327"/>
      <c r="AX114" s="327"/>
      <c r="AY114" s="327"/>
      <c r="AZ114" s="327"/>
      <c r="BA114" s="327"/>
      <c r="BB114" s="327"/>
      <c r="BC114" s="327"/>
      <c r="BD114" s="327"/>
      <c r="BE114" s="327"/>
      <c r="BF114" s="327"/>
      <c r="BG114" s="327"/>
      <c r="BH114" s="327"/>
      <c r="BI114" s="327"/>
    </row>
    <row r="115" spans="1:61" x14ac:dyDescent="0.2">
      <c r="A115" s="327"/>
      <c r="B115" s="327"/>
      <c r="C115" s="342"/>
      <c r="D115" s="327"/>
      <c r="F115" s="327"/>
      <c r="G115" s="327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27"/>
      <c r="AH115" s="327"/>
      <c r="AI115" s="327"/>
      <c r="AJ115" s="327"/>
      <c r="AK115" s="327"/>
      <c r="AL115" s="327"/>
      <c r="AM115" s="327"/>
      <c r="AN115" s="327"/>
      <c r="AO115" s="327"/>
      <c r="AP115" s="327"/>
      <c r="AQ115" s="327"/>
      <c r="AR115" s="327"/>
      <c r="AS115" s="327"/>
      <c r="AT115" s="327"/>
      <c r="AU115" s="327"/>
      <c r="AV115" s="327"/>
      <c r="AW115" s="327"/>
      <c r="AX115" s="327"/>
      <c r="AY115" s="327"/>
      <c r="AZ115" s="327"/>
      <c r="BA115" s="327"/>
      <c r="BB115" s="327"/>
      <c r="BC115" s="327"/>
      <c r="BD115" s="327"/>
      <c r="BE115" s="327"/>
      <c r="BF115" s="327"/>
      <c r="BG115" s="327"/>
      <c r="BH115" s="327"/>
      <c r="BI115" s="327"/>
    </row>
    <row r="116" spans="1:61" x14ac:dyDescent="0.2">
      <c r="A116" s="327"/>
      <c r="B116" s="328" t="s">
        <v>320</v>
      </c>
      <c r="C116" s="343"/>
      <c r="D116" s="327"/>
      <c r="F116" s="327"/>
      <c r="G116" s="32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27"/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7"/>
      <c r="AS116" s="327"/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7"/>
      <c r="BE116" s="327"/>
      <c r="BF116" s="327"/>
      <c r="BG116" s="327"/>
      <c r="BH116" s="327"/>
      <c r="BI116" s="327"/>
    </row>
    <row r="117" spans="1:61" x14ac:dyDescent="0.2">
      <c r="A117" s="327"/>
      <c r="B117" s="327"/>
      <c r="C117" s="342" t="str">
        <f>$C114</f>
        <v>Option 3</v>
      </c>
      <c r="D117" s="327" t="str">
        <f>D105</f>
        <v>Response cost</v>
      </c>
      <c r="F117" s="327"/>
      <c r="G117" s="327"/>
      <c r="H117" s="31">
        <f>INDEX(H$40:H$43, MATCH($C117, $C$40:$C$43,0))*(H111-H105)</f>
        <v>0</v>
      </c>
      <c r="I117" s="31">
        <f>INDEX(I$40:I$43, MATCH($C117, $C$40:$C$43,0))*(I111-I105)</f>
        <v>-64.758316079627022</v>
      </c>
      <c r="J117" s="31">
        <f t="shared" ref="J117:AE117" si="35">INDEX(J$40:J$43, MATCH($C117, $C$40:$C$43,0))*(J111-J105)</f>
        <v>-150.52662445386841</v>
      </c>
      <c r="K117" s="31">
        <f t="shared" si="35"/>
        <v>-262.47253732036336</v>
      </c>
      <c r="L117" s="31">
        <f t="shared" si="35"/>
        <v>-407.00467234199414</v>
      </c>
      <c r="M117" s="31">
        <f t="shared" si="35"/>
        <v>-592.07316016696097</v>
      </c>
      <c r="N117" s="31">
        <f t="shared" si="35"/>
        <v>-689.61983665349715</v>
      </c>
      <c r="O117" s="31">
        <f t="shared" si="35"/>
        <v>-804.04578010752721</v>
      </c>
      <c r="P117" s="31">
        <f t="shared" si="35"/>
        <v>-882.7026727090456</v>
      </c>
      <c r="Q117" s="31">
        <f t="shared" si="35"/>
        <v>-940.48334122822314</v>
      </c>
      <c r="R117" s="31">
        <f t="shared" si="35"/>
        <v>-972.13435865408678</v>
      </c>
      <c r="S117" s="31">
        <f t="shared" si="35"/>
        <v>-1007.82460793424</v>
      </c>
      <c r="T117" s="31">
        <f t="shared" si="35"/>
        <v>-1048.0789886460589</v>
      </c>
      <c r="U117" s="31">
        <f t="shared" si="35"/>
        <v>-1092.5288499549438</v>
      </c>
      <c r="V117" s="31">
        <f t="shared" si="35"/>
        <v>-1092.5288499549438</v>
      </c>
      <c r="W117" s="31">
        <f t="shared" si="35"/>
        <v>-1092.5288499549438</v>
      </c>
      <c r="X117" s="31">
        <f t="shared" si="35"/>
        <v>-1092.5288499549438</v>
      </c>
      <c r="Y117" s="31">
        <f t="shared" si="35"/>
        <v>-1092.5288499549438</v>
      </c>
      <c r="Z117" s="31">
        <f t="shared" si="35"/>
        <v>-1092.5288499549438</v>
      </c>
      <c r="AA117" s="31">
        <f t="shared" si="35"/>
        <v>-1092.5288499549438</v>
      </c>
      <c r="AB117" s="31">
        <f t="shared" si="35"/>
        <v>-1092.5288499549438</v>
      </c>
      <c r="AC117" s="31">
        <f t="shared" si="35"/>
        <v>-1092.5288499549438</v>
      </c>
      <c r="AD117" s="31">
        <f t="shared" si="35"/>
        <v>-1092.5288499549438</v>
      </c>
      <c r="AE117" s="31">
        <f t="shared" si="35"/>
        <v>-1092.5288499549438</v>
      </c>
      <c r="AF117" s="31">
        <f t="shared" ref="AF117" si="36">INDEX(AF$40:AF$43, MATCH($C117, $C$40:$C$43,0))*(AF111-AF105)</f>
        <v>-1092.5288499549438</v>
      </c>
      <c r="AG117" s="327"/>
      <c r="AH117" s="327"/>
      <c r="AI117" s="327"/>
      <c r="AJ117" s="327"/>
      <c r="AK117" s="327"/>
      <c r="AL117" s="327"/>
      <c r="AM117" s="327"/>
      <c r="AN117" s="327"/>
      <c r="AO117" s="327"/>
      <c r="AP117" s="327"/>
      <c r="AQ117" s="327"/>
      <c r="AR117" s="327"/>
      <c r="AS117" s="327"/>
      <c r="AT117" s="327"/>
      <c r="AU117" s="327"/>
      <c r="AV117" s="327"/>
      <c r="AW117" s="327"/>
      <c r="AX117" s="327"/>
      <c r="AY117" s="327"/>
      <c r="AZ117" s="327"/>
      <c r="BA117" s="327"/>
      <c r="BB117" s="327"/>
      <c r="BC117" s="327"/>
      <c r="BD117" s="327"/>
      <c r="BE117" s="327"/>
      <c r="BF117" s="327"/>
      <c r="BG117" s="327"/>
      <c r="BH117" s="327"/>
      <c r="BI117" s="327"/>
    </row>
    <row r="118" spans="1:61" x14ac:dyDescent="0.2">
      <c r="A118" s="327"/>
      <c r="B118" s="327"/>
      <c r="C118" s="342" t="str">
        <f>C117</f>
        <v>Option 3</v>
      </c>
      <c r="D118" s="327" t="str">
        <f t="shared" ref="D118:D120" si="37">D106</f>
        <v>Unplanned replacements</v>
      </c>
      <c r="F118" s="327"/>
      <c r="G118" s="327"/>
      <c r="H118" s="31">
        <f t="shared" ref="H118:AE120" si="38">INDEX(H$40:H$43, MATCH($C118, $C$40:$C$43,0))*(H112-H106)</f>
        <v>0</v>
      </c>
      <c r="I118" s="31">
        <f t="shared" si="38"/>
        <v>-21534.402113504719</v>
      </c>
      <c r="J118" s="31">
        <f t="shared" si="38"/>
        <v>-50055.360546935088</v>
      </c>
      <c r="K118" s="31">
        <f t="shared" si="38"/>
        <v>-87281.286861422224</v>
      </c>
      <c r="L118" s="31">
        <f t="shared" si="38"/>
        <v>-135343.27028378489</v>
      </c>
      <c r="M118" s="31">
        <f t="shared" si="38"/>
        <v>-196885.00695372393</v>
      </c>
      <c r="N118" s="31">
        <f t="shared" si="38"/>
        <v>-229322.6842045362</v>
      </c>
      <c r="O118" s="31">
        <f t="shared" si="38"/>
        <v>-267373.30731719371</v>
      </c>
      <c r="P118" s="31">
        <f t="shared" si="38"/>
        <v>-293529.47160344716</v>
      </c>
      <c r="Q118" s="31">
        <f t="shared" si="38"/>
        <v>-312743.56217289821</v>
      </c>
      <c r="R118" s="31">
        <f t="shared" si="38"/>
        <v>-323268.63104145881</v>
      </c>
      <c r="S118" s="31">
        <f t="shared" si="38"/>
        <v>-335136.88559250382</v>
      </c>
      <c r="T118" s="31">
        <f t="shared" si="38"/>
        <v>-348522.87327032618</v>
      </c>
      <c r="U118" s="31">
        <f t="shared" si="38"/>
        <v>-363304.00479539653</v>
      </c>
      <c r="V118" s="31">
        <f t="shared" si="38"/>
        <v>-363304.00479539653</v>
      </c>
      <c r="W118" s="31">
        <f t="shared" si="38"/>
        <v>-363304.00479539653</v>
      </c>
      <c r="X118" s="31">
        <f t="shared" si="38"/>
        <v>-363304.00479539653</v>
      </c>
      <c r="Y118" s="31">
        <f t="shared" si="38"/>
        <v>-363304.00479539653</v>
      </c>
      <c r="Z118" s="31">
        <f t="shared" si="38"/>
        <v>-363304.00479539653</v>
      </c>
      <c r="AA118" s="31">
        <f t="shared" si="38"/>
        <v>-363304.00479539653</v>
      </c>
      <c r="AB118" s="31">
        <f t="shared" si="38"/>
        <v>-363304.00479539653</v>
      </c>
      <c r="AC118" s="31">
        <f t="shared" si="38"/>
        <v>-363304.00479539653</v>
      </c>
      <c r="AD118" s="31">
        <f t="shared" si="38"/>
        <v>-363304.00479539653</v>
      </c>
      <c r="AE118" s="31">
        <f t="shared" si="38"/>
        <v>-363304.00479539653</v>
      </c>
      <c r="AF118" s="31">
        <f t="shared" ref="AF118" si="39">INDEX(AF$40:AF$43, MATCH($C118, $C$40:$C$43,0))*(AF112-AF106)</f>
        <v>-363304.00479539653</v>
      </c>
      <c r="AG118" s="327"/>
      <c r="AH118" s="327"/>
      <c r="AI118" s="327"/>
      <c r="AJ118" s="327"/>
      <c r="AK118" s="327"/>
      <c r="AL118" s="327"/>
      <c r="AM118" s="327"/>
      <c r="AN118" s="327"/>
      <c r="AO118" s="327"/>
      <c r="AP118" s="327"/>
      <c r="AQ118" s="327"/>
      <c r="AR118" s="327"/>
      <c r="AS118" s="327"/>
      <c r="AT118" s="327"/>
      <c r="AU118" s="327"/>
      <c r="AV118" s="327"/>
      <c r="AW118" s="327"/>
      <c r="AX118" s="327"/>
      <c r="AY118" s="327"/>
      <c r="AZ118" s="327"/>
      <c r="BA118" s="327"/>
      <c r="BB118" s="327"/>
      <c r="BC118" s="327"/>
      <c r="BD118" s="327"/>
      <c r="BE118" s="327"/>
      <c r="BF118" s="327"/>
      <c r="BG118" s="327"/>
      <c r="BH118" s="327"/>
      <c r="BI118" s="327"/>
    </row>
    <row r="119" spans="1:61" x14ac:dyDescent="0.2">
      <c r="A119" s="327"/>
      <c r="B119" s="327"/>
      <c r="C119" s="342" t="str">
        <f t="shared" ref="C119:C120" si="40">C118</f>
        <v>Option 3</v>
      </c>
      <c r="D119" s="327" t="str">
        <f t="shared" si="37"/>
        <v>Safety Consequence</v>
      </c>
      <c r="F119" s="327"/>
      <c r="G119" s="327"/>
      <c r="H119" s="31">
        <f t="shared" si="38"/>
        <v>0</v>
      </c>
      <c r="I119" s="31">
        <f t="shared" si="38"/>
        <v>-1298.6379412404431</v>
      </c>
      <c r="J119" s="31">
        <f t="shared" si="38"/>
        <v>-3018.6020501565035</v>
      </c>
      <c r="K119" s="31">
        <f t="shared" si="38"/>
        <v>-5263.5216005115626</v>
      </c>
      <c r="L119" s="31">
        <f t="shared" si="38"/>
        <v>-8161.9125042649312</v>
      </c>
      <c r="M119" s="31">
        <f t="shared" si="38"/>
        <v>-11873.203571839598</v>
      </c>
      <c r="N119" s="31">
        <f t="shared" si="38"/>
        <v>-13829.366467915519</v>
      </c>
      <c r="O119" s="31">
        <f t="shared" si="38"/>
        <v>-16124.019581639484</v>
      </c>
      <c r="P119" s="31">
        <f t="shared" si="38"/>
        <v>-17701.374140192343</v>
      </c>
      <c r="Q119" s="31">
        <f t="shared" si="38"/>
        <v>-18860.08506647672</v>
      </c>
      <c r="R119" s="31">
        <f t="shared" si="38"/>
        <v>-19494.802190028055</v>
      </c>
      <c r="S119" s="31">
        <f t="shared" si="38"/>
        <v>-20210.520489289356</v>
      </c>
      <c r="T119" s="31">
        <f t="shared" si="38"/>
        <v>-21017.766095077295</v>
      </c>
      <c r="U119" s="31">
        <f t="shared" si="38"/>
        <v>-21909.146227748064</v>
      </c>
      <c r="V119" s="31">
        <f t="shared" si="38"/>
        <v>-21909.146227748064</v>
      </c>
      <c r="W119" s="31">
        <f t="shared" si="38"/>
        <v>-21909.146227748064</v>
      </c>
      <c r="X119" s="31">
        <f t="shared" si="38"/>
        <v>-21909.146227748064</v>
      </c>
      <c r="Y119" s="31">
        <f t="shared" si="38"/>
        <v>-21909.146227748064</v>
      </c>
      <c r="Z119" s="31">
        <f t="shared" si="38"/>
        <v>-21909.146227748064</v>
      </c>
      <c r="AA119" s="31">
        <f t="shared" si="38"/>
        <v>-21909.146227748064</v>
      </c>
      <c r="AB119" s="31">
        <f t="shared" si="38"/>
        <v>-21909.146227748064</v>
      </c>
      <c r="AC119" s="31">
        <f t="shared" si="38"/>
        <v>-21909.146227748064</v>
      </c>
      <c r="AD119" s="31">
        <f t="shared" si="38"/>
        <v>-21909.146227748064</v>
      </c>
      <c r="AE119" s="31">
        <f t="shared" si="38"/>
        <v>-21909.146227748064</v>
      </c>
      <c r="AF119" s="31">
        <f t="shared" ref="AF119" si="41">INDEX(AF$40:AF$43, MATCH($C119, $C$40:$C$43,0))*(AF113-AF107)</f>
        <v>-21909.146227748064</v>
      </c>
      <c r="AG119" s="327"/>
      <c r="AH119" s="327"/>
      <c r="AI119" s="327"/>
      <c r="AJ119" s="327"/>
      <c r="AK119" s="327"/>
      <c r="AL119" s="327"/>
      <c r="AM119" s="327"/>
      <c r="AN119" s="327"/>
      <c r="AO119" s="327"/>
      <c r="AP119" s="327"/>
      <c r="AQ119" s="327"/>
      <c r="AR119" s="327"/>
      <c r="AS119" s="327"/>
      <c r="AT119" s="327"/>
      <c r="AU119" s="327"/>
      <c r="AV119" s="327"/>
      <c r="AW119" s="327"/>
      <c r="AX119" s="327"/>
      <c r="AY119" s="327"/>
      <c r="AZ119" s="327"/>
      <c r="BA119" s="327"/>
      <c r="BB119" s="327"/>
      <c r="BC119" s="327"/>
      <c r="BD119" s="327"/>
      <c r="BE119" s="327"/>
      <c r="BF119" s="327"/>
      <c r="BG119" s="327"/>
      <c r="BH119" s="327"/>
      <c r="BI119" s="327"/>
    </row>
    <row r="120" spans="1:61" x14ac:dyDescent="0.2">
      <c r="A120" s="327"/>
      <c r="B120" s="327"/>
      <c r="C120" s="342" t="str">
        <f t="shared" si="40"/>
        <v>Option 3</v>
      </c>
      <c r="D120" s="327" t="str">
        <f t="shared" si="37"/>
        <v>Environmental Consequence</v>
      </c>
      <c r="F120" s="327"/>
      <c r="G120" s="327"/>
      <c r="H120" s="31">
        <f t="shared" si="38"/>
        <v>0</v>
      </c>
      <c r="I120" s="31">
        <f t="shared" si="38"/>
        <v>-186.13168693545495</v>
      </c>
      <c r="J120" s="31">
        <f t="shared" si="38"/>
        <v>-432.65137567578944</v>
      </c>
      <c r="K120" s="31">
        <f t="shared" si="38"/>
        <v>-754.41208331601445</v>
      </c>
      <c r="L120" s="31">
        <f t="shared" si="38"/>
        <v>-1169.8337887674086</v>
      </c>
      <c r="M120" s="31">
        <f t="shared" si="38"/>
        <v>-1701.7671669469535</v>
      </c>
      <c r="N120" s="31">
        <f t="shared" si="38"/>
        <v>-1982.1408478663393</v>
      </c>
      <c r="O120" s="31">
        <f t="shared" si="38"/>
        <v>-2311.0297871354078</v>
      </c>
      <c r="P120" s="31">
        <f t="shared" si="38"/>
        <v>-2537.1094784451611</v>
      </c>
      <c r="Q120" s="31">
        <f t="shared" si="38"/>
        <v>-2703.1856514344136</v>
      </c>
      <c r="R120" s="31">
        <f t="shared" si="38"/>
        <v>-2794.1586356524649</v>
      </c>
      <c r="S120" s="31">
        <f t="shared" si="38"/>
        <v>-2896.7413880744625</v>
      </c>
      <c r="T120" s="31">
        <f t="shared" si="38"/>
        <v>-3012.4426020964565</v>
      </c>
      <c r="U120" s="31">
        <f t="shared" si="38"/>
        <v>-3140.2026825052276</v>
      </c>
      <c r="V120" s="31">
        <f t="shared" si="38"/>
        <v>-3140.2026825052276</v>
      </c>
      <c r="W120" s="31">
        <f t="shared" si="38"/>
        <v>-3140.2026825052276</v>
      </c>
      <c r="X120" s="31">
        <f t="shared" si="38"/>
        <v>-3140.2026825052276</v>
      </c>
      <c r="Y120" s="31">
        <f t="shared" si="38"/>
        <v>-3140.2026825052276</v>
      </c>
      <c r="Z120" s="31">
        <f t="shared" si="38"/>
        <v>-3140.2026825052276</v>
      </c>
      <c r="AA120" s="31">
        <f t="shared" si="38"/>
        <v>-3140.2026825052276</v>
      </c>
      <c r="AB120" s="31">
        <f t="shared" si="38"/>
        <v>-3140.2026825052276</v>
      </c>
      <c r="AC120" s="31">
        <f t="shared" si="38"/>
        <v>-3140.2026825052276</v>
      </c>
      <c r="AD120" s="31">
        <f t="shared" si="38"/>
        <v>-3140.2026825052276</v>
      </c>
      <c r="AE120" s="31">
        <f t="shared" si="38"/>
        <v>-3140.2026825052276</v>
      </c>
      <c r="AF120" s="31">
        <f t="shared" ref="AF120" si="42">INDEX(AF$40:AF$43, MATCH($C120, $C$40:$C$43,0))*(AF114-AF108)</f>
        <v>-3140.2026825052276</v>
      </c>
      <c r="AG120" s="327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  <c r="AW120" s="327"/>
      <c r="AX120" s="327"/>
      <c r="AY120" s="327"/>
      <c r="AZ120" s="327"/>
      <c r="BA120" s="327"/>
      <c r="BB120" s="327"/>
      <c r="BC120" s="327"/>
      <c r="BD120" s="327"/>
      <c r="BE120" s="327"/>
      <c r="BF120" s="327"/>
      <c r="BG120" s="327"/>
      <c r="BH120" s="327"/>
      <c r="BI120" s="327"/>
    </row>
    <row r="121" spans="1:61" x14ac:dyDescent="0.2">
      <c r="A121" s="327"/>
      <c r="B121" s="327"/>
      <c r="C121" s="342"/>
      <c r="D121" s="327"/>
      <c r="F121" s="327"/>
      <c r="G121" s="327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27"/>
      <c r="AH121" s="327"/>
      <c r="AI121" s="327"/>
      <c r="AJ121" s="327"/>
      <c r="AK121" s="327"/>
      <c r="AL121" s="327"/>
      <c r="AM121" s="327"/>
      <c r="AN121" s="327"/>
      <c r="AO121" s="327"/>
      <c r="AP121" s="327"/>
      <c r="AQ121" s="327"/>
      <c r="AR121" s="327"/>
      <c r="AS121" s="327"/>
      <c r="AT121" s="327"/>
      <c r="AU121" s="327"/>
      <c r="AV121" s="327"/>
      <c r="AW121" s="327"/>
      <c r="AX121" s="327"/>
      <c r="AY121" s="327"/>
      <c r="AZ121" s="327"/>
      <c r="BA121" s="327"/>
      <c r="BB121" s="327"/>
      <c r="BC121" s="327"/>
      <c r="BD121" s="327"/>
      <c r="BE121" s="327"/>
      <c r="BF121" s="327"/>
      <c r="BG121" s="327"/>
      <c r="BH121" s="327"/>
      <c r="BI121" s="327"/>
    </row>
    <row r="122" spans="1:61" x14ac:dyDescent="0.2">
      <c r="A122" s="327"/>
      <c r="B122" s="328" t="s">
        <v>318</v>
      </c>
      <c r="C122" s="343"/>
      <c r="D122" s="327"/>
      <c r="F122" s="327"/>
      <c r="G122" s="327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27"/>
      <c r="AH122" s="327"/>
      <c r="AI122" s="327"/>
      <c r="AJ122" s="327"/>
      <c r="AK122" s="327"/>
      <c r="AL122" s="327"/>
      <c r="AM122" s="327"/>
      <c r="AN122" s="327"/>
      <c r="AO122" s="327"/>
      <c r="AP122" s="327"/>
      <c r="AQ122" s="327"/>
      <c r="AR122" s="327"/>
      <c r="AS122" s="327"/>
      <c r="AT122" s="327"/>
      <c r="AU122" s="327"/>
      <c r="AV122" s="327"/>
      <c r="AW122" s="327"/>
      <c r="AX122" s="327"/>
      <c r="AY122" s="327"/>
      <c r="AZ122" s="327"/>
      <c r="BA122" s="327"/>
      <c r="BB122" s="327"/>
      <c r="BC122" s="327"/>
      <c r="BD122" s="327"/>
      <c r="BE122" s="327"/>
      <c r="BF122" s="327"/>
      <c r="BG122" s="327"/>
      <c r="BH122" s="327"/>
      <c r="BI122" s="327"/>
    </row>
    <row r="123" spans="1:61" x14ac:dyDescent="0.2">
      <c r="A123" s="327"/>
      <c r="B123" s="327"/>
      <c r="C123" s="342" t="str">
        <f>$C120</f>
        <v>Option 3</v>
      </c>
      <c r="D123" s="327" t="str">
        <f>D105</f>
        <v>Response cost</v>
      </c>
      <c r="E123" s="349" t="str">
        <f>C123&amp;D123</f>
        <v>Option 3Response cost</v>
      </c>
      <c r="F123" s="327"/>
      <c r="G123" s="327"/>
      <c r="H123" s="31" cm="1">
        <f t="array" ref="H123:H126">H$63:H$66+H117:H120</f>
        <v>400238.05280161236</v>
      </c>
      <c r="I123" s="31" cm="1">
        <f t="array" ref="I123:I126">I$63:I$66+I117:I120</f>
        <v>440768.11402370041</v>
      </c>
      <c r="J123" s="31" cm="1">
        <f t="array" ref="J123:J126">J$63:J$66+J117:J120</f>
        <v>487840.65719024383</v>
      </c>
      <c r="K123" s="31" cm="1">
        <f t="array" ref="K123:K126">K$63:K$66+K117:K120</f>
        <v>541908.78205994715</v>
      </c>
      <c r="L123" s="31" cm="1">
        <f t="array" ref="L123:L126">L$63:L$66+L117:L120</f>
        <v>603942.26792239666</v>
      </c>
      <c r="M123" s="31" cm="1">
        <f t="array" ref="M123:M126">M$63:M$66+M117:M120</f>
        <v>675226.93876273069</v>
      </c>
      <c r="N123" s="31" cm="1">
        <f t="array" ref="N123:N126">N$63:N$66+N117:N120</f>
        <v>757308.54204616952</v>
      </c>
      <c r="O123" s="31" cm="1">
        <f t="array" ref="O123:O126">O$63:O$66+O117:O120</f>
        <v>851269.95380203647</v>
      </c>
      <c r="P123" s="31" cm="1">
        <f t="array" ref="P123:P126">P$63:P$66+P117:P120</f>
        <v>954349.91888273379</v>
      </c>
      <c r="Q123" s="31" cm="1">
        <f t="array" ref="Q123:Q126">Q$63:Q$66+Q117:Q120</f>
        <v>1064059.7753982807</v>
      </c>
      <c r="R123" s="31" cm="1">
        <f t="array" ref="R123:R126">R$63:R$66+R117:R120</f>
        <v>1179767.2669570234</v>
      </c>
      <c r="S123" s="31" cm="1">
        <f t="array" ref="S123:S126">S$63:S$66+S117:S120</f>
        <v>1307943.5292960713</v>
      </c>
      <c r="T123" s="31" cm="1">
        <f t="array" ref="T123:T126">T$63:T$66+T117:T120</f>
        <v>1447351.2370954489</v>
      </c>
      <c r="U123" s="31" cm="1">
        <f t="array" ref="U123:U126">U$63:U$66+U117:U120</f>
        <v>1590837.7680818874</v>
      </c>
      <c r="V123" s="31" cm="1">
        <f t="array" ref="V123:V126">V$63:V$66+V117:V120</f>
        <v>1727116.686167238</v>
      </c>
      <c r="W123" s="31" cm="1">
        <f t="array" ref="W123:W126">W$63:W$66+W117:W120</f>
        <v>1858393.3283941653</v>
      </c>
      <c r="X123" s="31" cm="1">
        <f t="array" ref="X123:X126">X$63:X$66+X117:X120</f>
        <v>1986929.4422514106</v>
      </c>
      <c r="Y123" s="31" cm="1">
        <f t="array" ref="Y123:Y126">Y$63:Y$66+Y117:Y120</f>
        <v>2107920.8156161089</v>
      </c>
      <c r="Z123" s="31" cm="1">
        <f t="array" ref="Z123:Z126">Z$63:Z$66+Z117:Z120</f>
        <v>2218694.9748984575</v>
      </c>
      <c r="AA123" s="31" cm="1">
        <f t="array" ref="AA123:AA126">AA$63:AA$66+AA117:AA120</f>
        <v>2315318.2495863759</v>
      </c>
      <c r="AB123" s="31" cm="1">
        <f t="array" ref="AB123:AB126">AB$63:AB$66+AB117:AB120</f>
        <v>2412771.807520939</v>
      </c>
      <c r="AC123" s="31" cm="1">
        <f t="array" ref="AC123:AC126">AC$63:AC$66+AC117:AC120</f>
        <v>2512219.9982399857</v>
      </c>
      <c r="AD123" s="31" cm="1">
        <f t="array" ref="AD123:AD126">AD$63:AD$66+AD117:AD120</f>
        <v>2611932.0498342891</v>
      </c>
      <c r="AE123" s="31" cm="1">
        <f t="array" ref="AE123:AE126">AE$63:AE$66+AE117:AE120</f>
        <v>2713743.9693544121</v>
      </c>
      <c r="AF123" s="31" cm="1">
        <f t="array" ref="AF123:AF126">AF$63:AF$66+AF117:AF120</f>
        <v>2816037.5969230281</v>
      </c>
      <c r="AG123" s="327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327"/>
      <c r="AS123" s="327"/>
      <c r="AT123" s="327"/>
      <c r="AU123" s="327"/>
      <c r="AV123" s="327"/>
      <c r="AW123" s="327"/>
      <c r="AX123" s="327"/>
      <c r="AY123" s="327"/>
      <c r="AZ123" s="327"/>
      <c r="BA123" s="327"/>
      <c r="BB123" s="327"/>
      <c r="BC123" s="327"/>
      <c r="BD123" s="327"/>
      <c r="BE123" s="327"/>
      <c r="BF123" s="327"/>
      <c r="BG123" s="327"/>
      <c r="BH123" s="327"/>
      <c r="BI123" s="327"/>
    </row>
    <row r="124" spans="1:61" x14ac:dyDescent="0.2">
      <c r="A124" s="327"/>
      <c r="B124" s="327"/>
      <c r="C124" s="342" t="str">
        <f>C123</f>
        <v>Option 3</v>
      </c>
      <c r="D124" s="327" t="str">
        <f t="shared" ref="D124:D126" si="43">D106</f>
        <v>Unplanned replacements</v>
      </c>
      <c r="E124" s="349" t="str">
        <f t="shared" ref="E124:E126" si="44">C124&amp;D124</f>
        <v>Option 3Unplanned replacements</v>
      </c>
      <c r="F124" s="327"/>
      <c r="G124" s="327"/>
      <c r="H124" s="31">
        <v>2159114.732966444</v>
      </c>
      <c r="I124" s="31">
        <v>2356572.1841598442</v>
      </c>
      <c r="J124" s="31">
        <v>2582450.3373915534</v>
      </c>
      <c r="K124" s="31">
        <v>2837502.9394202856</v>
      </c>
      <c r="L124" s="31">
        <v>3124865.0212142728</v>
      </c>
      <c r="M124" s="31">
        <v>3448872.2498776913</v>
      </c>
      <c r="N124" s="31">
        <v>3859756.2712487816</v>
      </c>
      <c r="O124" s="31">
        <v>4329204.9370491784</v>
      </c>
      <c r="P124" s="31">
        <v>4859545.8348887684</v>
      </c>
      <c r="Q124" s="31">
        <v>5432481.6435806649</v>
      </c>
      <c r="R124" s="31">
        <v>6046320.2157199597</v>
      </c>
      <c r="S124" s="31">
        <v>6726101.1280537779</v>
      </c>
      <c r="T124" s="31">
        <v>7464977.8188435072</v>
      </c>
      <c r="U124" s="31">
        <v>8224485.5217164624</v>
      </c>
      <c r="V124" s="31">
        <v>8959652.549866721</v>
      </c>
      <c r="W124" s="31">
        <v>9667834.4189880416</v>
      </c>
      <c r="X124" s="31">
        <v>10361232.298586942</v>
      </c>
      <c r="Y124" s="31">
        <v>11013929.499577599</v>
      </c>
      <c r="Z124" s="31">
        <v>11611509.159143459</v>
      </c>
      <c r="AA124" s="31">
        <v>12132750.791381652</v>
      </c>
      <c r="AB124" s="31">
        <v>12658471.449983822</v>
      </c>
      <c r="AC124" s="31">
        <v>13194952.307426885</v>
      </c>
      <c r="AD124" s="31">
        <v>13732856.582506608</v>
      </c>
      <c r="AE124" s="31">
        <v>14282088.755431583</v>
      </c>
      <c r="AF124" s="31">
        <v>14833919.539201306</v>
      </c>
      <c r="AG124" s="327"/>
      <c r="AH124" s="327"/>
      <c r="AI124" s="327"/>
      <c r="AJ124" s="327"/>
      <c r="AK124" s="327"/>
      <c r="AL124" s="327"/>
      <c r="AM124" s="327"/>
      <c r="AN124" s="327"/>
      <c r="AO124" s="327"/>
      <c r="AP124" s="327"/>
      <c r="AQ124" s="327"/>
      <c r="AR124" s="327"/>
      <c r="AS124" s="327"/>
      <c r="AT124" s="327"/>
      <c r="AU124" s="327"/>
      <c r="AV124" s="327"/>
      <c r="AW124" s="327"/>
      <c r="AX124" s="327"/>
      <c r="AY124" s="327"/>
      <c r="AZ124" s="327"/>
      <c r="BA124" s="327"/>
      <c r="BB124" s="327"/>
      <c r="BC124" s="327"/>
      <c r="BD124" s="327"/>
      <c r="BE124" s="327"/>
      <c r="BF124" s="327"/>
      <c r="BG124" s="327"/>
      <c r="BH124" s="327"/>
      <c r="BI124" s="327"/>
    </row>
    <row r="125" spans="1:61" x14ac:dyDescent="0.2">
      <c r="A125" s="327"/>
      <c r="B125" s="327"/>
      <c r="C125" s="342" t="str">
        <f t="shared" ref="C125:C126" si="45">C124</f>
        <v>Option 3</v>
      </c>
      <c r="D125" s="327" t="str">
        <f t="shared" si="43"/>
        <v>Safety Consequence</v>
      </c>
      <c r="E125" s="349" t="str">
        <f t="shared" si="44"/>
        <v>Option 3Safety Consequence</v>
      </c>
      <c r="F125" s="327"/>
      <c r="G125" s="327"/>
      <c r="H125" s="31">
        <v>937071.22949347389</v>
      </c>
      <c r="I125" s="31">
        <v>1030816.6214474919</v>
      </c>
      <c r="J125" s="31">
        <v>1139507.690485745</v>
      </c>
      <c r="K125" s="31">
        <v>1264113.7417185998</v>
      </c>
      <c r="L125" s="31">
        <v>1406791.7930459362</v>
      </c>
      <c r="M125" s="31">
        <v>1570411.509200237</v>
      </c>
      <c r="N125" s="31">
        <v>1760860.1327871857</v>
      </c>
      <c r="O125" s="31">
        <v>1978823.7991447183</v>
      </c>
      <c r="P125" s="31">
        <v>2218770.147914012</v>
      </c>
      <c r="Q125" s="31">
        <v>2474608.7265124484</v>
      </c>
      <c r="R125" s="31">
        <v>2744952.2931257742</v>
      </c>
      <c r="S125" s="31">
        <v>3044417.2578143347</v>
      </c>
      <c r="T125" s="31">
        <v>3370097.3925457359</v>
      </c>
      <c r="U125" s="31">
        <v>3705252.9018877903</v>
      </c>
      <c r="V125" s="31">
        <v>4024320.6477714609</v>
      </c>
      <c r="W125" s="31">
        <v>4331676.6417212347</v>
      </c>
      <c r="X125" s="31">
        <v>4632616.2785283942</v>
      </c>
      <c r="Y125" s="31">
        <v>4915891.5298527852</v>
      </c>
      <c r="Z125" s="31">
        <v>5175245.3741667056</v>
      </c>
      <c r="AA125" s="31">
        <v>5401467.9688842883</v>
      </c>
      <c r="AB125" s="31">
        <v>5629634.4930641362</v>
      </c>
      <c r="AC125" s="31">
        <v>5862471.0204649698</v>
      </c>
      <c r="AD125" s="31">
        <v>6095925.3212960428</v>
      </c>
      <c r="AE125" s="31">
        <v>6334296.0107744411</v>
      </c>
      <c r="AF125" s="31">
        <v>6573794.5159367779</v>
      </c>
      <c r="AG125" s="327"/>
      <c r="AH125" s="327"/>
      <c r="AI125" s="327"/>
      <c r="AJ125" s="327"/>
      <c r="AK125" s="327"/>
      <c r="AL125" s="327"/>
      <c r="AM125" s="327"/>
      <c r="AN125" s="327"/>
      <c r="AO125" s="327"/>
      <c r="AP125" s="327"/>
      <c r="AQ125" s="327"/>
      <c r="AR125" s="327"/>
      <c r="AS125" s="327"/>
      <c r="AT125" s="327"/>
      <c r="AU125" s="327"/>
      <c r="AV125" s="327"/>
      <c r="AW125" s="327"/>
      <c r="AX125" s="327"/>
      <c r="AY125" s="327"/>
      <c r="AZ125" s="327"/>
      <c r="BA125" s="327"/>
      <c r="BB125" s="327"/>
      <c r="BC125" s="327"/>
      <c r="BD125" s="327"/>
      <c r="BE125" s="327"/>
      <c r="BF125" s="327"/>
      <c r="BG125" s="327"/>
      <c r="BH125" s="327"/>
      <c r="BI125" s="327"/>
    </row>
    <row r="126" spans="1:61" x14ac:dyDescent="0.2">
      <c r="A126" s="327"/>
      <c r="B126" s="327"/>
      <c r="C126" s="342" t="str">
        <f t="shared" si="45"/>
        <v>Option 3</v>
      </c>
      <c r="D126" s="327" t="str">
        <f t="shared" si="43"/>
        <v>Environmental Consequence</v>
      </c>
      <c r="E126" s="349" t="str">
        <f t="shared" si="44"/>
        <v>Option 3Environmental Consequence</v>
      </c>
      <c r="F126" s="327"/>
      <c r="G126" s="327"/>
      <c r="H126" s="31">
        <v>128429.59922776051</v>
      </c>
      <c r="I126" s="31">
        <v>141269.65624905957</v>
      </c>
      <c r="J126" s="31">
        <v>156155.43845062362</v>
      </c>
      <c r="K126" s="31">
        <v>173219.14303802417</v>
      </c>
      <c r="L126" s="31">
        <v>192755.59216617869</v>
      </c>
      <c r="M126" s="31">
        <v>215157.08531897835</v>
      </c>
      <c r="N126" s="31">
        <v>241246.60630537767</v>
      </c>
      <c r="O126" s="31">
        <v>271105.05724587862</v>
      </c>
      <c r="P126" s="31">
        <v>303980.82877581153</v>
      </c>
      <c r="Q126" s="31">
        <v>339037.32465225097</v>
      </c>
      <c r="R126" s="31">
        <v>376085.07846318302</v>
      </c>
      <c r="S126" s="31">
        <v>417123.53557907534</v>
      </c>
      <c r="T126" s="31">
        <v>461754.31903974753</v>
      </c>
      <c r="U126" s="31">
        <v>507683.21503691725</v>
      </c>
      <c r="V126" s="31">
        <v>551412.80723931035</v>
      </c>
      <c r="W126" s="31">
        <v>593537.25400581339</v>
      </c>
      <c r="X126" s="31">
        <v>634782.31172440655</v>
      </c>
      <c r="Y126" s="31">
        <v>673606.39025085967</v>
      </c>
      <c r="Z126" s="31">
        <v>709151.93816125765</v>
      </c>
      <c r="AA126" s="31">
        <v>740156.70734144887</v>
      </c>
      <c r="AB126" s="31">
        <v>771427.90032583789</v>
      </c>
      <c r="AC126" s="31">
        <v>803339.13712246472</v>
      </c>
      <c r="AD126" s="31">
        <v>835335.04239632376</v>
      </c>
      <c r="AE126" s="31">
        <v>868004.75965346722</v>
      </c>
      <c r="AF126" s="31">
        <v>900829.0488489354</v>
      </c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327"/>
      <c r="BB126" s="327"/>
      <c r="BC126" s="327"/>
      <c r="BD126" s="327"/>
      <c r="BE126" s="327"/>
      <c r="BF126" s="327"/>
      <c r="BG126" s="327"/>
      <c r="BH126" s="327"/>
      <c r="BI126" s="327"/>
    </row>
    <row r="127" spans="1:61" x14ac:dyDescent="0.2">
      <c r="A127" s="327"/>
      <c r="B127" s="327"/>
      <c r="C127" s="342"/>
      <c r="D127" s="327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7"/>
      <c r="X127" s="327"/>
      <c r="Y127" s="327"/>
      <c r="Z127" s="327"/>
      <c r="AA127" s="327"/>
      <c r="AB127" s="327"/>
      <c r="AC127" s="327"/>
      <c r="AD127" s="327"/>
      <c r="AE127" s="327"/>
      <c r="AF127" s="327"/>
      <c r="AG127" s="327"/>
      <c r="AH127" s="327"/>
      <c r="AI127" s="327"/>
      <c r="AJ127" s="327"/>
      <c r="AK127" s="327"/>
      <c r="AL127" s="327"/>
      <c r="AM127" s="327"/>
      <c r="AN127" s="327"/>
      <c r="AO127" s="327"/>
      <c r="AP127" s="327"/>
      <c r="AQ127" s="327"/>
      <c r="AR127" s="327"/>
      <c r="AS127" s="327"/>
      <c r="AT127" s="327"/>
      <c r="AU127" s="327"/>
      <c r="AV127" s="327"/>
      <c r="AW127" s="327"/>
      <c r="AX127" s="327"/>
      <c r="AY127" s="327"/>
      <c r="AZ127" s="327"/>
      <c r="BA127" s="327"/>
      <c r="BB127" s="327"/>
      <c r="BC127" s="327"/>
      <c r="BD127" s="327"/>
      <c r="BE127" s="327"/>
      <c r="BF127" s="327"/>
      <c r="BG127" s="327"/>
      <c r="BH127" s="327"/>
      <c r="BI127" s="327"/>
    </row>
    <row r="128" spans="1:61" x14ac:dyDescent="0.2">
      <c r="A128" s="327"/>
      <c r="B128" s="327"/>
      <c r="C128" s="344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7"/>
      <c r="BC128" s="327"/>
      <c r="BD128" s="327"/>
      <c r="BE128" s="327"/>
      <c r="BF128" s="327"/>
      <c r="BG128" s="327"/>
    </row>
    <row r="129" spans="1:61" ht="15" x14ac:dyDescent="0.25">
      <c r="A129" s="206" t="str">
        <f>UPPER(B131)&amp; " RISK"</f>
        <v>OPTION 4 RISK</v>
      </c>
      <c r="B129" s="54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03"/>
      <c r="AG129" s="203"/>
      <c r="AH129" s="10"/>
      <c r="AI129" s="10"/>
      <c r="AJ129" s="8"/>
      <c r="AK129" s="327"/>
      <c r="AL129" s="327"/>
      <c r="AM129" s="327"/>
      <c r="AN129" s="327"/>
      <c r="AO129" s="327"/>
      <c r="AP129" s="327"/>
      <c r="AQ129" s="327"/>
      <c r="AR129" s="327"/>
      <c r="AS129" s="327"/>
      <c r="AT129" s="327"/>
      <c r="AU129" s="327"/>
      <c r="AV129" s="327"/>
      <c r="AW129" s="327"/>
      <c r="AX129" s="327"/>
      <c r="AY129" s="327"/>
      <c r="AZ129" s="327"/>
      <c r="BA129" s="327"/>
      <c r="BB129" s="327"/>
      <c r="BC129" s="327"/>
      <c r="BD129" s="327"/>
      <c r="BE129" s="327"/>
      <c r="BF129" s="327"/>
      <c r="BG129" s="327"/>
    </row>
    <row r="130" spans="1:61" x14ac:dyDescent="0.2">
      <c r="A130" s="327"/>
      <c r="B130" s="327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327"/>
      <c r="AV130" s="327"/>
      <c r="AW130" s="327"/>
      <c r="AX130" s="327"/>
      <c r="AY130" s="327"/>
      <c r="AZ130" s="327"/>
      <c r="BA130" s="327"/>
      <c r="BB130" s="327"/>
      <c r="BC130" s="327"/>
      <c r="BD130" s="327"/>
      <c r="BE130" s="327"/>
      <c r="BF130" s="327"/>
      <c r="BG130" s="327"/>
    </row>
    <row r="131" spans="1:61" x14ac:dyDescent="0.2">
      <c r="A131" s="327"/>
      <c r="B131" s="333" t="s">
        <v>133</v>
      </c>
      <c r="C131" s="333"/>
      <c r="D131" s="333"/>
      <c r="E131" s="333"/>
      <c r="F131" s="333" t="s">
        <v>310</v>
      </c>
      <c r="G131" s="333"/>
      <c r="H131" s="334" t="s">
        <v>273</v>
      </c>
      <c r="I131" s="334" t="s">
        <v>274</v>
      </c>
      <c r="J131" s="334" t="s">
        <v>275</v>
      </c>
      <c r="K131" s="334" t="s">
        <v>276</v>
      </c>
      <c r="L131" s="334" t="s">
        <v>277</v>
      </c>
      <c r="M131" s="334" t="s">
        <v>278</v>
      </c>
      <c r="N131" s="334" t="s">
        <v>279</v>
      </c>
      <c r="O131" s="334" t="s">
        <v>280</v>
      </c>
      <c r="P131" s="334" t="s">
        <v>281</v>
      </c>
      <c r="Q131" s="334" t="s">
        <v>282</v>
      </c>
      <c r="R131" s="334" t="s">
        <v>283</v>
      </c>
      <c r="S131" s="334" t="s">
        <v>284</v>
      </c>
      <c r="T131" s="334" t="s">
        <v>285</v>
      </c>
      <c r="U131" s="334" t="s">
        <v>286</v>
      </c>
      <c r="V131" s="334" t="s">
        <v>287</v>
      </c>
      <c r="W131" s="334" t="s">
        <v>288</v>
      </c>
      <c r="X131" s="334" t="s">
        <v>289</v>
      </c>
      <c r="Y131" s="334" t="s">
        <v>290</v>
      </c>
      <c r="Z131" s="334" t="s">
        <v>291</v>
      </c>
      <c r="AA131" s="334" t="s">
        <v>292</v>
      </c>
      <c r="AB131" s="334" t="s">
        <v>293</v>
      </c>
      <c r="AC131" s="334" t="s">
        <v>294</v>
      </c>
      <c r="AD131" s="334" t="s">
        <v>295</v>
      </c>
      <c r="AE131" s="334" t="s">
        <v>296</v>
      </c>
      <c r="AF131" s="334" t="s">
        <v>297</v>
      </c>
      <c r="AG131" s="327"/>
      <c r="AH131" s="327"/>
      <c r="AI131" s="327"/>
      <c r="AJ131" s="327"/>
      <c r="AK131" s="327"/>
      <c r="AL131" s="327"/>
      <c r="AM131" s="327"/>
      <c r="AN131" s="327"/>
      <c r="AO131" s="327"/>
      <c r="AP131" s="327"/>
      <c r="AQ131" s="327"/>
      <c r="AR131" s="327"/>
      <c r="AS131" s="327"/>
      <c r="AT131" s="327"/>
      <c r="AU131" s="327"/>
      <c r="AV131" s="327"/>
      <c r="AW131" s="327"/>
      <c r="AX131" s="327"/>
      <c r="AY131" s="327"/>
      <c r="AZ131" s="327"/>
      <c r="BA131" s="327"/>
      <c r="BB131" s="327"/>
      <c r="BC131" s="327"/>
      <c r="BD131" s="327"/>
      <c r="BE131" s="327"/>
      <c r="BF131" s="327"/>
      <c r="BG131" s="327"/>
      <c r="BH131" s="327"/>
      <c r="BI131" s="327"/>
    </row>
    <row r="132" spans="1:61" x14ac:dyDescent="0.2">
      <c r="A132" s="327"/>
      <c r="B132" s="327"/>
      <c r="C132" s="342"/>
      <c r="D132" s="327"/>
      <c r="E132" s="327"/>
      <c r="F132" s="327"/>
      <c r="G132" s="327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27"/>
      <c r="AH132" s="327"/>
      <c r="AI132" s="327"/>
      <c r="AJ132" s="327"/>
      <c r="AK132" s="327"/>
      <c r="AL132" s="327"/>
      <c r="AM132" s="327"/>
      <c r="AN132" s="327"/>
      <c r="AO132" s="327"/>
      <c r="AP132" s="327"/>
      <c r="AQ132" s="327"/>
      <c r="AR132" s="327"/>
      <c r="AS132" s="327"/>
      <c r="AT132" s="327"/>
      <c r="AU132" s="327"/>
      <c r="AV132" s="327"/>
      <c r="AW132" s="327"/>
      <c r="AX132" s="327"/>
      <c r="AY132" s="327"/>
      <c r="AZ132" s="327"/>
      <c r="BA132" s="327"/>
      <c r="BB132" s="327"/>
      <c r="BC132" s="327"/>
      <c r="BD132" s="327"/>
      <c r="BE132" s="327"/>
      <c r="BF132" s="327"/>
      <c r="BG132" s="327"/>
      <c r="BH132" s="327"/>
      <c r="BI132" s="327"/>
    </row>
    <row r="133" spans="1:61" x14ac:dyDescent="0.2">
      <c r="A133" s="327"/>
      <c r="B133" s="327"/>
      <c r="C133" s="342" t="s">
        <v>268</v>
      </c>
      <c r="D133" s="355"/>
      <c r="E133" s="355"/>
      <c r="F133" s="355"/>
      <c r="G133" s="355"/>
      <c r="H133" s="356" t="b">
        <v>1</v>
      </c>
      <c r="I133" s="356" t="b">
        <v>1</v>
      </c>
      <c r="J133" s="356" t="b">
        <v>1</v>
      </c>
      <c r="K133" s="356" t="b">
        <v>1</v>
      </c>
      <c r="L133" s="356" t="b">
        <v>1</v>
      </c>
      <c r="M133" s="356" t="b">
        <v>0</v>
      </c>
      <c r="N133" s="356" t="b">
        <v>0</v>
      </c>
      <c r="O133" s="356" t="b">
        <v>0</v>
      </c>
      <c r="P133" s="356" t="b">
        <v>0</v>
      </c>
      <c r="Q133" s="356" t="b">
        <v>0</v>
      </c>
      <c r="R133" s="356" t="b">
        <v>0</v>
      </c>
      <c r="S133" s="356" t="b">
        <v>0</v>
      </c>
      <c r="T133" s="356" t="b">
        <v>0</v>
      </c>
      <c r="U133" s="356" t="b">
        <v>0</v>
      </c>
      <c r="V133" s="356" t="b">
        <v>0</v>
      </c>
      <c r="W133" s="356" t="b">
        <v>0</v>
      </c>
      <c r="X133" s="356" t="b">
        <v>0</v>
      </c>
      <c r="Y133" s="356" t="b">
        <v>0</v>
      </c>
      <c r="Z133" s="356" t="b">
        <v>0</v>
      </c>
      <c r="AA133" s="356" t="b">
        <v>0</v>
      </c>
      <c r="AB133" s="356" t="b">
        <v>0</v>
      </c>
      <c r="AC133" s="356" t="b">
        <v>0</v>
      </c>
      <c r="AD133" s="356" t="b">
        <v>0</v>
      </c>
      <c r="AE133" s="356" t="b">
        <v>0</v>
      </c>
      <c r="AF133" s="356" t="b">
        <v>0</v>
      </c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7"/>
      <c r="BH133" s="327"/>
      <c r="BI133" s="327"/>
    </row>
    <row r="134" spans="1:61" x14ac:dyDescent="0.2">
      <c r="A134" s="327"/>
      <c r="B134" s="327"/>
      <c r="C134" s="342"/>
      <c r="D134" s="327"/>
      <c r="E134" s="327"/>
      <c r="F134" s="327"/>
      <c r="G134" s="327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  <c r="AW134" s="327"/>
      <c r="AX134" s="327"/>
      <c r="AY134" s="327"/>
      <c r="AZ134" s="327"/>
      <c r="BA134" s="327"/>
      <c r="BB134" s="327"/>
      <c r="BC134" s="327"/>
      <c r="BD134" s="327"/>
      <c r="BE134" s="327"/>
      <c r="BF134" s="327"/>
      <c r="BG134" s="327"/>
      <c r="BH134" s="327"/>
      <c r="BI134" s="327"/>
    </row>
    <row r="135" spans="1:61" x14ac:dyDescent="0.2">
      <c r="A135" s="327"/>
      <c r="B135" s="327"/>
      <c r="C135" s="342"/>
      <c r="D135" s="327"/>
      <c r="E135" s="327"/>
      <c r="F135" s="327"/>
      <c r="G135" s="327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327"/>
      <c r="BB135" s="327"/>
      <c r="BC135" s="327"/>
      <c r="BD135" s="327"/>
      <c r="BE135" s="327"/>
      <c r="BF135" s="327"/>
      <c r="BG135" s="327"/>
      <c r="BH135" s="327"/>
      <c r="BI135" s="327"/>
    </row>
    <row r="136" spans="1:61" x14ac:dyDescent="0.2">
      <c r="A136" s="327"/>
      <c r="B136" s="328" t="s">
        <v>308</v>
      </c>
      <c r="C136" s="343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>
        <f>0.1*M137-0.1*M143</f>
        <v>213.29575278884741</v>
      </c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7"/>
      <c r="BH136" s="327"/>
      <c r="BI136" s="327"/>
    </row>
    <row r="137" spans="1:61" x14ac:dyDescent="0.2">
      <c r="A137" s="327"/>
      <c r="B137" s="327"/>
      <c r="C137" s="342" t="str">
        <f>$B$131</f>
        <v>Option 4</v>
      </c>
      <c r="D137" s="6" t="s">
        <v>298</v>
      </c>
      <c r="E137" s="6" t="s">
        <v>307</v>
      </c>
      <c r="F137" s="340" cm="1">
        <f t="array" ref="F137:F140">INDEX($H$11:$L$14,,MATCH($B131, $H$9:$L$9,0))</f>
        <v>2477.1666666666665</v>
      </c>
      <c r="G137" s="340"/>
      <c r="H137" s="31">
        <f t="shared" ref="H137:Q140" si="46">INDEX(H$20:H$24, MATCH($C137, $C$20:$C$24,0))*$F137</f>
        <v>1192.0334144240862</v>
      </c>
      <c r="I137" s="31">
        <f t="shared" si="46"/>
        <v>1351.5962026414836</v>
      </c>
      <c r="J137" s="31">
        <f t="shared" si="46"/>
        <v>1535.6633734954366</v>
      </c>
      <c r="K137" s="31">
        <f t="shared" si="46"/>
        <v>1748.4313021238995</v>
      </c>
      <c r="L137" s="31">
        <f t="shared" si="46"/>
        <v>1994.8790359094148</v>
      </c>
      <c r="M137" s="31">
        <f t="shared" si="46"/>
        <v>2280.923757806313</v>
      </c>
      <c r="N137" s="31">
        <f t="shared" si="46"/>
        <v>2613.6085271408328</v>
      </c>
      <c r="O137" s="31">
        <f t="shared" si="46"/>
        <v>2990.8911507219241</v>
      </c>
      <c r="P137" s="31">
        <f t="shared" si="46"/>
        <v>3312.2286569568087</v>
      </c>
      <c r="Q137" s="31">
        <f t="shared" si="46"/>
        <v>3541.0318044429637</v>
      </c>
      <c r="R137" s="31">
        <f t="shared" ref="R137:AF140" si="47">INDEX(R$20:R$24, MATCH($C137, $C$20:$C$24,0))*$F137</f>
        <v>3694.4655903510575</v>
      </c>
      <c r="S137" s="31">
        <f t="shared" si="47"/>
        <v>3861.9742635362563</v>
      </c>
      <c r="T137" s="31">
        <f t="shared" si="47"/>
        <v>4036.0962995201985</v>
      </c>
      <c r="U137" s="31">
        <f t="shared" si="47"/>
        <v>4227.2174282964716</v>
      </c>
      <c r="V137" s="31">
        <f t="shared" si="47"/>
        <v>4351.4044080812264</v>
      </c>
      <c r="W137" s="31">
        <f t="shared" si="47"/>
        <v>4397.2083882533188</v>
      </c>
      <c r="X137" s="31">
        <f t="shared" si="47"/>
        <v>4409.9584223311404</v>
      </c>
      <c r="Y137" s="31">
        <f t="shared" si="47"/>
        <v>4423.7345039736165</v>
      </c>
      <c r="Z137" s="31">
        <f t="shared" si="47"/>
        <v>4438.6207590458816</v>
      </c>
      <c r="AA137" s="31">
        <f t="shared" si="47"/>
        <v>4454.7082913897348</v>
      </c>
      <c r="AB137" s="31">
        <f t="shared" si="47"/>
        <v>4472.0957659594078</v>
      </c>
      <c r="AC137" s="31">
        <f t="shared" si="47"/>
        <v>4490.890040927382</v>
      </c>
      <c r="AD137" s="31">
        <f t="shared" si="47"/>
        <v>4511.2068528857981</v>
      </c>
      <c r="AE137" s="31">
        <f t="shared" si="47"/>
        <v>4530.7431319131783</v>
      </c>
      <c r="AF137" s="31">
        <f t="shared" si="47"/>
        <v>4530.7431319131783</v>
      </c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327"/>
      <c r="BB137" s="327"/>
      <c r="BC137" s="327"/>
      <c r="BD137" s="327"/>
      <c r="BE137" s="327"/>
      <c r="BF137" s="327"/>
      <c r="BG137" s="327"/>
      <c r="BH137" s="327"/>
      <c r="BI137" s="327"/>
    </row>
    <row r="138" spans="1:61" x14ac:dyDescent="0.2">
      <c r="A138" s="327"/>
      <c r="B138" s="327"/>
      <c r="C138" s="342" t="str">
        <f>C137</f>
        <v>Option 4</v>
      </c>
      <c r="D138" s="6" t="s">
        <v>116</v>
      </c>
      <c r="F138" s="340">
        <v>517844.44444444444</v>
      </c>
      <c r="G138" s="340"/>
      <c r="H138" s="31">
        <f t="shared" si="46"/>
        <v>249191.097861127</v>
      </c>
      <c r="I138" s="31">
        <f t="shared" si="46"/>
        <v>282547.23191957205</v>
      </c>
      <c r="J138" s="31">
        <f t="shared" si="46"/>
        <v>321025.93547793548</v>
      </c>
      <c r="K138" s="31">
        <f t="shared" si="46"/>
        <v>365504.4484818519</v>
      </c>
      <c r="L138" s="31">
        <f t="shared" si="46"/>
        <v>417023.62621989363</v>
      </c>
      <c r="M138" s="31">
        <f t="shared" si="46"/>
        <v>476820.43847729726</v>
      </c>
      <c r="N138" s="31">
        <f t="shared" si="46"/>
        <v>546367.21620097174</v>
      </c>
      <c r="O138" s="31">
        <f t="shared" si="46"/>
        <v>625237.04487898806</v>
      </c>
      <c r="P138" s="31">
        <f t="shared" si="46"/>
        <v>692411.71044934413</v>
      </c>
      <c r="Q138" s="31">
        <f t="shared" si="46"/>
        <v>740242.33904267324</v>
      </c>
      <c r="R138" s="31">
        <f t="shared" si="47"/>
        <v>772317.22309942544</v>
      </c>
      <c r="S138" s="31">
        <f t="shared" si="47"/>
        <v>807334.42116383312</v>
      </c>
      <c r="T138" s="31">
        <f t="shared" si="47"/>
        <v>843734.12337320135</v>
      </c>
      <c r="U138" s="31">
        <f t="shared" si="47"/>
        <v>883687.43619809975</v>
      </c>
      <c r="V138" s="31">
        <f t="shared" si="47"/>
        <v>909648.3609995005</v>
      </c>
      <c r="W138" s="31">
        <f t="shared" si="47"/>
        <v>919223.54904991901</v>
      </c>
      <c r="X138" s="31">
        <f t="shared" si="47"/>
        <v>921888.90637226729</v>
      </c>
      <c r="Y138" s="31">
        <f t="shared" si="47"/>
        <v>924768.75593619212</v>
      </c>
      <c r="Z138" s="31">
        <f t="shared" si="47"/>
        <v>927880.68400768074</v>
      </c>
      <c r="AA138" s="31">
        <f t="shared" si="47"/>
        <v>931243.73557832639</v>
      </c>
      <c r="AB138" s="31">
        <f t="shared" si="47"/>
        <v>934878.5362681566</v>
      </c>
      <c r="AC138" s="31">
        <f t="shared" si="47"/>
        <v>938807.42446550308</v>
      </c>
      <c r="AD138" s="31">
        <f t="shared" si="47"/>
        <v>943054.59456635278</v>
      </c>
      <c r="AE138" s="31">
        <f t="shared" si="47"/>
        <v>947138.59654150403</v>
      </c>
      <c r="AF138" s="31">
        <f t="shared" si="47"/>
        <v>947138.59654150403</v>
      </c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327"/>
      <c r="AQ138" s="327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7"/>
      <c r="BC138" s="327"/>
      <c r="BD138" s="327"/>
      <c r="BE138" s="327"/>
      <c r="BF138" s="327"/>
      <c r="BG138" s="327"/>
      <c r="BH138" s="327"/>
      <c r="BI138" s="327"/>
    </row>
    <row r="139" spans="1:61" x14ac:dyDescent="0.2">
      <c r="A139" s="327"/>
      <c r="B139" s="327"/>
      <c r="C139" s="342" t="str">
        <f t="shared" ref="C139:C140" si="48">C138</f>
        <v>Option 4</v>
      </c>
      <c r="D139" s="6" t="s">
        <v>299</v>
      </c>
      <c r="F139" s="340">
        <v>33489.5268</v>
      </c>
      <c r="G139" s="340"/>
      <c r="H139" s="31">
        <f t="shared" si="46"/>
        <v>16115.441692330327</v>
      </c>
      <c r="I139" s="31">
        <f t="shared" si="46"/>
        <v>18272.616800567932</v>
      </c>
      <c r="J139" s="31">
        <f t="shared" si="46"/>
        <v>20761.073687325777</v>
      </c>
      <c r="K139" s="31">
        <f t="shared" si="46"/>
        <v>23637.544351922454</v>
      </c>
      <c r="L139" s="31">
        <f t="shared" si="46"/>
        <v>26969.341964279018</v>
      </c>
      <c r="M139" s="31">
        <f t="shared" si="46"/>
        <v>30836.462618237732</v>
      </c>
      <c r="N139" s="31">
        <f t="shared" si="46"/>
        <v>35334.123453296692</v>
      </c>
      <c r="O139" s="31">
        <f t="shared" si="46"/>
        <v>40434.715473855096</v>
      </c>
      <c r="P139" s="31">
        <f t="shared" si="46"/>
        <v>44778.969403841642</v>
      </c>
      <c r="Q139" s="31">
        <f t="shared" si="46"/>
        <v>47872.224792253917</v>
      </c>
      <c r="R139" s="31">
        <f t="shared" si="47"/>
        <v>49946.540160024044</v>
      </c>
      <c r="S139" s="31">
        <f t="shared" si="47"/>
        <v>52211.137966604743</v>
      </c>
      <c r="T139" s="31">
        <f t="shared" si="47"/>
        <v>54565.143722059824</v>
      </c>
      <c r="U139" s="31">
        <f t="shared" si="47"/>
        <v>57148.965089562713</v>
      </c>
      <c r="V139" s="31">
        <f t="shared" si="47"/>
        <v>58827.884495219419</v>
      </c>
      <c r="W139" s="31">
        <f t="shared" si="47"/>
        <v>59447.121643111488</v>
      </c>
      <c r="X139" s="31">
        <f t="shared" si="47"/>
        <v>59619.493011455743</v>
      </c>
      <c r="Y139" s="31">
        <f t="shared" si="47"/>
        <v>59805.735811172359</v>
      </c>
      <c r="Z139" s="31">
        <f t="shared" si="47"/>
        <v>60006.987363965585</v>
      </c>
      <c r="AA139" s="31">
        <f t="shared" si="47"/>
        <v>60224.479328807938</v>
      </c>
      <c r="AB139" s="31">
        <f t="shared" si="47"/>
        <v>60459.545585520071</v>
      </c>
      <c r="AC139" s="31">
        <f t="shared" si="47"/>
        <v>60713.6307803905</v>
      </c>
      <c r="AD139" s="31">
        <f t="shared" si="47"/>
        <v>60988.299589610142</v>
      </c>
      <c r="AE139" s="31">
        <f t="shared" si="47"/>
        <v>61252.416150220954</v>
      </c>
      <c r="AF139" s="31">
        <f t="shared" si="47"/>
        <v>61252.416150220954</v>
      </c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7"/>
      <c r="BC139" s="327"/>
      <c r="BD139" s="327"/>
      <c r="BE139" s="327"/>
      <c r="BF139" s="327"/>
      <c r="BG139" s="327"/>
      <c r="BH139" s="327"/>
      <c r="BI139" s="327"/>
    </row>
    <row r="140" spans="1:61" x14ac:dyDescent="0.2">
      <c r="A140" s="327"/>
      <c r="B140" s="327"/>
      <c r="C140" s="342" t="str">
        <f t="shared" si="48"/>
        <v>Option 4</v>
      </c>
      <c r="D140" s="6" t="s">
        <v>301</v>
      </c>
      <c r="F140" s="340">
        <v>4800</v>
      </c>
      <c r="G140" s="340"/>
      <c r="H140" s="31">
        <f t="shared" si="46"/>
        <v>2309.8003320603971</v>
      </c>
      <c r="I140" s="31">
        <f t="shared" si="46"/>
        <v>2618.9847699707143</v>
      </c>
      <c r="J140" s="31">
        <f t="shared" si="46"/>
        <v>2975.6512922470956</v>
      </c>
      <c r="K140" s="31">
        <f t="shared" si="46"/>
        <v>3387.9312050843241</v>
      </c>
      <c r="L140" s="31">
        <f t="shared" si="46"/>
        <v>3865.4723968371895</v>
      </c>
      <c r="M140" s="31">
        <f t="shared" si="46"/>
        <v>4419.7405789424629</v>
      </c>
      <c r="N140" s="31">
        <f t="shared" si="46"/>
        <v>5064.3830708239238</v>
      </c>
      <c r="O140" s="31">
        <f t="shared" si="46"/>
        <v>5795.4427195580574</v>
      </c>
      <c r="P140" s="31">
        <f t="shared" si="46"/>
        <v>6418.0976465287022</v>
      </c>
      <c r="Q140" s="31">
        <f t="shared" si="46"/>
        <v>6861.4489650782052</v>
      </c>
      <c r="R140" s="31">
        <f t="shared" si="47"/>
        <v>7158.7572496878465</v>
      </c>
      <c r="S140" s="31">
        <f t="shared" si="47"/>
        <v>7483.3384101355168</v>
      </c>
      <c r="T140" s="31">
        <f t="shared" si="47"/>
        <v>7820.7342680603997</v>
      </c>
      <c r="U140" s="31">
        <f t="shared" si="47"/>
        <v>8191.0692279444511</v>
      </c>
      <c r="V140" s="31">
        <f t="shared" si="47"/>
        <v>8431.7060453972499</v>
      </c>
      <c r="W140" s="31">
        <f t="shared" si="47"/>
        <v>8520.4603096074534</v>
      </c>
      <c r="X140" s="31">
        <f t="shared" si="47"/>
        <v>8545.1660205299631</v>
      </c>
      <c r="Y140" s="31">
        <f t="shared" si="47"/>
        <v>8571.8599013954208</v>
      </c>
      <c r="Z140" s="31">
        <f t="shared" si="47"/>
        <v>8600.7049626940334</v>
      </c>
      <c r="AA140" s="31">
        <f t="shared" si="47"/>
        <v>8631.8777361248976</v>
      </c>
      <c r="AB140" s="31">
        <f t="shared" si="47"/>
        <v>8665.5694045368346</v>
      </c>
      <c r="AC140" s="31">
        <f t="shared" si="47"/>
        <v>8701.987026758301</v>
      </c>
      <c r="AD140" s="31">
        <f t="shared" si="47"/>
        <v>8741.3548653105699</v>
      </c>
      <c r="AE140" s="31">
        <f t="shared" si="47"/>
        <v>8779.2102670456534</v>
      </c>
      <c r="AF140" s="31">
        <f t="shared" si="47"/>
        <v>8779.2102670456534</v>
      </c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327"/>
      <c r="BB140" s="327"/>
      <c r="BC140" s="327"/>
      <c r="BD140" s="327"/>
      <c r="BE140" s="327"/>
      <c r="BF140" s="327"/>
      <c r="BG140" s="327"/>
      <c r="BH140" s="327"/>
      <c r="BI140" s="327"/>
    </row>
    <row r="141" spans="1:61" x14ac:dyDescent="0.2">
      <c r="A141" s="327"/>
      <c r="B141" s="327"/>
      <c r="C141" s="342"/>
      <c r="D141" s="327"/>
      <c r="F141" s="327"/>
      <c r="G141" s="32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327"/>
      <c r="BB141" s="327"/>
      <c r="BC141" s="327"/>
      <c r="BD141" s="327"/>
      <c r="BE141" s="327"/>
      <c r="BF141" s="327"/>
      <c r="BG141" s="327"/>
      <c r="BH141" s="327"/>
      <c r="BI141" s="327"/>
    </row>
    <row r="142" spans="1:61" x14ac:dyDescent="0.2">
      <c r="A142" s="327"/>
      <c r="B142" s="328" t="s">
        <v>309</v>
      </c>
      <c r="C142" s="343"/>
      <c r="D142" s="327"/>
      <c r="F142" s="327"/>
      <c r="G142" s="32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7"/>
      <c r="BF142" s="327"/>
      <c r="BG142" s="327"/>
      <c r="BH142" s="327"/>
      <c r="BI142" s="327"/>
    </row>
    <row r="143" spans="1:61" x14ac:dyDescent="0.2">
      <c r="A143" s="327"/>
      <c r="B143" s="327"/>
      <c r="C143" s="342" t="str">
        <f>$C140</f>
        <v>Option 4</v>
      </c>
      <c r="D143" s="6" t="str">
        <f>D137</f>
        <v>Response cost</v>
      </c>
      <c r="F143" s="340">
        <f>F137</f>
        <v>2477.1666666666665</v>
      </c>
      <c r="G143" s="340"/>
      <c r="H143" s="31">
        <f>INDEX(H$30:H$34,MATCH($C143,$C$30:$C$34,0))*$F143*(1-H$133)</f>
        <v>0</v>
      </c>
      <c r="I143" s="31">
        <f t="shared" ref="I143:AF146" si="49">INDEX(I$30:I$34,MATCH($C143,$C$30:$C$34,0))*$F143*(1-I$133)</f>
        <v>0</v>
      </c>
      <c r="J143" s="31">
        <f t="shared" si="49"/>
        <v>0</v>
      </c>
      <c r="K143" s="31">
        <f t="shared" si="49"/>
        <v>0</v>
      </c>
      <c r="L143" s="31">
        <f t="shared" si="49"/>
        <v>0</v>
      </c>
      <c r="M143" s="31">
        <f t="shared" si="49"/>
        <v>147.96622991783903</v>
      </c>
      <c r="N143" s="31">
        <f t="shared" si="49"/>
        <v>147.96622991783903</v>
      </c>
      <c r="O143" s="31">
        <f t="shared" si="49"/>
        <v>147.96622991783903</v>
      </c>
      <c r="P143" s="31">
        <f t="shared" si="49"/>
        <v>147.96622991783903</v>
      </c>
      <c r="Q143" s="31">
        <f t="shared" si="49"/>
        <v>147.96622991783903</v>
      </c>
      <c r="R143" s="31">
        <f t="shared" si="49"/>
        <v>147.96622991783903</v>
      </c>
      <c r="S143" s="31">
        <f t="shared" si="49"/>
        <v>147.96622991783903</v>
      </c>
      <c r="T143" s="31">
        <f t="shared" si="49"/>
        <v>147.96622991783903</v>
      </c>
      <c r="U143" s="31">
        <f t="shared" si="49"/>
        <v>147.96622991783903</v>
      </c>
      <c r="V143" s="31">
        <f t="shared" si="49"/>
        <v>147.96622991783903</v>
      </c>
      <c r="W143" s="31">
        <f t="shared" si="49"/>
        <v>147.96622991783903</v>
      </c>
      <c r="X143" s="31">
        <f t="shared" si="49"/>
        <v>147.96622991783903</v>
      </c>
      <c r="Y143" s="31">
        <f t="shared" si="49"/>
        <v>147.96622991783903</v>
      </c>
      <c r="Z143" s="31">
        <f t="shared" si="49"/>
        <v>147.96622991783903</v>
      </c>
      <c r="AA143" s="31">
        <f t="shared" si="49"/>
        <v>147.96622991783903</v>
      </c>
      <c r="AB143" s="31">
        <f t="shared" si="49"/>
        <v>147.96622991783903</v>
      </c>
      <c r="AC143" s="31">
        <f t="shared" si="49"/>
        <v>147.96622991783903</v>
      </c>
      <c r="AD143" s="31">
        <f t="shared" si="49"/>
        <v>147.96622991783903</v>
      </c>
      <c r="AE143" s="31">
        <f t="shared" si="49"/>
        <v>147.96622991783903</v>
      </c>
      <c r="AF143" s="31">
        <f t="shared" si="49"/>
        <v>147.96622991783903</v>
      </c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7"/>
      <c r="BC143" s="327"/>
      <c r="BD143" s="327"/>
      <c r="BE143" s="327"/>
      <c r="BF143" s="327"/>
      <c r="BG143" s="327"/>
      <c r="BH143" s="327"/>
      <c r="BI143" s="327"/>
    </row>
    <row r="144" spans="1:61" x14ac:dyDescent="0.2">
      <c r="A144" s="327"/>
      <c r="B144" s="327"/>
      <c r="C144" s="342" t="str">
        <f>C143</f>
        <v>Option 4</v>
      </c>
      <c r="D144" s="6" t="str">
        <f t="shared" ref="D144:D146" si="50">D138</f>
        <v>Unplanned replacements</v>
      </c>
      <c r="F144" s="340">
        <f>F138</f>
        <v>517844.44444444444</v>
      </c>
      <c r="G144" s="340"/>
      <c r="H144" s="31">
        <f t="shared" ref="H144:W146" si="51">INDEX(H$30:H$34,MATCH($C144,$C$30:$C$34,0))*$F144*(1-H$133)</f>
        <v>0</v>
      </c>
      <c r="I144" s="31">
        <f t="shared" si="51"/>
        <v>0</v>
      </c>
      <c r="J144" s="31">
        <f t="shared" si="51"/>
        <v>0</v>
      </c>
      <c r="K144" s="31">
        <f t="shared" si="51"/>
        <v>0</v>
      </c>
      <c r="L144" s="31">
        <f t="shared" si="51"/>
        <v>0</v>
      </c>
      <c r="M144" s="31">
        <f t="shared" si="51"/>
        <v>30931.907472922947</v>
      </c>
      <c r="N144" s="31">
        <f t="shared" si="51"/>
        <v>30931.907472922947</v>
      </c>
      <c r="O144" s="31">
        <f t="shared" si="51"/>
        <v>30931.907472922947</v>
      </c>
      <c r="P144" s="31">
        <f t="shared" si="51"/>
        <v>30931.907472922947</v>
      </c>
      <c r="Q144" s="31">
        <f t="shared" si="51"/>
        <v>30931.907472922947</v>
      </c>
      <c r="R144" s="31">
        <f t="shared" si="51"/>
        <v>30931.907472922947</v>
      </c>
      <c r="S144" s="31">
        <f t="shared" si="51"/>
        <v>30931.907472922947</v>
      </c>
      <c r="T144" s="31">
        <f t="shared" si="51"/>
        <v>30931.907472922947</v>
      </c>
      <c r="U144" s="31">
        <f t="shared" si="51"/>
        <v>30931.907472922947</v>
      </c>
      <c r="V144" s="31">
        <f t="shared" si="51"/>
        <v>30931.907472922947</v>
      </c>
      <c r="W144" s="31">
        <f t="shared" si="51"/>
        <v>30931.907472922947</v>
      </c>
      <c r="X144" s="31">
        <f t="shared" si="49"/>
        <v>30931.907472922947</v>
      </c>
      <c r="Y144" s="31">
        <f t="shared" si="49"/>
        <v>30931.907472922947</v>
      </c>
      <c r="Z144" s="31">
        <f t="shared" si="49"/>
        <v>30931.907472922947</v>
      </c>
      <c r="AA144" s="31">
        <f t="shared" si="49"/>
        <v>30931.907472922947</v>
      </c>
      <c r="AB144" s="31">
        <f t="shared" si="49"/>
        <v>30931.907472922947</v>
      </c>
      <c r="AC144" s="31">
        <f t="shared" si="49"/>
        <v>30931.907472922947</v>
      </c>
      <c r="AD144" s="31">
        <f t="shared" si="49"/>
        <v>30931.907472922947</v>
      </c>
      <c r="AE144" s="31">
        <f t="shared" si="49"/>
        <v>30931.907472922947</v>
      </c>
      <c r="AF144" s="31">
        <f t="shared" si="49"/>
        <v>30931.907472922947</v>
      </c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327"/>
      <c r="BB144" s="327"/>
      <c r="BC144" s="327"/>
      <c r="BD144" s="327"/>
      <c r="BE144" s="327"/>
      <c r="BF144" s="327"/>
      <c r="BG144" s="327"/>
      <c r="BH144" s="327"/>
      <c r="BI144" s="327"/>
    </row>
    <row r="145" spans="1:61" x14ac:dyDescent="0.2">
      <c r="A145" s="327"/>
      <c r="B145" s="327"/>
      <c r="C145" s="342" t="str">
        <f t="shared" ref="C145:C146" si="52">C144</f>
        <v>Option 4</v>
      </c>
      <c r="D145" s="6" t="str">
        <f t="shared" si="50"/>
        <v>Safety Consequence</v>
      </c>
      <c r="F145" s="340">
        <f>F139</f>
        <v>33489.5268</v>
      </c>
      <c r="G145" s="340"/>
      <c r="H145" s="31">
        <f t="shared" si="51"/>
        <v>0</v>
      </c>
      <c r="I145" s="31">
        <f t="shared" si="49"/>
        <v>0</v>
      </c>
      <c r="J145" s="31">
        <f t="shared" si="49"/>
        <v>0</v>
      </c>
      <c r="K145" s="31">
        <f t="shared" si="49"/>
        <v>0</v>
      </c>
      <c r="L145" s="31">
        <f t="shared" si="49"/>
        <v>0</v>
      </c>
      <c r="M145" s="31">
        <f t="shared" si="49"/>
        <v>2000.3979098412565</v>
      </c>
      <c r="N145" s="31">
        <f t="shared" si="49"/>
        <v>2000.3979098412565</v>
      </c>
      <c r="O145" s="31">
        <f t="shared" si="49"/>
        <v>2000.3979098412565</v>
      </c>
      <c r="P145" s="31">
        <f t="shared" si="49"/>
        <v>2000.3979098412565</v>
      </c>
      <c r="Q145" s="31">
        <f t="shared" si="49"/>
        <v>2000.3979098412565</v>
      </c>
      <c r="R145" s="31">
        <f t="shared" si="49"/>
        <v>2000.3979098412565</v>
      </c>
      <c r="S145" s="31">
        <f t="shared" si="49"/>
        <v>2000.3979098412565</v>
      </c>
      <c r="T145" s="31">
        <f t="shared" si="49"/>
        <v>2000.3979098412565</v>
      </c>
      <c r="U145" s="31">
        <f t="shared" si="49"/>
        <v>2000.3979098412565</v>
      </c>
      <c r="V145" s="31">
        <f t="shared" si="49"/>
        <v>2000.3979098412565</v>
      </c>
      <c r="W145" s="31">
        <f t="shared" si="49"/>
        <v>2000.3979098412565</v>
      </c>
      <c r="X145" s="31">
        <f t="shared" si="49"/>
        <v>2000.3979098412565</v>
      </c>
      <c r="Y145" s="31">
        <f t="shared" si="49"/>
        <v>2000.3979098412565</v>
      </c>
      <c r="Z145" s="31">
        <f t="shared" si="49"/>
        <v>2000.3979098412565</v>
      </c>
      <c r="AA145" s="31">
        <f t="shared" si="49"/>
        <v>2000.3979098412565</v>
      </c>
      <c r="AB145" s="31">
        <f t="shared" si="49"/>
        <v>2000.3979098412565</v>
      </c>
      <c r="AC145" s="31">
        <f t="shared" si="49"/>
        <v>2000.3979098412565</v>
      </c>
      <c r="AD145" s="31">
        <f t="shared" si="49"/>
        <v>2000.3979098412565</v>
      </c>
      <c r="AE145" s="31">
        <f t="shared" si="49"/>
        <v>2000.3979098412565</v>
      </c>
      <c r="AF145" s="31">
        <f t="shared" si="49"/>
        <v>2000.3979098412565</v>
      </c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7"/>
      <c r="BF145" s="327"/>
      <c r="BG145" s="327"/>
      <c r="BH145" s="327"/>
      <c r="BI145" s="327"/>
    </row>
    <row r="146" spans="1:61" x14ac:dyDescent="0.2">
      <c r="A146" s="327"/>
      <c r="B146" s="327"/>
      <c r="C146" s="342" t="str">
        <f t="shared" si="52"/>
        <v>Option 4</v>
      </c>
      <c r="D146" s="6" t="str">
        <f t="shared" si="50"/>
        <v>Environmental Consequence</v>
      </c>
      <c r="F146" s="340">
        <f>F140</f>
        <v>4800</v>
      </c>
      <c r="G146" s="340"/>
      <c r="H146" s="31">
        <f t="shared" si="51"/>
        <v>0</v>
      </c>
      <c r="I146" s="31">
        <f t="shared" si="49"/>
        <v>0</v>
      </c>
      <c r="J146" s="31">
        <f t="shared" si="49"/>
        <v>0</v>
      </c>
      <c r="K146" s="31">
        <f t="shared" si="49"/>
        <v>0</v>
      </c>
      <c r="L146" s="31">
        <f t="shared" si="49"/>
        <v>0</v>
      </c>
      <c r="M146" s="31">
        <f t="shared" si="49"/>
        <v>286.71381427933557</v>
      </c>
      <c r="N146" s="31">
        <f t="shared" si="49"/>
        <v>286.71381427933557</v>
      </c>
      <c r="O146" s="31">
        <f t="shared" si="49"/>
        <v>286.71381427933557</v>
      </c>
      <c r="P146" s="31">
        <f t="shared" si="49"/>
        <v>286.71381427933557</v>
      </c>
      <c r="Q146" s="31">
        <f t="shared" si="49"/>
        <v>286.71381427933557</v>
      </c>
      <c r="R146" s="31">
        <f t="shared" si="49"/>
        <v>286.71381427933557</v>
      </c>
      <c r="S146" s="31">
        <f t="shared" si="49"/>
        <v>286.71381427933557</v>
      </c>
      <c r="T146" s="31">
        <f t="shared" si="49"/>
        <v>286.71381427933557</v>
      </c>
      <c r="U146" s="31">
        <f t="shared" si="49"/>
        <v>286.71381427933557</v>
      </c>
      <c r="V146" s="31">
        <f t="shared" si="49"/>
        <v>286.71381427933557</v>
      </c>
      <c r="W146" s="31">
        <f t="shared" si="49"/>
        <v>286.71381427933557</v>
      </c>
      <c r="X146" s="31">
        <f t="shared" si="49"/>
        <v>286.71381427933557</v>
      </c>
      <c r="Y146" s="31">
        <f t="shared" si="49"/>
        <v>286.71381427933557</v>
      </c>
      <c r="Z146" s="31">
        <f t="shared" si="49"/>
        <v>286.71381427933557</v>
      </c>
      <c r="AA146" s="31">
        <f t="shared" si="49"/>
        <v>286.71381427933557</v>
      </c>
      <c r="AB146" s="31">
        <f t="shared" si="49"/>
        <v>286.71381427933557</v>
      </c>
      <c r="AC146" s="31">
        <f t="shared" si="49"/>
        <v>286.71381427933557</v>
      </c>
      <c r="AD146" s="31">
        <f t="shared" si="49"/>
        <v>286.71381427933557</v>
      </c>
      <c r="AE146" s="31">
        <f t="shared" si="49"/>
        <v>286.71381427933557</v>
      </c>
      <c r="AF146" s="31">
        <f t="shared" si="49"/>
        <v>286.71381427933557</v>
      </c>
      <c r="AG146" s="327"/>
      <c r="AH146" s="327"/>
      <c r="AI146" s="327"/>
      <c r="AJ146" s="327"/>
      <c r="AK146" s="327"/>
      <c r="AL146" s="327"/>
      <c r="AM146" s="327"/>
      <c r="AN146" s="327"/>
      <c r="AO146" s="327"/>
      <c r="AP146" s="327"/>
      <c r="AQ146" s="327"/>
      <c r="AR146" s="327"/>
      <c r="AS146" s="327"/>
      <c r="AT146" s="327"/>
      <c r="AU146" s="327"/>
      <c r="AV146" s="327"/>
      <c r="AW146" s="327"/>
      <c r="AX146" s="327"/>
      <c r="AY146" s="327"/>
      <c r="AZ146" s="327"/>
      <c r="BA146" s="327"/>
      <c r="BB146" s="327"/>
      <c r="BC146" s="327"/>
      <c r="BD146" s="327"/>
      <c r="BE146" s="327"/>
      <c r="BF146" s="327"/>
      <c r="BG146" s="327"/>
      <c r="BH146" s="327"/>
      <c r="BI146" s="327"/>
    </row>
    <row r="147" spans="1:61" x14ac:dyDescent="0.2">
      <c r="A147" s="327"/>
      <c r="B147" s="328"/>
      <c r="C147" s="343"/>
      <c r="D147" s="327"/>
      <c r="F147" s="327"/>
      <c r="G147" s="327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327"/>
      <c r="BB147" s="327"/>
      <c r="BC147" s="327"/>
      <c r="BD147" s="327"/>
      <c r="BE147" s="327"/>
      <c r="BF147" s="327"/>
      <c r="BG147" s="327"/>
      <c r="BH147" s="327"/>
      <c r="BI147" s="327"/>
    </row>
    <row r="148" spans="1:61" x14ac:dyDescent="0.2">
      <c r="A148" s="327"/>
      <c r="B148" s="328" t="s">
        <v>320</v>
      </c>
      <c r="C148" s="343"/>
      <c r="D148" s="327"/>
      <c r="F148" s="327"/>
      <c r="G148" s="327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327"/>
      <c r="BB148" s="327"/>
      <c r="BC148" s="327"/>
      <c r="BD148" s="327"/>
      <c r="BE148" s="327"/>
      <c r="BF148" s="327"/>
      <c r="BG148" s="327"/>
      <c r="BH148" s="327"/>
      <c r="BI148" s="327"/>
    </row>
    <row r="149" spans="1:61" x14ac:dyDescent="0.2">
      <c r="A149" s="327"/>
      <c r="B149" s="327"/>
      <c r="C149" s="342" t="str">
        <f>$C146</f>
        <v>Option 4</v>
      </c>
      <c r="D149" s="327" t="str">
        <f>D137</f>
        <v>Response cost</v>
      </c>
      <c r="F149" s="327"/>
      <c r="G149" s="327"/>
      <c r="H149" s="31">
        <f t="shared" ref="H149:K149" si="53">INDEX(H$40:H$43, MATCH($C149, $C$40:$C$43,0))*(H143-H137)</f>
        <v>-1192.0334144240862</v>
      </c>
      <c r="I149" s="31">
        <f t="shared" si="53"/>
        <v>-1351.5962026414836</v>
      </c>
      <c r="J149" s="31">
        <f t="shared" si="53"/>
        <v>-1535.6633734954366</v>
      </c>
      <c r="K149" s="31">
        <f t="shared" si="53"/>
        <v>-1748.4313021238995</v>
      </c>
      <c r="L149" s="31">
        <f>INDEX(L$40:L$43, MATCH($C149, $C$40:$C$43,0))*(L143-L137)</f>
        <v>-1994.8790359094148</v>
      </c>
      <c r="M149" s="31">
        <f t="shared" ref="M149:AE149" si="54">INDEX(M$40:M$43, MATCH($C149, $C$40:$C$43,0))*(M143-M137)</f>
        <v>-213.29575278884741</v>
      </c>
      <c r="N149" s="31">
        <f t="shared" si="54"/>
        <v>-246.56422972229939</v>
      </c>
      <c r="O149" s="31">
        <f t="shared" si="54"/>
        <v>-284.29249208040852</v>
      </c>
      <c r="P149" s="31">
        <f t="shared" si="54"/>
        <v>-316.426242703897</v>
      </c>
      <c r="Q149" s="31">
        <f t="shared" si="54"/>
        <v>-339.30655745251249</v>
      </c>
      <c r="R149" s="31">
        <f t="shared" si="54"/>
        <v>-354.64993604332187</v>
      </c>
      <c r="S149" s="31">
        <f t="shared" si="54"/>
        <v>-371.40080336184178</v>
      </c>
      <c r="T149" s="31">
        <f t="shared" si="54"/>
        <v>-388.81300696023595</v>
      </c>
      <c r="U149" s="31">
        <f t="shared" si="54"/>
        <v>-407.92511983786329</v>
      </c>
      <c r="V149" s="31">
        <f t="shared" si="54"/>
        <v>-420.34381781633874</v>
      </c>
      <c r="W149" s="31">
        <f t="shared" si="54"/>
        <v>-424.92421583354803</v>
      </c>
      <c r="X149" s="31">
        <f t="shared" si="54"/>
        <v>-426.19921924133018</v>
      </c>
      <c r="Y149" s="31">
        <f t="shared" si="54"/>
        <v>-427.57682740557777</v>
      </c>
      <c r="Z149" s="31">
        <f t="shared" si="54"/>
        <v>-429.06545291280429</v>
      </c>
      <c r="AA149" s="31">
        <f t="shared" si="54"/>
        <v>-430.67420614718958</v>
      </c>
      <c r="AB149" s="31">
        <f t="shared" si="54"/>
        <v>-432.41295360415688</v>
      </c>
      <c r="AC149" s="31">
        <f t="shared" si="54"/>
        <v>-434.29238110095434</v>
      </c>
      <c r="AD149" s="31">
        <f t="shared" si="54"/>
        <v>-436.32406229679594</v>
      </c>
      <c r="AE149" s="31">
        <f t="shared" si="54"/>
        <v>-438.27769019953394</v>
      </c>
      <c r="AF149" s="31">
        <f t="shared" ref="AF149" si="55">INDEX(AF$40:AF$43, MATCH($C149, $C$40:$C$43,0))*(AF143-AF137)</f>
        <v>-438.27769019953394</v>
      </c>
      <c r="AG149" s="327"/>
      <c r="AH149" s="327"/>
      <c r="AI149" s="327"/>
      <c r="AJ149" s="327"/>
      <c r="AK149" s="327"/>
      <c r="AL149" s="327"/>
      <c r="AM149" s="327"/>
      <c r="AN149" s="327"/>
      <c r="AO149" s="327"/>
      <c r="AP149" s="327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327"/>
      <c r="BB149" s="327"/>
      <c r="BC149" s="327"/>
      <c r="BD149" s="327"/>
      <c r="BE149" s="327"/>
      <c r="BF149" s="327"/>
      <c r="BG149" s="327"/>
      <c r="BH149" s="327"/>
      <c r="BI149" s="327"/>
    </row>
    <row r="150" spans="1:61" x14ac:dyDescent="0.2">
      <c r="A150" s="327"/>
      <c r="B150" s="327"/>
      <c r="C150" s="342" t="str">
        <f>C149</f>
        <v>Option 4</v>
      </c>
      <c r="D150" s="327" t="str">
        <f>D138</f>
        <v>Unplanned replacements</v>
      </c>
      <c r="F150" s="327"/>
      <c r="G150" s="327"/>
      <c r="H150" s="31">
        <f t="shared" ref="H150:K150" si="56">INDEX(H$40:H$43, MATCH($C150, $C$40:$C$43,0))*(H144-H138)</f>
        <v>-249191.097861127</v>
      </c>
      <c r="I150" s="31">
        <f t="shared" si="56"/>
        <v>-282547.23191957205</v>
      </c>
      <c r="J150" s="31">
        <f t="shared" si="56"/>
        <v>-321025.93547793548</v>
      </c>
      <c r="K150" s="31">
        <f t="shared" si="56"/>
        <v>-365504.4484818519</v>
      </c>
      <c r="L150" s="31">
        <f>INDEX(L$40:L$43, MATCH($C150, $C$40:$C$43,0))*(L144-L138)</f>
        <v>-417023.62621989363</v>
      </c>
      <c r="M150" s="31">
        <f t="shared" ref="M150:AE150" si="57">INDEX(M$40:M$43, MATCH($C150, $C$40:$C$43,0))*(M144-M138)</f>
        <v>-44588.853100437438</v>
      </c>
      <c r="N150" s="31">
        <f t="shared" si="57"/>
        <v>-51543.530872804884</v>
      </c>
      <c r="O150" s="31">
        <f t="shared" si="57"/>
        <v>-59430.513740606519</v>
      </c>
      <c r="P150" s="31">
        <f t="shared" si="57"/>
        <v>-66147.98029764212</v>
      </c>
      <c r="Q150" s="31">
        <f t="shared" si="57"/>
        <v>-70931.043156975036</v>
      </c>
      <c r="R150" s="31">
        <f t="shared" si="57"/>
        <v>-74138.531562650256</v>
      </c>
      <c r="S150" s="31">
        <f t="shared" si="57"/>
        <v>-77640.251369091027</v>
      </c>
      <c r="T150" s="31">
        <f t="shared" si="57"/>
        <v>-81280.221590027853</v>
      </c>
      <c r="U150" s="31">
        <f t="shared" si="57"/>
        <v>-85275.552872517685</v>
      </c>
      <c r="V150" s="31">
        <f t="shared" si="57"/>
        <v>-87871.645352657768</v>
      </c>
      <c r="W150" s="31">
        <f t="shared" si="57"/>
        <v>-88829.164157699619</v>
      </c>
      <c r="X150" s="31">
        <f t="shared" si="57"/>
        <v>-89095.699889934447</v>
      </c>
      <c r="Y150" s="31">
        <f t="shared" si="57"/>
        <v>-89383.684846326927</v>
      </c>
      <c r="Z150" s="31">
        <f t="shared" si="57"/>
        <v>-89694.877653475793</v>
      </c>
      <c r="AA150" s="31">
        <f t="shared" si="57"/>
        <v>-90031.182810540355</v>
      </c>
      <c r="AB150" s="31">
        <f t="shared" si="57"/>
        <v>-90394.66287952337</v>
      </c>
      <c r="AC150" s="31">
        <f t="shared" si="57"/>
        <v>-90787.551699258023</v>
      </c>
      <c r="AD150" s="31">
        <f t="shared" si="57"/>
        <v>-91212.268709342985</v>
      </c>
      <c r="AE150" s="31">
        <f t="shared" si="57"/>
        <v>-91620.668906858118</v>
      </c>
      <c r="AF150" s="31">
        <f t="shared" ref="AF150" si="58">INDEX(AF$40:AF$43, MATCH($C150, $C$40:$C$43,0))*(AF144-AF138)</f>
        <v>-91620.668906858118</v>
      </c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327"/>
      <c r="BB150" s="327"/>
      <c r="BC150" s="327"/>
      <c r="BD150" s="327"/>
      <c r="BE150" s="327"/>
      <c r="BF150" s="327"/>
      <c r="BG150" s="327"/>
      <c r="BH150" s="327"/>
      <c r="BI150" s="327"/>
    </row>
    <row r="151" spans="1:61" x14ac:dyDescent="0.2">
      <c r="A151" s="327"/>
      <c r="B151" s="327"/>
      <c r="C151" s="342" t="str">
        <f t="shared" ref="C151:C152" si="59">C150</f>
        <v>Option 4</v>
      </c>
      <c r="D151" s="327" t="str">
        <f>D139</f>
        <v>Safety Consequence</v>
      </c>
      <c r="F151" s="327"/>
      <c r="G151" s="327"/>
      <c r="H151" s="31">
        <f t="shared" ref="H151:K151" si="60">INDEX(H$40:H$43, MATCH($C151, $C$40:$C$43,0))*(H145-H139)</f>
        <v>-16115.441692330327</v>
      </c>
      <c r="I151" s="31">
        <f t="shared" si="60"/>
        <v>-18272.616800567932</v>
      </c>
      <c r="J151" s="31">
        <f t="shared" si="60"/>
        <v>-20761.073687325777</v>
      </c>
      <c r="K151" s="31">
        <f t="shared" si="60"/>
        <v>-23637.544351922454</v>
      </c>
      <c r="L151" s="31">
        <f>INDEX(L$40:L$43, MATCH($C151, $C$40:$C$43,0))*(L145-L139)</f>
        <v>-26969.341964279018</v>
      </c>
      <c r="M151" s="31">
        <f t="shared" ref="M151:AE151" si="61">INDEX(M$40:M$43, MATCH($C151, $C$40:$C$43,0))*(M145-M139)</f>
        <v>-2883.606470839648</v>
      </c>
      <c r="N151" s="31">
        <f t="shared" si="61"/>
        <v>-3333.3725543455439</v>
      </c>
      <c r="O151" s="31">
        <f t="shared" si="61"/>
        <v>-3843.4317564013836</v>
      </c>
      <c r="P151" s="31">
        <f t="shared" si="61"/>
        <v>-4277.857149400038</v>
      </c>
      <c r="Q151" s="31">
        <f t="shared" si="61"/>
        <v>-4587.1826882412661</v>
      </c>
      <c r="R151" s="31">
        <f t="shared" si="61"/>
        <v>-4794.6142250182793</v>
      </c>
      <c r="S151" s="31">
        <f t="shared" si="61"/>
        <v>-5021.0740056763498</v>
      </c>
      <c r="T151" s="31">
        <f t="shared" si="61"/>
        <v>-5256.4745812218571</v>
      </c>
      <c r="U151" s="31">
        <f t="shared" si="61"/>
        <v>-5514.8567179721467</v>
      </c>
      <c r="V151" s="31">
        <f t="shared" si="61"/>
        <v>-5682.7486585378174</v>
      </c>
      <c r="W151" s="31">
        <f t="shared" si="61"/>
        <v>-5744.6723733270237</v>
      </c>
      <c r="X151" s="31">
        <f t="shared" si="61"/>
        <v>-5761.9095101614485</v>
      </c>
      <c r="Y151" s="31">
        <f t="shared" si="61"/>
        <v>-5780.5337901331113</v>
      </c>
      <c r="Z151" s="31">
        <f t="shared" si="61"/>
        <v>-5800.6589454124332</v>
      </c>
      <c r="AA151" s="31">
        <f t="shared" si="61"/>
        <v>-5822.4081418966689</v>
      </c>
      <c r="AB151" s="31">
        <f t="shared" si="61"/>
        <v>-5845.9147675678823</v>
      </c>
      <c r="AC151" s="31">
        <f t="shared" si="61"/>
        <v>-5871.3232870549245</v>
      </c>
      <c r="AD151" s="31">
        <f t="shared" si="61"/>
        <v>-5898.7901679768884</v>
      </c>
      <c r="AE151" s="31">
        <f t="shared" si="61"/>
        <v>-5925.2018240379693</v>
      </c>
      <c r="AF151" s="31">
        <f t="shared" ref="AF151" si="62">INDEX(AF$40:AF$43, MATCH($C151, $C$40:$C$43,0))*(AF145-AF139)</f>
        <v>-5925.2018240379693</v>
      </c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327"/>
      <c r="BF151" s="327"/>
      <c r="BG151" s="327"/>
      <c r="BH151" s="327"/>
      <c r="BI151" s="327"/>
    </row>
    <row r="152" spans="1:61" x14ac:dyDescent="0.2">
      <c r="A152" s="327"/>
      <c r="B152" s="327"/>
      <c r="C152" s="342" t="str">
        <f t="shared" si="59"/>
        <v>Option 4</v>
      </c>
      <c r="D152" s="327" t="str">
        <f>D140</f>
        <v>Environmental Consequence</v>
      </c>
      <c r="F152" s="327"/>
      <c r="G152" s="327"/>
      <c r="H152" s="31">
        <f t="shared" ref="H152:K152" si="63">INDEX(H$40:H$43, MATCH($C152, $C$40:$C$43,0))*(H146-H140)</f>
        <v>-2309.8003320603971</v>
      </c>
      <c r="I152" s="31">
        <f t="shared" si="63"/>
        <v>-2618.9847699707143</v>
      </c>
      <c r="J152" s="31">
        <f t="shared" si="63"/>
        <v>-2975.6512922470956</v>
      </c>
      <c r="K152" s="31">
        <f t="shared" si="63"/>
        <v>-3387.9312050843241</v>
      </c>
      <c r="L152" s="31">
        <f>INDEX(L$40:L$43, MATCH($C152, $C$40:$C$43,0))*(L146-L140)</f>
        <v>-3865.4723968371895</v>
      </c>
      <c r="M152" s="31">
        <f t="shared" ref="M152:AE152" si="64">INDEX(M$40:M$43, MATCH($C152, $C$40:$C$43,0))*(M146-M140)</f>
        <v>-413.30267646631273</v>
      </c>
      <c r="N152" s="31">
        <f t="shared" si="64"/>
        <v>-477.76692565445887</v>
      </c>
      <c r="O152" s="31">
        <f t="shared" si="64"/>
        <v>-550.87289052787219</v>
      </c>
      <c r="P152" s="31">
        <f t="shared" si="64"/>
        <v>-613.13838322493666</v>
      </c>
      <c r="Q152" s="31">
        <f t="shared" si="64"/>
        <v>-657.47351507988697</v>
      </c>
      <c r="R152" s="31">
        <f t="shared" si="64"/>
        <v>-687.20434354085114</v>
      </c>
      <c r="S152" s="31">
        <f t="shared" si="64"/>
        <v>-719.66245958561819</v>
      </c>
      <c r="T152" s="31">
        <f t="shared" si="64"/>
        <v>-753.40204537810644</v>
      </c>
      <c r="U152" s="31">
        <f t="shared" si="64"/>
        <v>-790.43554136651164</v>
      </c>
      <c r="V152" s="31">
        <f t="shared" si="64"/>
        <v>-814.49922311179148</v>
      </c>
      <c r="W152" s="31">
        <f t="shared" si="64"/>
        <v>-823.37464953281187</v>
      </c>
      <c r="X152" s="31">
        <f t="shared" si="64"/>
        <v>-825.84522062506278</v>
      </c>
      <c r="Y152" s="31">
        <f t="shared" si="64"/>
        <v>-828.51460871160862</v>
      </c>
      <c r="Z152" s="31">
        <f t="shared" si="64"/>
        <v>-831.39911484146978</v>
      </c>
      <c r="AA152" s="31">
        <f t="shared" si="64"/>
        <v>-834.51639218455625</v>
      </c>
      <c r="AB152" s="31">
        <f t="shared" si="64"/>
        <v>-837.8855590257499</v>
      </c>
      <c r="AC152" s="31">
        <f t="shared" si="64"/>
        <v>-841.52732124789657</v>
      </c>
      <c r="AD152" s="31">
        <f t="shared" si="64"/>
        <v>-845.46410510312353</v>
      </c>
      <c r="AE152" s="31">
        <f t="shared" si="64"/>
        <v>-849.24964527663178</v>
      </c>
      <c r="AF152" s="31">
        <f t="shared" ref="AF152" si="65">INDEX(AF$40:AF$43, MATCH($C152, $C$40:$C$43,0))*(AF146-AF140)</f>
        <v>-849.24964527663178</v>
      </c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</row>
    <row r="153" spans="1:61" x14ac:dyDescent="0.2">
      <c r="A153" s="327"/>
      <c r="B153" s="327"/>
      <c r="C153" s="342"/>
      <c r="D153" s="327"/>
      <c r="F153" s="327"/>
      <c r="G153" s="327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7"/>
      <c r="BC153" s="327"/>
      <c r="BD153" s="327"/>
      <c r="BE153" s="327"/>
      <c r="BF153" s="327"/>
      <c r="BG153" s="327"/>
      <c r="BH153" s="327"/>
      <c r="BI153" s="327"/>
    </row>
    <row r="154" spans="1:61" x14ac:dyDescent="0.2">
      <c r="A154" s="327"/>
      <c r="B154" s="328" t="s">
        <v>331</v>
      </c>
      <c r="C154" s="343"/>
      <c r="D154" s="327"/>
      <c r="F154" s="327"/>
      <c r="G154" s="327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7"/>
      <c r="BG154" s="327"/>
      <c r="BH154" s="327"/>
      <c r="BI154" s="327"/>
    </row>
    <row r="155" spans="1:61" x14ac:dyDescent="0.2">
      <c r="A155" s="327"/>
      <c r="B155" s="327"/>
      <c r="C155" s="342" t="str">
        <f>$C152</f>
        <v>Option 4</v>
      </c>
      <c r="D155" s="327" t="str">
        <f>D137</f>
        <v>Response cost</v>
      </c>
      <c r="E155" s="349" t="str">
        <f>C155&amp;D155</f>
        <v>Option 4Response cost</v>
      </c>
      <c r="F155" s="327"/>
      <c r="G155" s="327"/>
      <c r="H155" s="31" cm="1">
        <f t="array" ref="H155:H158">H$63:H$66+H149:H152</f>
        <v>399046.01938718825</v>
      </c>
      <c r="I155" s="31" cm="1">
        <f t="array" ref="I155:I158">I$63:I$66+I149:I152</f>
        <v>439481.27613713854</v>
      </c>
      <c r="J155" s="31" cm="1">
        <f t="array" ref="J155:J158">J$63:J$66+J149:J152</f>
        <v>486455.52044120227</v>
      </c>
      <c r="K155" s="31" cm="1">
        <f t="array" ref="K155:K158">K$63:K$66+K149:K152</f>
        <v>540422.82329514355</v>
      </c>
      <c r="L155" s="31" cm="1">
        <f t="array" ref="L155:L158">L$63:L$66+L149:L152</f>
        <v>602354.39355882921</v>
      </c>
      <c r="M155" s="31" cm="1">
        <f t="array" ref="M155:M158">M$63:M$66+M149:M152</f>
        <v>675605.71617010876</v>
      </c>
      <c r="N155" s="31" cm="1">
        <f t="array" ref="N155:N158">N$63:N$66+N149:N152</f>
        <v>757751.59765310073</v>
      </c>
      <c r="O155" s="31" cm="1">
        <f t="array" ref="O155:O158">O$63:O$66+O149:O152</f>
        <v>851789.7070900636</v>
      </c>
      <c r="P155" s="31" cm="1">
        <f t="array" ref="P155:P158">P$63:P$66+P149:P152</f>
        <v>954916.19531273888</v>
      </c>
      <c r="Q155" s="31" cm="1">
        <f t="array" ref="Q155:Q158">Q$63:Q$66+Q149:Q152</f>
        <v>1064660.9521820564</v>
      </c>
      <c r="R155" s="31" cm="1">
        <f t="array" ref="R155:R158">R$63:R$66+R149:R152</f>
        <v>1180384.751379634</v>
      </c>
      <c r="S155" s="31" cm="1">
        <f t="array" ref="S155:S158">S$63:S$66+S149:S152</f>
        <v>1308579.9531006438</v>
      </c>
      <c r="T155" s="31" cm="1">
        <f t="array" ref="T155:T158">T$63:T$66+T149:T152</f>
        <v>1448010.5030771347</v>
      </c>
      <c r="U155" s="31" cm="1">
        <f t="array" ref="U155:U158">U$63:U$66+U149:U152</f>
        <v>1591522.3718120044</v>
      </c>
      <c r="V155" s="31" cm="1">
        <f t="array" ref="V155:V158">V$63:V$66+V149:V152</f>
        <v>1727788.8711993766</v>
      </c>
      <c r="W155" s="31" cm="1">
        <f t="array" ref="W155:W158">W$63:W$66+W149:W152</f>
        <v>1859060.9330282866</v>
      </c>
      <c r="X155" s="31" cm="1">
        <f t="array" ref="X155:X158">X$63:X$66+X149:X152</f>
        <v>1987595.7718821242</v>
      </c>
      <c r="Y155" s="31" cm="1">
        <f t="array" ref="Y155:Y158">Y$63:Y$66+Y149:Y152</f>
        <v>2108585.7676386582</v>
      </c>
      <c r="Z155" s="31" cm="1">
        <f t="array" ref="Z155:Z158">Z$63:Z$66+Z149:Z152</f>
        <v>2219358.4382954994</v>
      </c>
      <c r="AA155" s="31" cm="1">
        <f t="array" ref="AA155:AA158">AA$63:AA$66+AA149:AA152</f>
        <v>2315980.1042301836</v>
      </c>
      <c r="AB155" s="31" cm="1">
        <f t="array" ref="AB155:AB158">AB$63:AB$66+AB149:AB152</f>
        <v>2413431.9234172897</v>
      </c>
      <c r="AC155" s="31" cm="1">
        <f t="array" ref="AC155:AC158">AC$63:AC$66+AC149:AC152</f>
        <v>2512878.2347088396</v>
      </c>
      <c r="AD155" s="31" cm="1">
        <f t="array" ref="AD155:AD158">AD$63:AD$66+AD149:AD152</f>
        <v>2612588.2546219472</v>
      </c>
      <c r="AE155" s="31" cm="1">
        <f t="array" ref="AE155:AE158">AE$63:AE$66+AE149:AE152</f>
        <v>2714398.2205141671</v>
      </c>
      <c r="AF155" s="31" cm="1">
        <f t="array" ref="AF155:AF158">AF$63:AF$66+AF149:AF152</f>
        <v>2816691.8480827832</v>
      </c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7"/>
      <c r="BC155" s="327"/>
      <c r="BD155" s="327"/>
      <c r="BE155" s="327"/>
      <c r="BF155" s="327"/>
      <c r="BG155" s="327"/>
      <c r="BH155" s="327"/>
      <c r="BI155" s="327"/>
    </row>
    <row r="156" spans="1:61" x14ac:dyDescent="0.2">
      <c r="A156" s="327"/>
      <c r="B156" s="327"/>
      <c r="C156" s="342" t="str">
        <f>C155</f>
        <v>Option 4</v>
      </c>
      <c r="D156" s="327" t="str">
        <f>D138</f>
        <v>Unplanned replacements</v>
      </c>
      <c r="E156" s="349" t="str">
        <f t="shared" ref="E156:E158" si="66">C156&amp;D156</f>
        <v>Option 4Unplanned replacements</v>
      </c>
      <c r="F156" s="327"/>
      <c r="G156" s="327"/>
      <c r="H156" s="31">
        <v>1909923.635105317</v>
      </c>
      <c r="I156" s="31">
        <v>2095559.3543537769</v>
      </c>
      <c r="J156" s="31">
        <v>2311479.7624605531</v>
      </c>
      <c r="K156" s="31">
        <v>2559279.7777998559</v>
      </c>
      <c r="L156" s="31">
        <v>2843184.6652781637</v>
      </c>
      <c r="M156" s="31">
        <v>3601168.4037309773</v>
      </c>
      <c r="N156" s="31">
        <v>4037535.4245805126</v>
      </c>
      <c r="O156" s="31">
        <v>4537147.7306257654</v>
      </c>
      <c r="P156" s="31">
        <v>5086927.3261945741</v>
      </c>
      <c r="Q156" s="31">
        <v>5674294.162596588</v>
      </c>
      <c r="R156" s="31">
        <v>6295450.3151987679</v>
      </c>
      <c r="S156" s="31">
        <v>6983597.7622771906</v>
      </c>
      <c r="T156" s="31">
        <v>7732220.4705238054</v>
      </c>
      <c r="U156" s="31">
        <v>8502513.9736393411</v>
      </c>
      <c r="V156" s="31">
        <v>9235084.9093094599</v>
      </c>
      <c r="W156" s="31">
        <v>9942309.2596257385</v>
      </c>
      <c r="X156" s="31">
        <v>10635440.603492405</v>
      </c>
      <c r="Y156" s="31">
        <v>11287849.819526669</v>
      </c>
      <c r="Z156" s="31">
        <v>11885118.28628538</v>
      </c>
      <c r="AA156" s="31">
        <v>12406023.613366507</v>
      </c>
      <c r="AB156" s="31">
        <v>12931380.791899696</v>
      </c>
      <c r="AC156" s="31">
        <v>13467468.760523023</v>
      </c>
      <c r="AD156" s="31">
        <v>14004948.318592662</v>
      </c>
      <c r="AE156" s="31">
        <v>14553772.091320122</v>
      </c>
      <c r="AF156" s="31">
        <v>15105602.875089845</v>
      </c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327"/>
      <c r="BB156" s="327"/>
      <c r="BC156" s="327"/>
      <c r="BD156" s="327"/>
      <c r="BE156" s="327"/>
      <c r="BF156" s="327"/>
      <c r="BG156" s="327"/>
      <c r="BH156" s="327"/>
      <c r="BI156" s="327"/>
    </row>
    <row r="157" spans="1:61" x14ac:dyDescent="0.2">
      <c r="A157" s="327"/>
      <c r="B157" s="327"/>
      <c r="C157" s="342" t="str">
        <f t="shared" ref="C157:C158" si="67">C156</f>
        <v>Option 4</v>
      </c>
      <c r="D157" s="327" t="str">
        <f>D139</f>
        <v>Safety Consequence</v>
      </c>
      <c r="E157" s="349" t="str">
        <f t="shared" si="66"/>
        <v>Option 4Safety Consequence</v>
      </c>
      <c r="F157" s="327"/>
      <c r="G157" s="327"/>
      <c r="H157" s="31">
        <v>920955.7878011436</v>
      </c>
      <c r="I157" s="31">
        <v>1013842.6425881644</v>
      </c>
      <c r="J157" s="31">
        <v>1121765.2188485758</v>
      </c>
      <c r="K157" s="31">
        <v>1245739.7189671891</v>
      </c>
      <c r="L157" s="31">
        <v>1387984.3635859219</v>
      </c>
      <c r="M157" s="31">
        <v>1579401.1063012369</v>
      </c>
      <c r="N157" s="31">
        <v>1771356.1267007557</v>
      </c>
      <c r="O157" s="31">
        <v>1991104.3869699563</v>
      </c>
      <c r="P157" s="31">
        <v>2232193.6649048044</v>
      </c>
      <c r="Q157" s="31">
        <v>2488881.6288906839</v>
      </c>
      <c r="R157" s="31">
        <v>2759652.4810907841</v>
      </c>
      <c r="S157" s="31">
        <v>3059606.7042979477</v>
      </c>
      <c r="T157" s="31">
        <v>3385858.684059591</v>
      </c>
      <c r="U157" s="31">
        <v>3721647.1913975663</v>
      </c>
      <c r="V157" s="31">
        <v>4040547.0453406712</v>
      </c>
      <c r="W157" s="31">
        <v>4347841.1155756554</v>
      </c>
      <c r="X157" s="31">
        <v>4648763.5152459806</v>
      </c>
      <c r="Y157" s="31">
        <v>4932020.1422904003</v>
      </c>
      <c r="Z157" s="31">
        <v>5191353.8614490414</v>
      </c>
      <c r="AA157" s="31">
        <v>5417554.7069701394</v>
      </c>
      <c r="AB157" s="31">
        <v>5645697.7245243164</v>
      </c>
      <c r="AC157" s="31">
        <v>5878508.843405663</v>
      </c>
      <c r="AD157" s="31">
        <v>6111935.6773558138</v>
      </c>
      <c r="AE157" s="31">
        <v>6350279.9551781509</v>
      </c>
      <c r="AF157" s="31">
        <v>6589778.4603404878</v>
      </c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327"/>
      <c r="BB157" s="327"/>
      <c r="BC157" s="327"/>
      <c r="BD157" s="327"/>
      <c r="BE157" s="327"/>
      <c r="BF157" s="327"/>
      <c r="BG157" s="327"/>
      <c r="BH157" s="327"/>
      <c r="BI157" s="327"/>
    </row>
    <row r="158" spans="1:61" x14ac:dyDescent="0.2">
      <c r="A158" s="327"/>
      <c r="B158" s="327"/>
      <c r="C158" s="342" t="str">
        <f t="shared" si="67"/>
        <v>Option 4</v>
      </c>
      <c r="D158" s="327" t="str">
        <f>D140</f>
        <v>Environmental Consequence</v>
      </c>
      <c r="E158" s="349" t="str">
        <f t="shared" si="66"/>
        <v>Option 4Environmental Consequence</v>
      </c>
      <c r="F158" s="327"/>
      <c r="G158" s="327"/>
      <c r="H158" s="31">
        <v>126119.79889570011</v>
      </c>
      <c r="I158" s="31">
        <v>138836.80316602433</v>
      </c>
      <c r="J158" s="31">
        <v>153612.43853405231</v>
      </c>
      <c r="K158" s="31">
        <v>170585.62391625586</v>
      </c>
      <c r="L158" s="31">
        <v>190059.95355810889</v>
      </c>
      <c r="M158" s="31">
        <v>216445.54980945899</v>
      </c>
      <c r="N158" s="31">
        <v>242750.98022758955</v>
      </c>
      <c r="O158" s="31">
        <v>272865.21414248616</v>
      </c>
      <c r="P158" s="31">
        <v>305904.79987103172</v>
      </c>
      <c r="Q158" s="31">
        <v>341083.0367886055</v>
      </c>
      <c r="R158" s="31">
        <v>378192.03275529464</v>
      </c>
      <c r="S158" s="31">
        <v>419300.61450756417</v>
      </c>
      <c r="T158" s="31">
        <v>464013.35959646589</v>
      </c>
      <c r="U158" s="31">
        <v>510032.98217805597</v>
      </c>
      <c r="V158" s="31">
        <v>553738.51069870382</v>
      </c>
      <c r="W158" s="31">
        <v>595854.0820387858</v>
      </c>
      <c r="X158" s="31">
        <v>637096.66918628674</v>
      </c>
      <c r="Y158" s="31">
        <v>675918.07832465332</v>
      </c>
      <c r="Z158" s="31">
        <v>711460.74172892142</v>
      </c>
      <c r="AA158" s="31">
        <v>742462.39363176958</v>
      </c>
      <c r="AB158" s="31">
        <v>773730.21744931734</v>
      </c>
      <c r="AC158" s="31">
        <v>805637.81248372211</v>
      </c>
      <c r="AD158" s="31">
        <v>837629.78097372584</v>
      </c>
      <c r="AE158" s="31">
        <v>870295.71269069589</v>
      </c>
      <c r="AF158" s="31">
        <v>903120.00188616407</v>
      </c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</row>
    <row r="159" spans="1:61" x14ac:dyDescent="0.2">
      <c r="A159" s="327"/>
      <c r="B159" s="327"/>
      <c r="C159" s="342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327"/>
      <c r="BF159" s="327"/>
      <c r="BG159" s="327"/>
      <c r="BH159" s="327"/>
      <c r="BI159" s="327"/>
    </row>
    <row r="160" spans="1:61" x14ac:dyDescent="0.2"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</row>
    <row r="161" spans="1:61" x14ac:dyDescent="0.2"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 spans="1:61" x14ac:dyDescent="0.2">
      <c r="C162" s="327"/>
      <c r="H162" s="339"/>
      <c r="I162" s="339"/>
      <c r="J162" s="339"/>
      <c r="K162" s="339"/>
    </row>
    <row r="163" spans="1:61" ht="15" x14ac:dyDescent="0.25">
      <c r="A163" s="206" t="str">
        <f>UPPER(B165)&amp; " RISK"</f>
        <v>OPTION 5 RISK</v>
      </c>
      <c r="B163" s="54"/>
      <c r="C163" s="19"/>
      <c r="D163" s="19"/>
      <c r="E163" s="83"/>
      <c r="F163" s="19"/>
      <c r="G163" s="19"/>
      <c r="H163" s="227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10"/>
      <c r="AI163" s="10"/>
      <c r="AJ163" s="8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  <c r="AX163" s="327"/>
      <c r="AY163" s="327"/>
      <c r="AZ163" s="327"/>
      <c r="BA163" s="327"/>
      <c r="BB163" s="327"/>
      <c r="BC163" s="327"/>
      <c r="BD163" s="327"/>
      <c r="BE163" s="327"/>
      <c r="BF163" s="327"/>
      <c r="BG163" s="327"/>
    </row>
    <row r="164" spans="1:61" x14ac:dyDescent="0.2">
      <c r="A164" s="327"/>
      <c r="B164" s="327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7"/>
      <c r="BC164" s="327"/>
      <c r="BD164" s="327"/>
      <c r="BE164" s="327"/>
      <c r="BF164" s="327"/>
      <c r="BG164" s="327"/>
    </row>
    <row r="165" spans="1:61" x14ac:dyDescent="0.2">
      <c r="A165" s="327"/>
      <c r="B165" s="333" t="s">
        <v>155</v>
      </c>
      <c r="C165" s="333"/>
      <c r="D165" s="333"/>
      <c r="E165" s="333"/>
      <c r="F165" s="333" t="s">
        <v>310</v>
      </c>
      <c r="G165" s="333"/>
      <c r="H165" s="334" t="s">
        <v>273</v>
      </c>
      <c r="I165" s="334" t="s">
        <v>274</v>
      </c>
      <c r="J165" s="334" t="s">
        <v>275</v>
      </c>
      <c r="K165" s="334" t="s">
        <v>276</v>
      </c>
      <c r="L165" s="334" t="s">
        <v>277</v>
      </c>
      <c r="M165" s="334" t="s">
        <v>278</v>
      </c>
      <c r="N165" s="334" t="s">
        <v>279</v>
      </c>
      <c r="O165" s="334" t="s">
        <v>280</v>
      </c>
      <c r="P165" s="334" t="s">
        <v>281</v>
      </c>
      <c r="Q165" s="334" t="s">
        <v>282</v>
      </c>
      <c r="R165" s="334" t="s">
        <v>283</v>
      </c>
      <c r="S165" s="334" t="s">
        <v>284</v>
      </c>
      <c r="T165" s="334" t="s">
        <v>285</v>
      </c>
      <c r="U165" s="334" t="s">
        <v>286</v>
      </c>
      <c r="V165" s="334" t="s">
        <v>287</v>
      </c>
      <c r="W165" s="334" t="s">
        <v>288</v>
      </c>
      <c r="X165" s="334" t="s">
        <v>289</v>
      </c>
      <c r="Y165" s="334" t="s">
        <v>290</v>
      </c>
      <c r="Z165" s="334" t="s">
        <v>291</v>
      </c>
      <c r="AA165" s="334" t="s">
        <v>292</v>
      </c>
      <c r="AB165" s="334" t="s">
        <v>293</v>
      </c>
      <c r="AC165" s="334" t="s">
        <v>294</v>
      </c>
      <c r="AD165" s="334" t="s">
        <v>295</v>
      </c>
      <c r="AE165" s="334" t="s">
        <v>296</v>
      </c>
      <c r="AF165" s="334" t="s">
        <v>296</v>
      </c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7"/>
      <c r="BG165" s="327"/>
      <c r="BH165" s="327"/>
      <c r="BI165" s="327"/>
    </row>
    <row r="166" spans="1:61" x14ac:dyDescent="0.2">
      <c r="A166" s="327"/>
      <c r="B166" s="327"/>
      <c r="C166" s="342"/>
      <c r="D166" s="327"/>
      <c r="E166" s="327"/>
      <c r="F166" s="327"/>
      <c r="G166" s="327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327"/>
      <c r="BB166" s="327"/>
      <c r="BC166" s="327"/>
      <c r="BD166" s="327"/>
      <c r="BE166" s="327"/>
      <c r="BF166" s="327"/>
      <c r="BG166" s="327"/>
      <c r="BH166" s="327"/>
      <c r="BI166" s="327"/>
    </row>
    <row r="167" spans="1:61" x14ac:dyDescent="0.2">
      <c r="A167" s="327"/>
      <c r="B167" s="327" t="s">
        <v>268</v>
      </c>
      <c r="C167" s="342"/>
      <c r="D167" s="327"/>
      <c r="E167" s="327"/>
      <c r="F167" s="327"/>
      <c r="G167" s="327"/>
      <c r="H167" s="341" t="b">
        <v>1</v>
      </c>
      <c r="I167" s="341" t="b">
        <v>0</v>
      </c>
      <c r="J167" s="341" t="b">
        <v>0</v>
      </c>
      <c r="K167" s="341" t="b">
        <v>0</v>
      </c>
      <c r="L167" s="341" t="b">
        <v>0</v>
      </c>
      <c r="M167" s="341" t="b">
        <v>1</v>
      </c>
      <c r="N167" s="341" t="b">
        <v>1</v>
      </c>
      <c r="O167" s="341" t="b">
        <v>1</v>
      </c>
      <c r="P167" s="341" t="b">
        <v>1</v>
      </c>
      <c r="Q167" s="341" t="b">
        <v>1</v>
      </c>
      <c r="R167" s="341" t="b">
        <v>1</v>
      </c>
      <c r="S167" s="341" t="b">
        <v>1</v>
      </c>
      <c r="T167" s="341" t="b">
        <v>1</v>
      </c>
      <c r="U167" s="341" t="b">
        <v>1</v>
      </c>
      <c r="V167" s="341" t="b">
        <v>1</v>
      </c>
      <c r="W167" s="341" t="b">
        <v>1</v>
      </c>
      <c r="X167" s="341" t="b">
        <v>1</v>
      </c>
      <c r="Y167" s="341" t="b">
        <v>1</v>
      </c>
      <c r="Z167" s="341" t="b">
        <v>1</v>
      </c>
      <c r="AA167" s="341" t="b">
        <v>1</v>
      </c>
      <c r="AB167" s="341" t="b">
        <v>1</v>
      </c>
      <c r="AC167" s="341" t="b">
        <v>1</v>
      </c>
      <c r="AD167" s="341" t="b">
        <v>1</v>
      </c>
      <c r="AE167" s="341" t="b">
        <v>1</v>
      </c>
      <c r="AF167" s="341" t="b">
        <v>1</v>
      </c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7"/>
      <c r="BC167" s="327"/>
      <c r="BD167" s="327"/>
      <c r="BE167" s="327"/>
      <c r="BF167" s="327"/>
      <c r="BG167" s="327"/>
      <c r="BH167" s="327"/>
      <c r="BI167" s="327"/>
    </row>
    <row r="168" spans="1:61" x14ac:dyDescent="0.2">
      <c r="A168" s="327"/>
      <c r="B168" s="327"/>
      <c r="C168" s="342"/>
      <c r="D168" s="327"/>
      <c r="E168" s="327"/>
      <c r="F168" s="327"/>
      <c r="G168" s="327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7"/>
      <c r="BD168" s="327"/>
      <c r="BE168" s="327"/>
      <c r="BF168" s="327"/>
      <c r="BG168" s="327"/>
      <c r="BH168" s="327"/>
      <c r="BI168" s="327"/>
    </row>
    <row r="169" spans="1:61" x14ac:dyDescent="0.2">
      <c r="A169" s="327"/>
      <c r="B169" s="327"/>
      <c r="C169" s="342"/>
      <c r="D169" s="327"/>
      <c r="E169" s="327"/>
      <c r="F169" s="327"/>
      <c r="G169" s="327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7"/>
      <c r="BC169" s="327"/>
      <c r="BD169" s="327"/>
      <c r="BE169" s="327"/>
      <c r="BF169" s="327"/>
      <c r="BG169" s="327"/>
      <c r="BH169" s="327"/>
      <c r="BI169" s="327"/>
    </row>
    <row r="170" spans="1:61" x14ac:dyDescent="0.2">
      <c r="A170" s="327"/>
      <c r="B170" s="352" t="s">
        <v>322</v>
      </c>
      <c r="C170" s="353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7"/>
      <c r="AK170" s="327"/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  <c r="AW170" s="327"/>
      <c r="AX170" s="327"/>
      <c r="AY170" s="327"/>
      <c r="AZ170" s="327"/>
      <c r="BA170" s="327"/>
      <c r="BB170" s="327"/>
      <c r="BC170" s="327"/>
      <c r="BD170" s="327"/>
      <c r="BE170" s="327"/>
      <c r="BF170" s="327"/>
      <c r="BG170" s="327"/>
      <c r="BH170" s="327"/>
      <c r="BI170" s="327"/>
    </row>
    <row r="171" spans="1:61" x14ac:dyDescent="0.2">
      <c r="A171" s="327"/>
      <c r="B171" s="354"/>
      <c r="C171" s="351" t="str">
        <f>$B$165</f>
        <v>Option 5</v>
      </c>
      <c r="D171" s="6" t="s">
        <v>298</v>
      </c>
      <c r="E171" s="6" t="s">
        <v>307</v>
      </c>
      <c r="F171" s="340" cm="1">
        <f t="array" ref="F171:F174">INDEX($H$11:$L$14,,MATCH($B165, $H$9:$L$9,0))</f>
        <v>2045.75</v>
      </c>
      <c r="G171" s="340"/>
      <c r="H171" s="31">
        <f>INDEX(H$20:H$24, MATCH($C171, $C$20:$C$24,0))*$F171</f>
        <v>566.96215805886197</v>
      </c>
      <c r="I171" s="31">
        <f t="shared" ref="I171:AF174" si="68">INDEX(I$20:I$24, MATCH($C171, $C$20:$C$24,0))*$F171</f>
        <v>643.19259657204589</v>
      </c>
      <c r="J171" s="31">
        <f t="shared" si="68"/>
        <v>731.15721571887309</v>
      </c>
      <c r="K171" s="31">
        <f t="shared" si="68"/>
        <v>832.86910401002331</v>
      </c>
      <c r="L171" s="31">
        <f t="shared" si="68"/>
        <v>950.71730892946903</v>
      </c>
      <c r="M171" s="31">
        <f t="shared" si="68"/>
        <v>1087.5415333124674</v>
      </c>
      <c r="N171" s="31">
        <f t="shared" si="68"/>
        <v>1246.7223183017277</v>
      </c>
      <c r="O171" s="31">
        <f t="shared" si="68"/>
        <v>1432.2900158927896</v>
      </c>
      <c r="P171" s="31">
        <f t="shared" si="68"/>
        <v>1578.4925544273492</v>
      </c>
      <c r="Q171" s="31">
        <f t="shared" si="68"/>
        <v>1684.5472681843958</v>
      </c>
      <c r="R171" s="31">
        <f t="shared" si="68"/>
        <v>1758.0200608590219</v>
      </c>
      <c r="S171" s="31">
        <f t="shared" si="68"/>
        <v>1840.1903962462436</v>
      </c>
      <c r="T171" s="31">
        <f t="shared" si="68"/>
        <v>1932.1200632351452</v>
      </c>
      <c r="U171" s="31">
        <f t="shared" si="68"/>
        <v>2033.824159227084</v>
      </c>
      <c r="V171" s="31">
        <f t="shared" si="68"/>
        <v>2086.2323208973708</v>
      </c>
      <c r="W171" s="31">
        <f t="shared" si="68"/>
        <v>2099.9789165073812</v>
      </c>
      <c r="X171" s="31">
        <f t="shared" si="68"/>
        <v>2099.9789165073812</v>
      </c>
      <c r="Y171" s="31">
        <f t="shared" si="68"/>
        <v>2099.9789165073812</v>
      </c>
      <c r="Z171" s="31">
        <f t="shared" si="68"/>
        <v>2099.9789165073812</v>
      </c>
      <c r="AA171" s="31">
        <f t="shared" si="68"/>
        <v>2099.9789165073812</v>
      </c>
      <c r="AB171" s="31">
        <f t="shared" si="68"/>
        <v>2099.9789165073812</v>
      </c>
      <c r="AC171" s="31">
        <f t="shared" si="68"/>
        <v>2099.9789165073812</v>
      </c>
      <c r="AD171" s="31">
        <f t="shared" si="68"/>
        <v>2099.9789165073812</v>
      </c>
      <c r="AE171" s="31">
        <f t="shared" si="68"/>
        <v>2099.9789165073812</v>
      </c>
      <c r="AF171" s="31">
        <f t="shared" si="68"/>
        <v>2099.9789165073812</v>
      </c>
      <c r="AG171" s="327"/>
      <c r="AH171" s="327"/>
      <c r="AI171" s="327"/>
      <c r="AJ171" s="327"/>
      <c r="AK171" s="327"/>
      <c r="AL171" s="327"/>
      <c r="AM171" s="327"/>
      <c r="AN171" s="327"/>
      <c r="AO171" s="327"/>
      <c r="AP171" s="327"/>
      <c r="AQ171" s="327"/>
      <c r="AR171" s="327"/>
      <c r="AS171" s="327"/>
      <c r="AT171" s="327"/>
      <c r="AU171" s="327"/>
      <c r="AV171" s="327"/>
      <c r="AW171" s="327"/>
      <c r="AX171" s="327"/>
      <c r="AY171" s="327"/>
      <c r="AZ171" s="327"/>
      <c r="BA171" s="327"/>
      <c r="BB171" s="327"/>
      <c r="BC171" s="327"/>
      <c r="BD171" s="327"/>
      <c r="BE171" s="327"/>
      <c r="BF171" s="327"/>
      <c r="BG171" s="327"/>
      <c r="BH171" s="327"/>
      <c r="BI171" s="327"/>
    </row>
    <row r="172" spans="1:61" x14ac:dyDescent="0.2">
      <c r="A172" s="327"/>
      <c r="B172" s="354"/>
      <c r="C172" s="351" t="str">
        <f>C171</f>
        <v>Option 5</v>
      </c>
      <c r="D172" s="6" t="s">
        <v>116</v>
      </c>
      <c r="F172" s="340">
        <v>551911.11111111124</v>
      </c>
      <c r="G172" s="340"/>
      <c r="H172" s="31">
        <f t="shared" ref="H172:W174" si="69">INDEX(H$20:H$24, MATCH($C172, $C$20:$C$24,0))*$F172</f>
        <v>152957.45551128924</v>
      </c>
      <c r="I172" s="31">
        <f t="shared" si="69"/>
        <v>173523.22650984654</v>
      </c>
      <c r="J172" s="31">
        <f t="shared" si="69"/>
        <v>197254.69452489782</v>
      </c>
      <c r="K172" s="31">
        <f t="shared" si="69"/>
        <v>224694.95911244661</v>
      </c>
      <c r="L172" s="31">
        <f t="shared" si="69"/>
        <v>256488.54763476909</v>
      </c>
      <c r="M172" s="31">
        <f t="shared" si="69"/>
        <v>293401.56716605916</v>
      </c>
      <c r="N172" s="31">
        <f t="shared" si="69"/>
        <v>336346.03443281288</v>
      </c>
      <c r="O172" s="31">
        <f t="shared" si="69"/>
        <v>386409.27488927811</v>
      </c>
      <c r="P172" s="31">
        <f t="shared" si="69"/>
        <v>425852.41578619799</v>
      </c>
      <c r="Q172" s="31">
        <f t="shared" si="69"/>
        <v>454464.30624604027</v>
      </c>
      <c r="R172" s="31">
        <f t="shared" si="69"/>
        <v>474286.10785498039</v>
      </c>
      <c r="S172" s="31">
        <f t="shared" si="69"/>
        <v>496454.36942356615</v>
      </c>
      <c r="T172" s="31">
        <f t="shared" si="69"/>
        <v>521255.54486138554</v>
      </c>
      <c r="U172" s="31">
        <f t="shared" si="69"/>
        <v>548693.70720940561</v>
      </c>
      <c r="V172" s="31">
        <f t="shared" si="69"/>
        <v>562832.6033300159</v>
      </c>
      <c r="W172" s="31">
        <f t="shared" si="69"/>
        <v>566541.21819357027</v>
      </c>
      <c r="X172" s="31">
        <f t="shared" si="68"/>
        <v>566541.21819357027</v>
      </c>
      <c r="Y172" s="31">
        <f t="shared" si="68"/>
        <v>566541.21819357027</v>
      </c>
      <c r="Z172" s="31">
        <f t="shared" si="68"/>
        <v>566541.21819357027</v>
      </c>
      <c r="AA172" s="31">
        <f t="shared" si="68"/>
        <v>566541.21819357027</v>
      </c>
      <c r="AB172" s="31">
        <f t="shared" si="68"/>
        <v>566541.21819357027</v>
      </c>
      <c r="AC172" s="31">
        <f t="shared" si="68"/>
        <v>566541.21819357027</v>
      </c>
      <c r="AD172" s="31">
        <f t="shared" si="68"/>
        <v>566541.21819357027</v>
      </c>
      <c r="AE172" s="31">
        <f t="shared" si="68"/>
        <v>566541.21819357027</v>
      </c>
      <c r="AF172" s="31">
        <f t="shared" si="68"/>
        <v>566541.21819357027</v>
      </c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27"/>
      <c r="AX172" s="327"/>
      <c r="AY172" s="327"/>
      <c r="AZ172" s="327"/>
      <c r="BA172" s="327"/>
      <c r="BB172" s="327"/>
      <c r="BC172" s="327"/>
      <c r="BD172" s="327"/>
      <c r="BE172" s="327"/>
      <c r="BF172" s="327"/>
      <c r="BG172" s="327"/>
      <c r="BH172" s="327"/>
      <c r="BI172" s="327"/>
    </row>
    <row r="173" spans="1:61" x14ac:dyDescent="0.2">
      <c r="A173" s="327"/>
      <c r="B173" s="354"/>
      <c r="C173" s="351" t="str">
        <f t="shared" ref="C173:C174" si="70">C172</f>
        <v>Option 5</v>
      </c>
      <c r="D173" s="6" t="s">
        <v>299</v>
      </c>
      <c r="F173" s="340">
        <v>33489.5268</v>
      </c>
      <c r="G173" s="340"/>
      <c r="H173" s="31">
        <f t="shared" si="69"/>
        <v>9281.3366183053131</v>
      </c>
      <c r="I173" s="31">
        <f t="shared" si="69"/>
        <v>10529.251228381336</v>
      </c>
      <c r="J173" s="31">
        <f t="shared" si="68"/>
        <v>11969.257812944192</v>
      </c>
      <c r="K173" s="31">
        <f t="shared" si="68"/>
        <v>13634.311220645564</v>
      </c>
      <c r="L173" s="31">
        <f t="shared" si="68"/>
        <v>15563.520858666665</v>
      </c>
      <c r="M173" s="31">
        <f t="shared" si="68"/>
        <v>17803.373494308184</v>
      </c>
      <c r="N173" s="31">
        <f t="shared" si="68"/>
        <v>20409.209576401729</v>
      </c>
      <c r="O173" s="31">
        <f t="shared" si="68"/>
        <v>23447.00714780105</v>
      </c>
      <c r="P173" s="31">
        <f t="shared" si="68"/>
        <v>25840.385533469471</v>
      </c>
      <c r="Q173" s="31">
        <f t="shared" si="68"/>
        <v>27576.532266273058</v>
      </c>
      <c r="R173" s="31">
        <f t="shared" si="68"/>
        <v>28779.303406122861</v>
      </c>
      <c r="S173" s="31">
        <f t="shared" si="68"/>
        <v>30124.455868112524</v>
      </c>
      <c r="T173" s="31">
        <f t="shared" si="68"/>
        <v>31629.371447406131</v>
      </c>
      <c r="U173" s="31">
        <f t="shared" si="68"/>
        <v>33294.297292886666</v>
      </c>
      <c r="V173" s="31">
        <f t="shared" si="68"/>
        <v>34152.234252337134</v>
      </c>
      <c r="W173" s="31">
        <f t="shared" si="68"/>
        <v>34377.270049521649</v>
      </c>
      <c r="X173" s="31">
        <f t="shared" si="68"/>
        <v>34377.270049521649</v>
      </c>
      <c r="Y173" s="31">
        <f t="shared" si="68"/>
        <v>34377.270049521649</v>
      </c>
      <c r="Z173" s="31">
        <f t="shared" si="68"/>
        <v>34377.270049521649</v>
      </c>
      <c r="AA173" s="31">
        <f t="shared" si="68"/>
        <v>34377.270049521649</v>
      </c>
      <c r="AB173" s="31">
        <f t="shared" si="68"/>
        <v>34377.270049521649</v>
      </c>
      <c r="AC173" s="31">
        <f t="shared" si="68"/>
        <v>34377.270049521649</v>
      </c>
      <c r="AD173" s="31">
        <f t="shared" si="68"/>
        <v>34377.270049521649</v>
      </c>
      <c r="AE173" s="31">
        <f t="shared" si="68"/>
        <v>34377.270049521649</v>
      </c>
      <c r="AF173" s="31">
        <f t="shared" si="68"/>
        <v>34377.270049521649</v>
      </c>
      <c r="AG173" s="327"/>
      <c r="AH173" s="327"/>
      <c r="AI173" s="327"/>
      <c r="AJ173" s="327"/>
      <c r="AK173" s="327"/>
      <c r="AL173" s="327"/>
      <c r="AM173" s="327"/>
      <c r="AN173" s="327"/>
      <c r="AO173" s="327"/>
      <c r="AP173" s="327"/>
      <c r="AQ173" s="327"/>
      <c r="AR173" s="327"/>
      <c r="AS173" s="327"/>
      <c r="AT173" s="327"/>
      <c r="AU173" s="327"/>
      <c r="AV173" s="327"/>
      <c r="AW173" s="327"/>
      <c r="AX173" s="327"/>
      <c r="AY173" s="327"/>
      <c r="AZ173" s="327"/>
      <c r="BA173" s="327"/>
      <c r="BB173" s="327"/>
      <c r="BC173" s="327"/>
      <c r="BD173" s="327"/>
      <c r="BE173" s="327"/>
      <c r="BF173" s="327"/>
      <c r="BG173" s="327"/>
      <c r="BH173" s="327"/>
      <c r="BI173" s="327"/>
    </row>
    <row r="174" spans="1:61" x14ac:dyDescent="0.2">
      <c r="A174" s="327"/>
      <c r="B174" s="354"/>
      <c r="C174" s="351" t="str">
        <f t="shared" si="70"/>
        <v>Option 5</v>
      </c>
      <c r="D174" s="6" t="s">
        <v>301</v>
      </c>
      <c r="F174" s="340">
        <v>4800</v>
      </c>
      <c r="G174" s="340"/>
      <c r="H174" s="31">
        <f t="shared" si="69"/>
        <v>1330.2790461603506</v>
      </c>
      <c r="I174" s="31">
        <f t="shared" si="69"/>
        <v>1509.1406396411194</v>
      </c>
      <c r="J174" s="31">
        <f t="shared" si="68"/>
        <v>1715.534466797307</v>
      </c>
      <c r="K174" s="31">
        <f t="shared" si="68"/>
        <v>1954.1838930700781</v>
      </c>
      <c r="L174" s="31">
        <f t="shared" si="68"/>
        <v>2230.6944068734942</v>
      </c>
      <c r="M174" s="31">
        <f t="shared" si="68"/>
        <v>2551.7288817792219</v>
      </c>
      <c r="N174" s="31">
        <f t="shared" si="68"/>
        <v>2925.2191752894014</v>
      </c>
      <c r="O174" s="31">
        <f t="shared" si="68"/>
        <v>3360.6218141441477</v>
      </c>
      <c r="P174" s="31">
        <f t="shared" si="68"/>
        <v>3703.6608878168281</v>
      </c>
      <c r="Q174" s="31">
        <f t="shared" si="68"/>
        <v>3952.5000060051811</v>
      </c>
      <c r="R174" s="31">
        <f t="shared" si="68"/>
        <v>4124.89125852294</v>
      </c>
      <c r="S174" s="31">
        <f t="shared" si="68"/>
        <v>4317.6897968871908</v>
      </c>
      <c r="T174" s="31">
        <f t="shared" si="68"/>
        <v>4533.3869258358536</v>
      </c>
      <c r="U174" s="31">
        <f t="shared" si="68"/>
        <v>4772.0180688207274</v>
      </c>
      <c r="V174" s="31">
        <f t="shared" si="68"/>
        <v>4894.9847930135056</v>
      </c>
      <c r="W174" s="31">
        <f t="shared" si="68"/>
        <v>4927.2388117978398</v>
      </c>
      <c r="X174" s="31">
        <f t="shared" si="68"/>
        <v>4927.2388117978398</v>
      </c>
      <c r="Y174" s="31">
        <f t="shared" si="68"/>
        <v>4927.2388117978398</v>
      </c>
      <c r="Z174" s="31">
        <f t="shared" si="68"/>
        <v>4927.2388117978398</v>
      </c>
      <c r="AA174" s="31">
        <f t="shared" si="68"/>
        <v>4927.2388117978398</v>
      </c>
      <c r="AB174" s="31">
        <f t="shared" si="68"/>
        <v>4927.2388117978398</v>
      </c>
      <c r="AC174" s="31">
        <f t="shared" si="68"/>
        <v>4927.2388117978398</v>
      </c>
      <c r="AD174" s="31">
        <f t="shared" si="68"/>
        <v>4927.2388117978398</v>
      </c>
      <c r="AE174" s="31">
        <f t="shared" si="68"/>
        <v>4927.2388117978398</v>
      </c>
      <c r="AF174" s="31">
        <f t="shared" si="68"/>
        <v>4927.2388117978398</v>
      </c>
      <c r="AG174" s="327"/>
      <c r="AH174" s="327"/>
      <c r="AI174" s="327"/>
      <c r="AJ174" s="327"/>
      <c r="AK174" s="327"/>
      <c r="AL174" s="327"/>
      <c r="AM174" s="327"/>
      <c r="AN174" s="327"/>
      <c r="AO174" s="327"/>
      <c r="AP174" s="327"/>
      <c r="AQ174" s="327"/>
      <c r="AR174" s="327"/>
      <c r="AS174" s="327"/>
      <c r="AT174" s="327"/>
      <c r="AU174" s="327"/>
      <c r="AV174" s="327"/>
      <c r="AW174" s="327"/>
      <c r="AX174" s="327"/>
      <c r="AY174" s="327"/>
      <c r="AZ174" s="327"/>
      <c r="BA174" s="327"/>
      <c r="BB174" s="327"/>
      <c r="BC174" s="327"/>
      <c r="BD174" s="327"/>
      <c r="BE174" s="327"/>
      <c r="BF174" s="327"/>
      <c r="BG174" s="327"/>
      <c r="BH174" s="327"/>
      <c r="BI174" s="327"/>
    </row>
    <row r="175" spans="1:61" x14ac:dyDescent="0.2">
      <c r="A175" s="327"/>
      <c r="B175" s="354"/>
      <c r="C175" s="351"/>
      <c r="D175" s="327"/>
      <c r="F175" s="327"/>
      <c r="G175" s="32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27"/>
      <c r="AH175" s="327"/>
      <c r="AI175" s="327"/>
      <c r="AJ175" s="327"/>
      <c r="AK175" s="327"/>
      <c r="AL175" s="327"/>
      <c r="AM175" s="327"/>
      <c r="AN175" s="327"/>
      <c r="AO175" s="327"/>
      <c r="AP175" s="327"/>
      <c r="AQ175" s="327"/>
      <c r="AR175" s="327"/>
      <c r="AS175" s="327"/>
      <c r="AT175" s="327"/>
      <c r="AU175" s="327"/>
      <c r="AV175" s="327"/>
      <c r="AW175" s="327"/>
      <c r="AX175" s="327"/>
      <c r="AY175" s="327"/>
      <c r="AZ175" s="327"/>
      <c r="BA175" s="327"/>
      <c r="BB175" s="327"/>
      <c r="BC175" s="327"/>
      <c r="BD175" s="327"/>
      <c r="BE175" s="327"/>
      <c r="BF175" s="327"/>
      <c r="BG175" s="327"/>
      <c r="BH175" s="327"/>
      <c r="BI175" s="327"/>
    </row>
    <row r="176" spans="1:61" hidden="1" outlineLevel="1" x14ac:dyDescent="0.2">
      <c r="A176" s="327"/>
      <c r="B176" s="352" t="s">
        <v>328</v>
      </c>
      <c r="C176" s="351"/>
      <c r="D176" s="327"/>
      <c r="F176" s="327"/>
      <c r="G176" s="32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27"/>
      <c r="AH176" s="327"/>
      <c r="AI176" s="327"/>
      <c r="AJ176" s="327"/>
      <c r="AK176" s="327"/>
      <c r="AL176" s="327"/>
      <c r="AM176" s="327"/>
      <c r="AN176" s="327"/>
      <c r="AO176" s="327"/>
      <c r="AP176" s="327"/>
      <c r="AQ176" s="327"/>
      <c r="AR176" s="327"/>
      <c r="AS176" s="327"/>
      <c r="AT176" s="327"/>
      <c r="AU176" s="327"/>
      <c r="AV176" s="327"/>
      <c r="AW176" s="327"/>
      <c r="AX176" s="327"/>
      <c r="AY176" s="327"/>
      <c r="AZ176" s="327"/>
      <c r="BA176" s="327"/>
      <c r="BB176" s="327"/>
      <c r="BC176" s="327"/>
      <c r="BD176" s="327"/>
      <c r="BE176" s="327"/>
      <c r="BF176" s="327"/>
      <c r="BG176" s="327"/>
      <c r="BH176" s="327"/>
      <c r="BI176" s="327"/>
    </row>
    <row r="177" spans="1:61" hidden="1" outlineLevel="1" x14ac:dyDescent="0.2">
      <c r="A177" s="327"/>
      <c r="B177" s="354"/>
      <c r="C177" s="351" t="s">
        <v>319</v>
      </c>
      <c r="D177" s="327"/>
      <c r="F177" s="340">
        <f>F171</f>
        <v>2045.75</v>
      </c>
      <c r="G177" s="327"/>
      <c r="H177" s="31">
        <f t="shared" ref="H177:AF180" si="71">-INDEX(H$20:H$24, MATCH($C177, $C$20:$C$24,0))*$F177</f>
        <v>-214.59926705538368</v>
      </c>
      <c r="I177" s="31">
        <f t="shared" si="71"/>
        <v>-246.26884205886688</v>
      </c>
      <c r="J177" s="31">
        <f t="shared" si="71"/>
        <v>-283.23321106796112</v>
      </c>
      <c r="K177" s="31">
        <f t="shared" si="71"/>
        <v>-326.46746691163946</v>
      </c>
      <c r="L177" s="31">
        <f t="shared" si="71"/>
        <v>-377.13974229709157</v>
      </c>
      <c r="M177" s="31">
        <f t="shared" si="71"/>
        <v>-436.65139208044451</v>
      </c>
      <c r="N177" s="31">
        <f t="shared" si="71"/>
        <v>-506.68581844288997</v>
      </c>
      <c r="O177" s="31">
        <f t="shared" si="71"/>
        <v>-589.26783671214446</v>
      </c>
      <c r="P177" s="31">
        <f t="shared" si="71"/>
        <v>-637.70604572469369</v>
      </c>
      <c r="Q177" s="31">
        <f t="shared" si="71"/>
        <v>-658.69591416991614</v>
      </c>
      <c r="R177" s="31">
        <f t="shared" si="71"/>
        <v>-672.73221455123928</v>
      </c>
      <c r="S177" s="31">
        <f t="shared" si="71"/>
        <v>-688.55979610541624</v>
      </c>
      <c r="T177" s="31">
        <f t="shared" si="71"/>
        <v>-706.41143644079204</v>
      </c>
      <c r="U177" s="31">
        <f t="shared" si="71"/>
        <v>-726.12364969589692</v>
      </c>
      <c r="V177" s="31">
        <f t="shared" si="71"/>
        <v>-726.12364969589692</v>
      </c>
      <c r="W177" s="31">
        <f t="shared" si="71"/>
        <v>-726.12364969589692</v>
      </c>
      <c r="X177" s="31">
        <f t="shared" si="71"/>
        <v>-726.12364969589692</v>
      </c>
      <c r="Y177" s="31">
        <f t="shared" si="71"/>
        <v>-726.12364969589692</v>
      </c>
      <c r="Z177" s="31">
        <f t="shared" si="71"/>
        <v>-726.12364969589692</v>
      </c>
      <c r="AA177" s="31">
        <f t="shared" si="71"/>
        <v>-726.12364969589692</v>
      </c>
      <c r="AB177" s="31">
        <f t="shared" si="71"/>
        <v>-726.12364969589692</v>
      </c>
      <c r="AC177" s="31">
        <f t="shared" si="71"/>
        <v>-726.12364969589692</v>
      </c>
      <c r="AD177" s="31">
        <f t="shared" si="71"/>
        <v>-726.12364969589692</v>
      </c>
      <c r="AE177" s="31">
        <f t="shared" si="71"/>
        <v>-726.12364969589692</v>
      </c>
      <c r="AF177" s="31">
        <f t="shared" si="71"/>
        <v>-726.12364969589692</v>
      </c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  <c r="AX177" s="327"/>
      <c r="AY177" s="327"/>
      <c r="AZ177" s="327"/>
      <c r="BA177" s="327"/>
      <c r="BB177" s="327"/>
      <c r="BC177" s="327"/>
      <c r="BD177" s="327"/>
      <c r="BE177" s="327"/>
      <c r="BF177" s="327"/>
      <c r="BG177" s="327"/>
      <c r="BH177" s="327"/>
      <c r="BI177" s="327"/>
    </row>
    <row r="178" spans="1:61" hidden="1" outlineLevel="1" x14ac:dyDescent="0.2">
      <c r="A178" s="327"/>
      <c r="B178" s="354"/>
      <c r="C178" s="351" t="s">
        <v>319</v>
      </c>
      <c r="D178" s="327"/>
      <c r="F178" s="340">
        <f>F172</f>
        <v>551911.11111111124</v>
      </c>
      <c r="G178" s="327"/>
      <c r="H178" s="31">
        <f t="shared" ref="H178:W180" si="72">-INDEX(H$20:H$24, MATCH($C178, $C$20:$C$24,0))*$F178</f>
        <v>-57895.500390647387</v>
      </c>
      <c r="I178" s="31">
        <f t="shared" si="72"/>
        <v>-66439.452647076134</v>
      </c>
      <c r="J178" s="31">
        <f t="shared" si="72"/>
        <v>-76411.85688578093</v>
      </c>
      <c r="K178" s="31">
        <f t="shared" si="72"/>
        <v>-88075.777785571496</v>
      </c>
      <c r="L178" s="31">
        <f t="shared" si="72"/>
        <v>-101746.35914229303</v>
      </c>
      <c r="M178" s="31">
        <f t="shared" si="72"/>
        <v>-117801.6644122359</v>
      </c>
      <c r="N178" s="31">
        <f t="shared" si="72"/>
        <v>-136695.84897522093</v>
      </c>
      <c r="O178" s="31">
        <f t="shared" si="72"/>
        <v>-158975.17609768567</v>
      </c>
      <c r="P178" s="31">
        <f t="shared" si="72"/>
        <v>-172043.04155355677</v>
      </c>
      <c r="Q178" s="31">
        <f t="shared" si="72"/>
        <v>-177705.77728161679</v>
      </c>
      <c r="R178" s="31">
        <f t="shared" si="72"/>
        <v>-181492.54992702577</v>
      </c>
      <c r="S178" s="31">
        <f t="shared" si="72"/>
        <v>-185762.58200414543</v>
      </c>
      <c r="T178" s="31">
        <f t="shared" si="72"/>
        <v>-190578.67324337462</v>
      </c>
      <c r="U178" s="31">
        <f t="shared" si="72"/>
        <v>-195896.71773565575</v>
      </c>
      <c r="V178" s="31">
        <f t="shared" si="72"/>
        <v>-195896.71773565575</v>
      </c>
      <c r="W178" s="31">
        <f t="shared" si="72"/>
        <v>-195896.71773565575</v>
      </c>
      <c r="X178" s="31">
        <f t="shared" si="71"/>
        <v>-195896.71773565575</v>
      </c>
      <c r="Y178" s="31">
        <f t="shared" si="71"/>
        <v>-195896.71773565575</v>
      </c>
      <c r="Z178" s="31">
        <f t="shared" si="71"/>
        <v>-195896.71773565575</v>
      </c>
      <c r="AA178" s="31">
        <f t="shared" si="71"/>
        <v>-195896.71773565575</v>
      </c>
      <c r="AB178" s="31">
        <f t="shared" si="71"/>
        <v>-195896.71773565575</v>
      </c>
      <c r="AC178" s="31">
        <f t="shared" si="71"/>
        <v>-195896.71773565575</v>
      </c>
      <c r="AD178" s="31">
        <f t="shared" si="71"/>
        <v>-195896.71773565575</v>
      </c>
      <c r="AE178" s="31">
        <f t="shared" si="71"/>
        <v>-195896.71773565575</v>
      </c>
      <c r="AF178" s="31">
        <f t="shared" si="71"/>
        <v>-195896.71773565575</v>
      </c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7"/>
      <c r="AT178" s="327"/>
      <c r="AU178" s="327"/>
      <c r="AV178" s="327"/>
      <c r="AW178" s="327"/>
      <c r="AX178" s="327"/>
      <c r="AY178" s="327"/>
      <c r="AZ178" s="327"/>
      <c r="BA178" s="327"/>
      <c r="BB178" s="327"/>
      <c r="BC178" s="327"/>
      <c r="BD178" s="327"/>
      <c r="BE178" s="327"/>
      <c r="BF178" s="327"/>
      <c r="BG178" s="327"/>
      <c r="BH178" s="327"/>
      <c r="BI178" s="327"/>
    </row>
    <row r="179" spans="1:61" hidden="1" outlineLevel="1" x14ac:dyDescent="0.2">
      <c r="A179" s="327"/>
      <c r="B179" s="354"/>
      <c r="C179" s="351" t="s">
        <v>319</v>
      </c>
      <c r="D179" s="327"/>
      <c r="F179" s="340">
        <f>F173</f>
        <v>33489.5268</v>
      </c>
      <c r="G179" s="327"/>
      <c r="H179" s="31">
        <f t="shared" si="72"/>
        <v>-3513.0528682935983</v>
      </c>
      <c r="I179" s="31">
        <f t="shared" si="72"/>
        <v>-4031.4930886644947</v>
      </c>
      <c r="J179" s="31">
        <f t="shared" si="72"/>
        <v>-4636.610638010774</v>
      </c>
      <c r="K179" s="31">
        <f t="shared" si="72"/>
        <v>-5344.3680715949959</v>
      </c>
      <c r="L179" s="31">
        <f t="shared" si="72"/>
        <v>-6173.8880640369262</v>
      </c>
      <c r="M179" s="31">
        <f t="shared" si="72"/>
        <v>-7148.1112048565828</v>
      </c>
      <c r="N179" s="31">
        <f t="shared" si="72"/>
        <v>-8294.5952809107166</v>
      </c>
      <c r="O179" s="31">
        <f t="shared" si="72"/>
        <v>-9646.4871122812583</v>
      </c>
      <c r="P179" s="31">
        <f t="shared" si="72"/>
        <v>-10439.434783731715</v>
      </c>
      <c r="Q179" s="31">
        <f t="shared" si="72"/>
        <v>-10783.0450791367</v>
      </c>
      <c r="R179" s="31">
        <f t="shared" si="72"/>
        <v>-11012.823428296262</v>
      </c>
      <c r="S179" s="31">
        <f t="shared" si="72"/>
        <v>-11271.925575009103</v>
      </c>
      <c r="T179" s="31">
        <f t="shared" si="72"/>
        <v>-11564.162156915752</v>
      </c>
      <c r="U179" s="31">
        <f t="shared" si="72"/>
        <v>-11886.856862570963</v>
      </c>
      <c r="V179" s="31">
        <f t="shared" si="72"/>
        <v>-11886.856862570963</v>
      </c>
      <c r="W179" s="31">
        <f t="shared" si="71"/>
        <v>-11886.856862570963</v>
      </c>
      <c r="X179" s="31">
        <f t="shared" si="71"/>
        <v>-11886.856862570963</v>
      </c>
      <c r="Y179" s="31">
        <f t="shared" si="71"/>
        <v>-11886.856862570963</v>
      </c>
      <c r="Z179" s="31">
        <f t="shared" si="71"/>
        <v>-11886.856862570963</v>
      </c>
      <c r="AA179" s="31">
        <f t="shared" si="71"/>
        <v>-11886.856862570963</v>
      </c>
      <c r="AB179" s="31">
        <f t="shared" si="71"/>
        <v>-11886.856862570963</v>
      </c>
      <c r="AC179" s="31">
        <f t="shared" si="71"/>
        <v>-11886.856862570963</v>
      </c>
      <c r="AD179" s="31">
        <f t="shared" si="71"/>
        <v>-11886.856862570963</v>
      </c>
      <c r="AE179" s="31">
        <f t="shared" si="71"/>
        <v>-11886.856862570963</v>
      </c>
      <c r="AF179" s="31">
        <f t="shared" si="71"/>
        <v>-11886.856862570963</v>
      </c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27"/>
      <c r="BC179" s="327"/>
      <c r="BD179" s="327"/>
      <c r="BE179" s="327"/>
      <c r="BF179" s="327"/>
      <c r="BG179" s="327"/>
      <c r="BH179" s="327"/>
      <c r="BI179" s="327"/>
    </row>
    <row r="180" spans="1:61" hidden="1" outlineLevel="1" x14ac:dyDescent="0.2">
      <c r="A180" s="327"/>
      <c r="B180" s="354"/>
      <c r="C180" s="351" t="s">
        <v>319</v>
      </c>
      <c r="D180" s="327"/>
      <c r="F180" s="340">
        <f>F174</f>
        <v>4800</v>
      </c>
      <c r="G180" s="327"/>
      <c r="H180" s="31">
        <f t="shared" si="72"/>
        <v>-503.5202159921015</v>
      </c>
      <c r="I180" s="31">
        <f t="shared" si="72"/>
        <v>-577.82741873765667</v>
      </c>
      <c r="J180" s="31">
        <f t="shared" si="72"/>
        <v>-664.55794360318396</v>
      </c>
      <c r="K180" s="31">
        <f t="shared" si="72"/>
        <v>-765.99967795472048</v>
      </c>
      <c r="L180" s="31">
        <f t="shared" si="72"/>
        <v>-884.89344398193316</v>
      </c>
      <c r="M180" s="31">
        <f t="shared" si="72"/>
        <v>-1024.5272794750745</v>
      </c>
      <c r="N180" s="31">
        <f t="shared" si="72"/>
        <v>-1188.8509976907599</v>
      </c>
      <c r="O180" s="31">
        <f t="shared" si="72"/>
        <v>-1382.6154790264172</v>
      </c>
      <c r="P180" s="31">
        <f t="shared" si="72"/>
        <v>-1496.2673931216079</v>
      </c>
      <c r="Q180" s="31">
        <f t="shared" si="72"/>
        <v>-1545.5165039792728</v>
      </c>
      <c r="R180" s="31">
        <f t="shared" si="72"/>
        <v>-1578.4502651086148</v>
      </c>
      <c r="S180" s="31">
        <f t="shared" si="72"/>
        <v>-1615.5869589666372</v>
      </c>
      <c r="T180" s="31">
        <f t="shared" si="72"/>
        <v>-1657.4727581159973</v>
      </c>
      <c r="U180" s="31">
        <f t="shared" si="72"/>
        <v>-1703.7240711427619</v>
      </c>
      <c r="V180" s="31">
        <f t="shared" si="72"/>
        <v>-1703.7240711427619</v>
      </c>
      <c r="W180" s="31">
        <f t="shared" si="71"/>
        <v>-1703.7240711427619</v>
      </c>
      <c r="X180" s="31">
        <f t="shared" si="71"/>
        <v>-1703.7240711427619</v>
      </c>
      <c r="Y180" s="31">
        <f t="shared" si="71"/>
        <v>-1703.7240711427619</v>
      </c>
      <c r="Z180" s="31">
        <f t="shared" si="71"/>
        <v>-1703.7240711427619</v>
      </c>
      <c r="AA180" s="31">
        <f t="shared" si="71"/>
        <v>-1703.7240711427619</v>
      </c>
      <c r="AB180" s="31">
        <f t="shared" si="71"/>
        <v>-1703.7240711427619</v>
      </c>
      <c r="AC180" s="31">
        <f t="shared" si="71"/>
        <v>-1703.7240711427619</v>
      </c>
      <c r="AD180" s="31">
        <f t="shared" si="71"/>
        <v>-1703.7240711427619</v>
      </c>
      <c r="AE180" s="31">
        <f t="shared" si="71"/>
        <v>-1703.7240711427619</v>
      </c>
      <c r="AF180" s="31">
        <f t="shared" si="71"/>
        <v>-1703.7240711427619</v>
      </c>
      <c r="AG180" s="327"/>
      <c r="AH180" s="327"/>
      <c r="AI180" s="327"/>
      <c r="AJ180" s="327"/>
      <c r="AK180" s="327"/>
      <c r="AL180" s="327"/>
      <c r="AM180" s="327"/>
      <c r="AN180" s="327"/>
      <c r="AO180" s="327"/>
      <c r="AP180" s="327"/>
      <c r="AQ180" s="327"/>
      <c r="AR180" s="327"/>
      <c r="AS180" s="327"/>
      <c r="AT180" s="327"/>
      <c r="AU180" s="327"/>
      <c r="AV180" s="327"/>
      <c r="AW180" s="327"/>
      <c r="AX180" s="327"/>
      <c r="AY180" s="327"/>
      <c r="AZ180" s="327"/>
      <c r="BA180" s="327"/>
      <c r="BB180" s="327"/>
      <c r="BC180" s="327"/>
      <c r="BD180" s="327"/>
      <c r="BE180" s="327"/>
      <c r="BF180" s="327"/>
      <c r="BG180" s="327"/>
      <c r="BH180" s="327"/>
      <c r="BI180" s="327"/>
    </row>
    <row r="181" spans="1:61" hidden="1" outlineLevel="1" x14ac:dyDescent="0.2">
      <c r="A181" s="327"/>
      <c r="B181" s="354"/>
      <c r="C181" s="351"/>
      <c r="D181" s="327"/>
      <c r="F181" s="327"/>
      <c r="G181" s="327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  <c r="AW181" s="327"/>
      <c r="AX181" s="327"/>
      <c r="AY181" s="327"/>
      <c r="AZ181" s="327"/>
      <c r="BA181" s="327"/>
      <c r="BB181" s="327"/>
      <c r="BC181" s="327"/>
      <c r="BD181" s="327"/>
      <c r="BE181" s="327"/>
      <c r="BF181" s="327"/>
      <c r="BG181" s="327"/>
      <c r="BH181" s="327"/>
      <c r="BI181" s="327"/>
    </row>
    <row r="182" spans="1:61" hidden="1" outlineLevel="1" x14ac:dyDescent="0.2">
      <c r="A182" s="327"/>
      <c r="B182" s="354"/>
      <c r="C182" s="351"/>
      <c r="D182" s="327"/>
      <c r="F182" s="327"/>
      <c r="G182" s="327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327"/>
      <c r="AV182" s="327"/>
      <c r="AW182" s="327"/>
      <c r="AX182" s="327"/>
      <c r="AY182" s="327"/>
      <c r="AZ182" s="327"/>
      <c r="BA182" s="327"/>
      <c r="BB182" s="327"/>
      <c r="BC182" s="327"/>
      <c r="BD182" s="327"/>
      <c r="BE182" s="327"/>
      <c r="BF182" s="327"/>
      <c r="BG182" s="327"/>
      <c r="BH182" s="327"/>
      <c r="BI182" s="327"/>
    </row>
    <row r="183" spans="1:61" hidden="1" outlineLevel="1" x14ac:dyDescent="0.2">
      <c r="A183" s="327"/>
      <c r="B183" s="354"/>
      <c r="C183" s="351" t="s">
        <v>319</v>
      </c>
      <c r="D183" s="327"/>
      <c r="F183" s="327"/>
      <c r="G183" s="327"/>
      <c r="H183" s="31">
        <f t="shared" ref="H183:AF183" si="73">H87</f>
        <v>0</v>
      </c>
      <c r="I183" s="31">
        <f t="shared" si="73"/>
        <v>-36.335493921301641</v>
      </c>
      <c r="J183" s="31">
        <f t="shared" si="73"/>
        <v>-84.740985886389169</v>
      </c>
      <c r="K183" s="31">
        <f t="shared" si="73"/>
        <v>-148.28744087546698</v>
      </c>
      <c r="L183" s="31">
        <f t="shared" si="73"/>
        <v>-230.80868604486352</v>
      </c>
      <c r="M183" s="31">
        <f t="shared" si="73"/>
        <v>-337.09179615473477</v>
      </c>
      <c r="N183" s="31">
        <f t="shared" si="73"/>
        <v>-394.26275645060866</v>
      </c>
      <c r="O183" s="31">
        <f t="shared" si="73"/>
        <v>-461.67664891530615</v>
      </c>
      <c r="P183" s="31">
        <f t="shared" si="73"/>
        <v>-501.21804402759119</v>
      </c>
      <c r="Q183" s="31">
        <f t="shared" si="73"/>
        <v>-518.35263051348716</v>
      </c>
      <c r="R183" s="31">
        <f t="shared" si="73"/>
        <v>-529.81083490640401</v>
      </c>
      <c r="S183" s="31">
        <f t="shared" si="73"/>
        <v>-542.73130964450763</v>
      </c>
      <c r="T183" s="31">
        <f t="shared" si="73"/>
        <v>-557.30407726522253</v>
      </c>
      <c r="U183" s="31">
        <f t="shared" si="73"/>
        <v>-573.395679922451</v>
      </c>
      <c r="V183" s="31">
        <f t="shared" si="73"/>
        <v>-573.395679922451</v>
      </c>
      <c r="W183" s="31">
        <f t="shared" si="73"/>
        <v>-573.395679922451</v>
      </c>
      <c r="X183" s="31">
        <f t="shared" si="73"/>
        <v>-573.395679922451</v>
      </c>
      <c r="Y183" s="31">
        <f t="shared" si="73"/>
        <v>-573.395679922451</v>
      </c>
      <c r="Z183" s="31">
        <f t="shared" si="73"/>
        <v>-573.395679922451</v>
      </c>
      <c r="AA183" s="31">
        <f t="shared" si="73"/>
        <v>-573.395679922451</v>
      </c>
      <c r="AB183" s="31">
        <f t="shared" si="73"/>
        <v>-573.395679922451</v>
      </c>
      <c r="AC183" s="31">
        <f t="shared" si="73"/>
        <v>-573.395679922451</v>
      </c>
      <c r="AD183" s="31">
        <f t="shared" si="73"/>
        <v>-573.395679922451</v>
      </c>
      <c r="AE183" s="31">
        <f t="shared" si="73"/>
        <v>-573.395679922451</v>
      </c>
      <c r="AF183" s="31">
        <f t="shared" si="73"/>
        <v>-573.395679922451</v>
      </c>
      <c r="AG183" s="327"/>
      <c r="AH183" s="327"/>
      <c r="AI183" s="327"/>
      <c r="AJ183" s="327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27"/>
      <c r="AX183" s="327"/>
      <c r="AY183" s="327"/>
      <c r="AZ183" s="327"/>
      <c r="BA183" s="327"/>
      <c r="BB183" s="327"/>
      <c r="BC183" s="327"/>
      <c r="BD183" s="327"/>
      <c r="BE183" s="327"/>
      <c r="BF183" s="327"/>
      <c r="BG183" s="327"/>
      <c r="BH183" s="327"/>
      <c r="BI183" s="327"/>
    </row>
    <row r="184" spans="1:61" hidden="1" outlineLevel="1" x14ac:dyDescent="0.2">
      <c r="A184" s="327"/>
      <c r="B184" s="354"/>
      <c r="C184" s="351" t="s">
        <v>319</v>
      </c>
      <c r="D184" s="327"/>
      <c r="F184" s="327"/>
      <c r="G184" s="327"/>
      <c r="H184" s="31">
        <f t="shared" ref="H184:AF184" si="74">H88</f>
        <v>0</v>
      </c>
      <c r="I184" s="31">
        <f t="shared" si="74"/>
        <v>-11981.284622353358</v>
      </c>
      <c r="J184" s="31">
        <f t="shared" si="74"/>
        <v>-27942.53666353591</v>
      </c>
      <c r="K184" s="31">
        <f t="shared" si="74"/>
        <v>-48896.377709834625</v>
      </c>
      <c r="L184" s="31">
        <f t="shared" si="74"/>
        <v>-76106.975917388147</v>
      </c>
      <c r="M184" s="31">
        <f t="shared" si="74"/>
        <v>-111152.82380192056</v>
      </c>
      <c r="N184" s="31">
        <f t="shared" si="74"/>
        <v>-130004.40591944224</v>
      </c>
      <c r="O184" s="31">
        <f t="shared" si="74"/>
        <v>-152233.49780600518</v>
      </c>
      <c r="P184" s="31">
        <f t="shared" si="74"/>
        <v>-165271.89795081454</v>
      </c>
      <c r="Q184" s="31">
        <f t="shared" si="74"/>
        <v>-170921.86539087442</v>
      </c>
      <c r="R184" s="31">
        <f t="shared" si="74"/>
        <v>-174700.09965376838</v>
      </c>
      <c r="S184" s="31">
        <f t="shared" si="74"/>
        <v>-178960.50369914708</v>
      </c>
      <c r="T184" s="31">
        <f t="shared" si="74"/>
        <v>-183765.73565711532</v>
      </c>
      <c r="U184" s="31">
        <f t="shared" si="74"/>
        <v>-189071.78906824137</v>
      </c>
      <c r="V184" s="31">
        <f t="shared" si="74"/>
        <v>-189071.78906824137</v>
      </c>
      <c r="W184" s="31">
        <f t="shared" si="74"/>
        <v>-189071.78906824137</v>
      </c>
      <c r="X184" s="31">
        <f t="shared" si="74"/>
        <v>-189071.78906824137</v>
      </c>
      <c r="Y184" s="31">
        <f t="shared" si="74"/>
        <v>-189071.78906824137</v>
      </c>
      <c r="Z184" s="31">
        <f t="shared" si="74"/>
        <v>-189071.78906824137</v>
      </c>
      <c r="AA184" s="31">
        <f t="shared" si="74"/>
        <v>-189071.78906824137</v>
      </c>
      <c r="AB184" s="31">
        <f t="shared" si="74"/>
        <v>-189071.78906824137</v>
      </c>
      <c r="AC184" s="31">
        <f t="shared" si="74"/>
        <v>-189071.78906824137</v>
      </c>
      <c r="AD184" s="31">
        <f t="shared" si="74"/>
        <v>-189071.78906824137</v>
      </c>
      <c r="AE184" s="31">
        <f t="shared" si="74"/>
        <v>-189071.78906824137</v>
      </c>
      <c r="AF184" s="31">
        <f t="shared" si="74"/>
        <v>-189071.78906824137</v>
      </c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327"/>
      <c r="AV184" s="327"/>
      <c r="AW184" s="327"/>
      <c r="AX184" s="327"/>
      <c r="AY184" s="327"/>
      <c r="AZ184" s="327"/>
      <c r="BA184" s="327"/>
      <c r="BB184" s="327"/>
      <c r="BC184" s="327"/>
      <c r="BD184" s="327"/>
      <c r="BE184" s="327"/>
      <c r="BF184" s="327"/>
      <c r="BG184" s="327"/>
      <c r="BH184" s="327"/>
      <c r="BI184" s="327"/>
    </row>
    <row r="185" spans="1:61" hidden="1" outlineLevel="1" x14ac:dyDescent="0.2">
      <c r="A185" s="327"/>
      <c r="B185" s="354"/>
      <c r="C185" s="351" t="s">
        <v>319</v>
      </c>
      <c r="D185" s="327"/>
      <c r="F185" s="327"/>
      <c r="G185" s="327"/>
      <c r="H185" s="31">
        <f t="shared" ref="H185:AF185" si="75">H89</f>
        <v>0</v>
      </c>
      <c r="I185" s="31">
        <f t="shared" si="75"/>
        <v>-728.65778291537049</v>
      </c>
      <c r="J185" s="31">
        <f t="shared" si="75"/>
        <v>-1699.3625855692526</v>
      </c>
      <c r="K185" s="31">
        <f t="shared" si="75"/>
        <v>-2973.6983385044118</v>
      </c>
      <c r="L185" s="31">
        <f t="shared" si="75"/>
        <v>-4628.5471119594285</v>
      </c>
      <c r="M185" s="31">
        <f t="shared" si="75"/>
        <v>-6759.9070307689399</v>
      </c>
      <c r="N185" s="31">
        <f t="shared" si="75"/>
        <v>-7906.3911068230755</v>
      </c>
      <c r="O185" s="31">
        <f t="shared" si="75"/>
        <v>-9258.2829381936172</v>
      </c>
      <c r="P185" s="31">
        <f t="shared" si="75"/>
        <v>-10051.230609644073</v>
      </c>
      <c r="Q185" s="31">
        <f t="shared" si="75"/>
        <v>-10394.840905049059</v>
      </c>
      <c r="R185" s="31">
        <f t="shared" si="75"/>
        <v>-10624.619254208621</v>
      </c>
      <c r="S185" s="31">
        <f t="shared" si="75"/>
        <v>-10883.721400921464</v>
      </c>
      <c r="T185" s="31">
        <f t="shared" si="75"/>
        <v>-11175.957982828111</v>
      </c>
      <c r="U185" s="31">
        <f t="shared" si="75"/>
        <v>-11498.652688483324</v>
      </c>
      <c r="V185" s="31">
        <f t="shared" si="75"/>
        <v>-11498.652688483324</v>
      </c>
      <c r="W185" s="31">
        <f t="shared" si="75"/>
        <v>-11498.652688483324</v>
      </c>
      <c r="X185" s="31">
        <f t="shared" si="75"/>
        <v>-11498.652688483324</v>
      </c>
      <c r="Y185" s="31">
        <f t="shared" si="75"/>
        <v>-11498.652688483324</v>
      </c>
      <c r="Z185" s="31">
        <f t="shared" si="75"/>
        <v>-11498.652688483324</v>
      </c>
      <c r="AA185" s="31">
        <f t="shared" si="75"/>
        <v>-11498.652688483324</v>
      </c>
      <c r="AB185" s="31">
        <f t="shared" si="75"/>
        <v>-11498.652688483324</v>
      </c>
      <c r="AC185" s="31">
        <f t="shared" si="75"/>
        <v>-11498.652688483324</v>
      </c>
      <c r="AD185" s="31">
        <f t="shared" si="75"/>
        <v>-11498.652688483324</v>
      </c>
      <c r="AE185" s="31">
        <f t="shared" si="75"/>
        <v>-11498.652688483324</v>
      </c>
      <c r="AF185" s="31">
        <f t="shared" si="75"/>
        <v>-11498.652688483324</v>
      </c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7"/>
      <c r="BC185" s="327"/>
      <c r="BD185" s="327"/>
      <c r="BE185" s="327"/>
      <c r="BF185" s="327"/>
      <c r="BG185" s="327"/>
      <c r="BH185" s="327"/>
      <c r="BI185" s="327"/>
    </row>
    <row r="186" spans="1:61" hidden="1" outlineLevel="1" x14ac:dyDescent="0.2">
      <c r="A186" s="327"/>
      <c r="B186" s="354"/>
      <c r="C186" s="351" t="s">
        <v>319</v>
      </c>
      <c r="D186" s="327"/>
      <c r="F186" s="327"/>
      <c r="G186" s="327"/>
      <c r="H186" s="31">
        <f t="shared" ref="H186:AF186" si="76">H90</f>
        <v>0</v>
      </c>
      <c r="I186" s="31">
        <f t="shared" si="76"/>
        <v>-104.43734779775323</v>
      </c>
      <c r="J186" s="31">
        <f t="shared" si="76"/>
        <v>-243.56690554171738</v>
      </c>
      <c r="K186" s="31">
        <f t="shared" si="76"/>
        <v>-426.21539892349796</v>
      </c>
      <c r="L186" s="31">
        <f t="shared" si="76"/>
        <v>-663.40221138643415</v>
      </c>
      <c r="M186" s="31">
        <f t="shared" si="76"/>
        <v>-968.88659972618393</v>
      </c>
      <c r="N186" s="31">
        <f t="shared" si="76"/>
        <v>-1133.2103179418693</v>
      </c>
      <c r="O186" s="31">
        <f t="shared" si="76"/>
        <v>-1326.9747992775267</v>
      </c>
      <c r="P186" s="31">
        <f t="shared" si="76"/>
        <v>-1440.6267133727174</v>
      </c>
      <c r="Q186" s="31">
        <f t="shared" si="76"/>
        <v>-1489.8758242303822</v>
      </c>
      <c r="R186" s="31">
        <f t="shared" si="76"/>
        <v>-1522.8095853597242</v>
      </c>
      <c r="S186" s="31">
        <f t="shared" si="76"/>
        <v>-1559.9462792177467</v>
      </c>
      <c r="T186" s="31">
        <f t="shared" si="76"/>
        <v>-1601.8320783671068</v>
      </c>
      <c r="U186" s="31">
        <f t="shared" si="76"/>
        <v>-1648.0833913938714</v>
      </c>
      <c r="V186" s="31">
        <f t="shared" si="76"/>
        <v>-1648.0833913938714</v>
      </c>
      <c r="W186" s="31">
        <f t="shared" si="76"/>
        <v>-1648.0833913938714</v>
      </c>
      <c r="X186" s="31">
        <f t="shared" si="76"/>
        <v>-1648.0833913938714</v>
      </c>
      <c r="Y186" s="31">
        <f t="shared" si="76"/>
        <v>-1648.0833913938714</v>
      </c>
      <c r="Z186" s="31">
        <f t="shared" si="76"/>
        <v>-1648.0833913938714</v>
      </c>
      <c r="AA186" s="31">
        <f t="shared" si="76"/>
        <v>-1648.0833913938714</v>
      </c>
      <c r="AB186" s="31">
        <f t="shared" si="76"/>
        <v>-1648.0833913938714</v>
      </c>
      <c r="AC186" s="31">
        <f t="shared" si="76"/>
        <v>-1648.0833913938714</v>
      </c>
      <c r="AD186" s="31">
        <f t="shared" si="76"/>
        <v>-1648.0833913938714</v>
      </c>
      <c r="AE186" s="31">
        <f t="shared" si="76"/>
        <v>-1648.0833913938714</v>
      </c>
      <c r="AF186" s="31">
        <f t="shared" si="76"/>
        <v>-1648.0833913938714</v>
      </c>
      <c r="AG186" s="327"/>
      <c r="AH186" s="327"/>
      <c r="AI186" s="327"/>
      <c r="AJ186" s="327"/>
      <c r="AK186" s="327"/>
      <c r="AL186" s="327"/>
      <c r="AM186" s="327"/>
      <c r="AN186" s="327"/>
      <c r="AO186" s="327"/>
      <c r="AP186" s="327"/>
      <c r="AQ186" s="327"/>
      <c r="AR186" s="327"/>
      <c r="AS186" s="327"/>
      <c r="AT186" s="327"/>
      <c r="AU186" s="327"/>
      <c r="AV186" s="327"/>
      <c r="AW186" s="327"/>
      <c r="AX186" s="327"/>
      <c r="AY186" s="327"/>
      <c r="AZ186" s="327"/>
      <c r="BA186" s="327"/>
      <c r="BB186" s="327"/>
      <c r="BC186" s="327"/>
      <c r="BD186" s="327"/>
      <c r="BE186" s="327"/>
      <c r="BF186" s="327"/>
      <c r="BG186" s="327"/>
      <c r="BH186" s="327"/>
      <c r="BI186" s="327"/>
    </row>
    <row r="187" spans="1:61" hidden="1" outlineLevel="1" x14ac:dyDescent="0.2">
      <c r="A187" s="327"/>
      <c r="B187" s="354"/>
      <c r="C187" s="351"/>
      <c r="D187" s="327"/>
      <c r="F187" s="327"/>
      <c r="G187" s="327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27"/>
      <c r="AS187" s="327"/>
      <c r="AT187" s="327"/>
      <c r="AU187" s="327"/>
      <c r="AV187" s="327"/>
      <c r="AW187" s="327"/>
      <c r="AX187" s="327"/>
      <c r="AY187" s="327"/>
      <c r="AZ187" s="327"/>
      <c r="BA187" s="327"/>
      <c r="BB187" s="327"/>
      <c r="BC187" s="327"/>
      <c r="BD187" s="327"/>
      <c r="BE187" s="327"/>
      <c r="BF187" s="327"/>
      <c r="BG187" s="327"/>
      <c r="BH187" s="327"/>
      <c r="BI187" s="327"/>
    </row>
    <row r="188" spans="1:61" hidden="1" outlineLevel="1" x14ac:dyDescent="0.2">
      <c r="A188" s="327"/>
      <c r="B188" s="354"/>
      <c r="C188" s="351"/>
      <c r="D188" s="327"/>
      <c r="F188" s="327"/>
      <c r="G188" s="327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27"/>
      <c r="AH188" s="327"/>
      <c r="AI188" s="327"/>
      <c r="AJ188" s="327"/>
      <c r="AK188" s="327"/>
      <c r="AL188" s="327"/>
      <c r="AM188" s="327"/>
      <c r="AN188" s="327"/>
      <c r="AO188" s="327"/>
      <c r="AP188" s="327"/>
      <c r="AQ188" s="327"/>
      <c r="AR188" s="327"/>
      <c r="AS188" s="327"/>
      <c r="AT188" s="327"/>
      <c r="AU188" s="327"/>
      <c r="AV188" s="327"/>
      <c r="AW188" s="327"/>
      <c r="AX188" s="327"/>
      <c r="AY188" s="327"/>
      <c r="AZ188" s="327"/>
      <c r="BA188" s="327"/>
      <c r="BB188" s="327"/>
      <c r="BC188" s="327"/>
      <c r="BD188" s="327"/>
      <c r="BE188" s="327"/>
      <c r="BF188" s="327"/>
      <c r="BG188" s="327"/>
      <c r="BH188" s="327"/>
      <c r="BI188" s="327"/>
    </row>
    <row r="189" spans="1:61" hidden="1" outlineLevel="1" x14ac:dyDescent="0.2">
      <c r="A189" s="327"/>
      <c r="B189" s="352" t="s">
        <v>329</v>
      </c>
      <c r="C189" s="351"/>
      <c r="D189" s="327"/>
      <c r="F189" s="340"/>
      <c r="G189" s="327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27"/>
      <c r="AH189" s="327"/>
      <c r="AI189" s="327"/>
      <c r="AJ189" s="327"/>
      <c r="AK189" s="327"/>
      <c r="AL189" s="327"/>
      <c r="AM189" s="327"/>
      <c r="AN189" s="327"/>
      <c r="AO189" s="327"/>
      <c r="AP189" s="327"/>
      <c r="AQ189" s="327"/>
      <c r="AR189" s="327"/>
      <c r="AS189" s="327"/>
      <c r="AT189" s="327"/>
      <c r="AU189" s="327"/>
      <c r="AV189" s="327"/>
      <c r="AW189" s="327"/>
      <c r="AX189" s="327"/>
      <c r="AY189" s="327"/>
      <c r="AZ189" s="327"/>
      <c r="BA189" s="327"/>
      <c r="BB189" s="327"/>
      <c r="BC189" s="327"/>
      <c r="BD189" s="327"/>
      <c r="BE189" s="327"/>
      <c r="BF189" s="327"/>
      <c r="BG189" s="327"/>
      <c r="BH189" s="327"/>
      <c r="BI189" s="327"/>
    </row>
    <row r="190" spans="1:61" hidden="1" outlineLevel="1" x14ac:dyDescent="0.2">
      <c r="A190" s="327"/>
      <c r="B190" s="354"/>
      <c r="C190" s="351" t="str">
        <f>$B$165</f>
        <v>Option 5</v>
      </c>
      <c r="D190" s="327"/>
      <c r="E190" s="350">
        <f>F81</f>
        <v>1670</v>
      </c>
      <c r="F190" s="340">
        <f>F177</f>
        <v>2045.75</v>
      </c>
      <c r="G190" s="327"/>
      <c r="H190" s="31">
        <f>-((1-H$167)*H$44)*(H$24*$F190-H$21*$E190)</f>
        <v>0</v>
      </c>
      <c r="I190" s="31">
        <f t="shared" ref="I190:W190" si="77">-((I$167)*I$44)*(I$24*$F190-I$21*$E190)</f>
        <v>0</v>
      </c>
      <c r="J190" s="31">
        <f t="shared" si="77"/>
        <v>0</v>
      </c>
      <c r="K190" s="31">
        <f t="shared" si="77"/>
        <v>0</v>
      </c>
      <c r="L190" s="31">
        <f t="shared" si="77"/>
        <v>0</v>
      </c>
      <c r="M190" s="31">
        <f t="shared" si="77"/>
        <v>-73.109141732843113</v>
      </c>
      <c r="N190" s="31">
        <f t="shared" si="77"/>
        <v>-83.310124202181754</v>
      </c>
      <c r="O190" s="31">
        <f t="shared" si="77"/>
        <v>-95.125504714818192</v>
      </c>
      <c r="P190" s="31">
        <f t="shared" si="77"/>
        <v>-105.79161905704564</v>
      </c>
      <c r="Q190" s="31">
        <f t="shared" si="77"/>
        <v>-114.68363178416071</v>
      </c>
      <c r="R190" s="31">
        <f t="shared" si="77"/>
        <v>-120.88509061233162</v>
      </c>
      <c r="S190" s="31">
        <f t="shared" si="77"/>
        <v>-127.81007667724344</v>
      </c>
      <c r="T190" s="31">
        <f t="shared" si="77"/>
        <v>-135.5457666140621</v>
      </c>
      <c r="U190" s="31">
        <f t="shared" si="77"/>
        <v>-144.10701594753314</v>
      </c>
      <c r="V190" s="31">
        <f t="shared" si="77"/>
        <v>-149.34783211456184</v>
      </c>
      <c r="W190" s="31">
        <f t="shared" si="77"/>
        <v>-150.72249167556288</v>
      </c>
      <c r="X190" s="31">
        <f t="shared" ref="I190:AF193" si="78">-((X$167)*X$44)*(X$24*$F190-X$21*$E190)</f>
        <v>-150.72249167556288</v>
      </c>
      <c r="Y190" s="31">
        <f t="shared" si="78"/>
        <v>-150.72249167556288</v>
      </c>
      <c r="Z190" s="31">
        <f t="shared" si="78"/>
        <v>-150.72249167556288</v>
      </c>
      <c r="AA190" s="31">
        <f t="shared" si="78"/>
        <v>-150.72249167556288</v>
      </c>
      <c r="AB190" s="31">
        <f t="shared" si="78"/>
        <v>-150.72249167556288</v>
      </c>
      <c r="AC190" s="31">
        <f t="shared" si="78"/>
        <v>-150.72249167556288</v>
      </c>
      <c r="AD190" s="31">
        <f t="shared" si="78"/>
        <v>-150.72249167556288</v>
      </c>
      <c r="AE190" s="31">
        <f t="shared" si="78"/>
        <v>-150.72249167556288</v>
      </c>
      <c r="AF190" s="31">
        <f t="shared" si="78"/>
        <v>-150.72249167556288</v>
      </c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  <c r="AX190" s="327"/>
      <c r="AY190" s="327"/>
      <c r="AZ190" s="327"/>
      <c r="BA190" s="327"/>
      <c r="BB190" s="327"/>
      <c r="BC190" s="327"/>
      <c r="BD190" s="327"/>
      <c r="BE190" s="327"/>
      <c r="BF190" s="327"/>
      <c r="BG190" s="327"/>
      <c r="BH190" s="327"/>
      <c r="BI190" s="327"/>
    </row>
    <row r="191" spans="1:61" hidden="1" outlineLevel="1" x14ac:dyDescent="0.2">
      <c r="A191" s="327"/>
      <c r="B191" s="354"/>
      <c r="C191" s="351" t="str">
        <f>C190</f>
        <v>Option 5</v>
      </c>
      <c r="D191" s="327"/>
      <c r="E191" s="350">
        <f>F82</f>
        <v>550666.66666666674</v>
      </c>
      <c r="F191" s="340">
        <f>F178</f>
        <v>551911.11111111124</v>
      </c>
      <c r="G191" s="327"/>
      <c r="H191" s="31">
        <f t="shared" ref="H191:H193" si="79">-((1-H$167)*H$44)*(H$24*$F191-H$21*$E191)</f>
        <v>0</v>
      </c>
      <c r="I191" s="31">
        <f t="shared" si="78"/>
        <v>0</v>
      </c>
      <c r="J191" s="31">
        <f t="shared" si="78"/>
        <v>0</v>
      </c>
      <c r="K191" s="31">
        <f t="shared" si="78"/>
        <v>0</v>
      </c>
      <c r="L191" s="31">
        <f t="shared" si="78"/>
        <v>0</v>
      </c>
      <c r="M191" s="31">
        <f t="shared" si="78"/>
        <v>-17586.552093739087</v>
      </c>
      <c r="N191" s="31">
        <f t="shared" si="78"/>
        <v>-19995.840608662293</v>
      </c>
      <c r="O191" s="31">
        <f t="shared" si="78"/>
        <v>-22779.255465652521</v>
      </c>
      <c r="P191" s="31">
        <f t="shared" si="78"/>
        <v>-25419.729540863573</v>
      </c>
      <c r="Q191" s="31">
        <f t="shared" si="78"/>
        <v>-27715.921842841817</v>
      </c>
      <c r="R191" s="31">
        <f t="shared" si="78"/>
        <v>-29320.278577446428</v>
      </c>
      <c r="S191" s="31">
        <f t="shared" si="78"/>
        <v>-31111.064329767134</v>
      </c>
      <c r="T191" s="31">
        <f t="shared" si="78"/>
        <v>-33110.658677752246</v>
      </c>
      <c r="U191" s="31">
        <f t="shared" si="78"/>
        <v>-35323.869571441654</v>
      </c>
      <c r="V191" s="31">
        <f t="shared" si="78"/>
        <v>-36737.759183502683</v>
      </c>
      <c r="W191" s="31">
        <f t="shared" si="78"/>
        <v>-37108.620669858115</v>
      </c>
      <c r="X191" s="31">
        <f t="shared" si="78"/>
        <v>-37108.620669858115</v>
      </c>
      <c r="Y191" s="31">
        <f t="shared" si="78"/>
        <v>-37108.620669858115</v>
      </c>
      <c r="Z191" s="31">
        <f t="shared" si="78"/>
        <v>-37108.620669858115</v>
      </c>
      <c r="AA191" s="31">
        <f t="shared" si="78"/>
        <v>-37108.620669858115</v>
      </c>
      <c r="AB191" s="31">
        <f t="shared" si="78"/>
        <v>-37108.620669858115</v>
      </c>
      <c r="AC191" s="31">
        <f t="shared" si="78"/>
        <v>-37108.620669858115</v>
      </c>
      <c r="AD191" s="31">
        <f t="shared" si="78"/>
        <v>-37108.620669858115</v>
      </c>
      <c r="AE191" s="31">
        <f t="shared" si="78"/>
        <v>-37108.620669858115</v>
      </c>
      <c r="AF191" s="31">
        <f t="shared" si="78"/>
        <v>-37108.620669858115</v>
      </c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  <c r="AX191" s="327"/>
      <c r="AY191" s="327"/>
      <c r="AZ191" s="327"/>
      <c r="BA191" s="327"/>
      <c r="BB191" s="327"/>
      <c r="BC191" s="327"/>
      <c r="BD191" s="327"/>
      <c r="BE191" s="327"/>
      <c r="BF191" s="327"/>
      <c r="BG191" s="327"/>
      <c r="BH191" s="327"/>
      <c r="BI191" s="327"/>
    </row>
    <row r="192" spans="1:61" hidden="1" outlineLevel="1" x14ac:dyDescent="0.2">
      <c r="A192" s="327"/>
      <c r="B192" s="354"/>
      <c r="C192" s="351" t="str">
        <f t="shared" ref="C192:C193" si="80">C191</f>
        <v>Option 5</v>
      </c>
      <c r="D192" s="327"/>
      <c r="E192" s="350">
        <f>F83</f>
        <v>33489.526800000007</v>
      </c>
      <c r="F192" s="340">
        <f>F179</f>
        <v>33489.5268</v>
      </c>
      <c r="G192" s="327"/>
      <c r="H192" s="31">
        <f t="shared" si="79"/>
        <v>0</v>
      </c>
      <c r="I192" s="31">
        <f t="shared" si="78"/>
        <v>0</v>
      </c>
      <c r="J192" s="31">
        <f t="shared" si="78"/>
        <v>0</v>
      </c>
      <c r="K192" s="31">
        <f t="shared" si="78"/>
        <v>0</v>
      </c>
      <c r="L192" s="31">
        <f t="shared" si="78"/>
        <v>0</v>
      </c>
      <c r="M192" s="31">
        <f t="shared" si="78"/>
        <v>-1065.52622894516</v>
      </c>
      <c r="N192" s="31">
        <f t="shared" si="78"/>
        <v>-1211.461429549101</v>
      </c>
      <c r="O192" s="31">
        <f t="shared" si="78"/>
        <v>-1380.0520035519792</v>
      </c>
      <c r="P192" s="31">
        <f t="shared" si="78"/>
        <v>-1540.0950749737756</v>
      </c>
      <c r="Q192" s="31">
        <f t="shared" si="78"/>
        <v>-1679.3487187136359</v>
      </c>
      <c r="R192" s="31">
        <f t="shared" si="78"/>
        <v>-1776.6479977826596</v>
      </c>
      <c r="S192" s="31">
        <f t="shared" si="78"/>
        <v>-1885.2530293103418</v>
      </c>
      <c r="T192" s="31">
        <f t="shared" si="78"/>
        <v>-2006.5209290490377</v>
      </c>
      <c r="U192" s="31">
        <f t="shared" si="78"/>
        <v>-2140.7440430315701</v>
      </c>
      <c r="V192" s="31">
        <f t="shared" si="78"/>
        <v>-2226.5377389766168</v>
      </c>
      <c r="W192" s="31">
        <f t="shared" si="78"/>
        <v>-2249.0413186950682</v>
      </c>
      <c r="X192" s="31">
        <f t="shared" si="78"/>
        <v>-2249.0413186950682</v>
      </c>
      <c r="Y192" s="31">
        <f t="shared" si="78"/>
        <v>-2249.0413186950682</v>
      </c>
      <c r="Z192" s="31">
        <f t="shared" si="78"/>
        <v>-2249.0413186950682</v>
      </c>
      <c r="AA192" s="31">
        <f t="shared" si="78"/>
        <v>-2249.0413186950682</v>
      </c>
      <c r="AB192" s="31">
        <f t="shared" si="78"/>
        <v>-2249.0413186950682</v>
      </c>
      <c r="AC192" s="31">
        <f t="shared" si="78"/>
        <v>-2249.0413186950682</v>
      </c>
      <c r="AD192" s="31">
        <f t="shared" si="78"/>
        <v>-2249.0413186950682</v>
      </c>
      <c r="AE192" s="31">
        <f t="shared" si="78"/>
        <v>-2249.0413186950682</v>
      </c>
      <c r="AF192" s="31">
        <f t="shared" si="78"/>
        <v>-2249.0413186950682</v>
      </c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27"/>
      <c r="AZ192" s="327"/>
      <c r="BA192" s="327"/>
      <c r="BB192" s="327"/>
      <c r="BC192" s="327"/>
      <c r="BD192" s="327"/>
      <c r="BE192" s="327"/>
      <c r="BF192" s="327"/>
      <c r="BG192" s="327"/>
      <c r="BH192" s="327"/>
      <c r="BI192" s="327"/>
    </row>
    <row r="193" spans="1:61" hidden="1" outlineLevel="1" x14ac:dyDescent="0.2">
      <c r="A193" s="327"/>
      <c r="B193" s="354"/>
      <c r="C193" s="351" t="str">
        <f t="shared" si="80"/>
        <v>Option 5</v>
      </c>
      <c r="D193" s="327"/>
      <c r="E193" s="350">
        <f>F84</f>
        <v>4800</v>
      </c>
      <c r="F193" s="340">
        <f>F180</f>
        <v>4800</v>
      </c>
      <c r="G193" s="327"/>
      <c r="H193" s="31">
        <f t="shared" si="79"/>
        <v>0</v>
      </c>
      <c r="I193" s="31">
        <f t="shared" si="78"/>
        <v>0</v>
      </c>
      <c r="J193" s="31">
        <f t="shared" si="78"/>
        <v>0</v>
      </c>
      <c r="K193" s="31">
        <f t="shared" si="78"/>
        <v>0</v>
      </c>
      <c r="L193" s="31">
        <f t="shared" si="78"/>
        <v>0</v>
      </c>
      <c r="M193" s="31">
        <f t="shared" si="78"/>
        <v>-152.72016023041473</v>
      </c>
      <c r="N193" s="31">
        <f t="shared" si="78"/>
        <v>-173.63681775986416</v>
      </c>
      <c r="O193" s="31">
        <f t="shared" si="78"/>
        <v>-197.80063351177307</v>
      </c>
      <c r="P193" s="31">
        <f t="shared" si="78"/>
        <v>-220.73934946952204</v>
      </c>
      <c r="Q193" s="31">
        <f t="shared" si="78"/>
        <v>-240.69835020259086</v>
      </c>
      <c r="R193" s="31">
        <f t="shared" si="78"/>
        <v>-254.64409934143251</v>
      </c>
      <c r="S193" s="31">
        <f t="shared" si="78"/>
        <v>-270.21028379205535</v>
      </c>
      <c r="T193" s="31">
        <f t="shared" si="78"/>
        <v>-287.59141677198562</v>
      </c>
      <c r="U193" s="31">
        <f t="shared" si="78"/>
        <v>-306.82939976779653</v>
      </c>
      <c r="V193" s="31">
        <f t="shared" si="78"/>
        <v>-319.12607218707439</v>
      </c>
      <c r="W193" s="31">
        <f t="shared" si="78"/>
        <v>-322.35147406550777</v>
      </c>
      <c r="X193" s="31">
        <f t="shared" si="78"/>
        <v>-322.35147406550777</v>
      </c>
      <c r="Y193" s="31">
        <f t="shared" si="78"/>
        <v>-322.35147406550777</v>
      </c>
      <c r="Z193" s="31">
        <f t="shared" si="78"/>
        <v>-322.35147406550777</v>
      </c>
      <c r="AA193" s="31">
        <f t="shared" si="78"/>
        <v>-322.35147406550777</v>
      </c>
      <c r="AB193" s="31">
        <f t="shared" si="78"/>
        <v>-322.35147406550777</v>
      </c>
      <c r="AC193" s="31">
        <f t="shared" si="78"/>
        <v>-322.35147406550777</v>
      </c>
      <c r="AD193" s="31">
        <f t="shared" si="78"/>
        <v>-322.35147406550777</v>
      </c>
      <c r="AE193" s="31">
        <f t="shared" si="78"/>
        <v>-322.35147406550777</v>
      </c>
      <c r="AF193" s="31">
        <f t="shared" si="78"/>
        <v>-322.35147406550777</v>
      </c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  <c r="AW193" s="327"/>
      <c r="AX193" s="327"/>
      <c r="AY193" s="327"/>
      <c r="AZ193" s="327"/>
      <c r="BA193" s="327"/>
      <c r="BB193" s="327"/>
      <c r="BC193" s="327"/>
      <c r="BD193" s="327"/>
      <c r="BE193" s="327"/>
      <c r="BF193" s="327"/>
      <c r="BG193" s="327"/>
      <c r="BH193" s="327"/>
      <c r="BI193" s="327"/>
    </row>
    <row r="194" spans="1:61" hidden="1" outlineLevel="1" x14ac:dyDescent="0.2">
      <c r="A194" s="327"/>
      <c r="B194" s="354"/>
      <c r="C194" s="351"/>
      <c r="D194" s="327"/>
      <c r="F194" s="327"/>
      <c r="G194" s="327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  <c r="AX194" s="327"/>
      <c r="AY194" s="327"/>
      <c r="AZ194" s="327"/>
      <c r="BA194" s="327"/>
      <c r="BB194" s="327"/>
      <c r="BC194" s="327"/>
      <c r="BD194" s="327"/>
      <c r="BE194" s="327"/>
      <c r="BF194" s="327"/>
      <c r="BG194" s="327"/>
      <c r="BH194" s="327"/>
      <c r="BI194" s="327"/>
    </row>
    <row r="195" spans="1:61" hidden="1" outlineLevel="1" x14ac:dyDescent="0.2">
      <c r="A195" s="327"/>
      <c r="B195" s="354"/>
      <c r="C195" s="351"/>
      <c r="D195" s="327"/>
      <c r="F195" s="327"/>
      <c r="G195" s="327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  <c r="AX195" s="327"/>
      <c r="AY195" s="327"/>
      <c r="AZ195" s="327"/>
      <c r="BA195" s="327"/>
      <c r="BB195" s="327"/>
      <c r="BC195" s="327"/>
      <c r="BD195" s="327"/>
      <c r="BE195" s="327"/>
      <c r="BF195" s="327"/>
      <c r="BG195" s="327"/>
      <c r="BH195" s="327"/>
      <c r="BI195" s="327"/>
    </row>
    <row r="196" spans="1:61" hidden="1" outlineLevel="1" x14ac:dyDescent="0.2">
      <c r="A196" s="327"/>
      <c r="B196" s="354"/>
      <c r="C196" s="351" t="str">
        <f>C190</f>
        <v>Option 5</v>
      </c>
      <c r="D196" s="327"/>
      <c r="E196" s="350">
        <f>E190</f>
        <v>1670</v>
      </c>
      <c r="F196" s="340">
        <f>F190</f>
        <v>2045.75</v>
      </c>
      <c r="G196" s="327"/>
      <c r="H196" s="31">
        <f>-(1-H$167)*H$44*(H$34*$F196-H$31*$E196)</f>
        <v>0</v>
      </c>
      <c r="I196" s="31">
        <f>(I$167*I$44)*(I$34*$F196-I$31*$E196)</f>
        <v>0</v>
      </c>
      <c r="J196" s="31">
        <f>(J$167*J$44)*(J$34*$F196-J$31*$E196)</f>
        <v>0</v>
      </c>
      <c r="K196" s="31">
        <f>(K$167*K$44)*(K$34*$F196-K$31*$E196)</f>
        <v>0</v>
      </c>
      <c r="L196" s="31">
        <f>(L$167*L$44)*(L$34*$F196-L$31*$E196)</f>
        <v>0</v>
      </c>
      <c r="M196" s="31">
        <f>(M$167*M$44)*(M$34*$F196-M$31*$E196)</f>
        <v>4.9223357422248313</v>
      </c>
      <c r="N196" s="31">
        <f t="shared" ref="N196:AF199" si="81">(N$167*N$44)*(N$34*$F196-N$31*$E196)</f>
        <v>4.9223357422248313</v>
      </c>
      <c r="O196" s="31">
        <f t="shared" si="81"/>
        <v>4.9223357422248313</v>
      </c>
      <c r="P196" s="31">
        <f t="shared" si="81"/>
        <v>4.9223357422248313</v>
      </c>
      <c r="Q196" s="31">
        <f t="shared" si="81"/>
        <v>4.9223357422248313</v>
      </c>
      <c r="R196" s="31">
        <f t="shared" si="81"/>
        <v>4.9223357422248313</v>
      </c>
      <c r="S196" s="31">
        <f t="shared" si="81"/>
        <v>4.9223357422248313</v>
      </c>
      <c r="T196" s="31">
        <f t="shared" si="81"/>
        <v>4.9223357422248313</v>
      </c>
      <c r="U196" s="31">
        <f t="shared" si="81"/>
        <v>4.9223357422248313</v>
      </c>
      <c r="V196" s="31">
        <f t="shared" si="81"/>
        <v>4.9223357422248313</v>
      </c>
      <c r="W196" s="31">
        <f t="shared" si="81"/>
        <v>4.9223357422248313</v>
      </c>
      <c r="X196" s="31">
        <f t="shared" si="81"/>
        <v>4.9223357422248313</v>
      </c>
      <c r="Y196" s="31">
        <f t="shared" si="81"/>
        <v>4.9223357422248313</v>
      </c>
      <c r="Z196" s="31">
        <f t="shared" si="81"/>
        <v>4.9223357422248313</v>
      </c>
      <c r="AA196" s="31">
        <f t="shared" si="81"/>
        <v>4.9223357422248313</v>
      </c>
      <c r="AB196" s="31">
        <f t="shared" si="81"/>
        <v>4.9223357422248313</v>
      </c>
      <c r="AC196" s="31">
        <f t="shared" si="81"/>
        <v>4.9223357422248313</v>
      </c>
      <c r="AD196" s="31">
        <f t="shared" si="81"/>
        <v>4.9223357422248313</v>
      </c>
      <c r="AE196" s="31">
        <f t="shared" si="81"/>
        <v>4.9223357422248313</v>
      </c>
      <c r="AF196" s="31">
        <f t="shared" si="81"/>
        <v>4.9223357422248313</v>
      </c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  <c r="AX196" s="327"/>
      <c r="AY196" s="327"/>
      <c r="AZ196" s="327"/>
      <c r="BA196" s="327"/>
      <c r="BB196" s="327"/>
      <c r="BC196" s="327"/>
      <c r="BD196" s="327"/>
      <c r="BE196" s="327"/>
      <c r="BF196" s="327"/>
      <c r="BG196" s="327"/>
      <c r="BH196" s="327"/>
      <c r="BI196" s="327"/>
    </row>
    <row r="197" spans="1:61" hidden="1" outlineLevel="1" x14ac:dyDescent="0.2">
      <c r="A197" s="327"/>
      <c r="B197" s="354"/>
      <c r="C197" s="351" t="str">
        <f t="shared" ref="C197:C199" si="82">C191</f>
        <v>Option 5</v>
      </c>
      <c r="D197" s="327"/>
      <c r="E197" s="350">
        <f t="shared" ref="E197:E199" si="83">E191</f>
        <v>550666.66666666674</v>
      </c>
      <c r="F197" s="340">
        <f t="shared" ref="F197:F199" si="84">F191</f>
        <v>551911.11111111124</v>
      </c>
      <c r="G197" s="327"/>
      <c r="H197" s="31">
        <f t="shared" ref="H197:H199" si="85">-(1-H$167)*H$44*(H$34*$F197-H$31*$E197)</f>
        <v>0</v>
      </c>
      <c r="I197" s="31">
        <f t="shared" ref="I197:M199" si="86">(I$167*I$44)*(I$34*$F197-I$31*$E197)</f>
        <v>0</v>
      </c>
      <c r="J197" s="31">
        <f t="shared" si="86"/>
        <v>0</v>
      </c>
      <c r="K197" s="31">
        <f t="shared" si="86"/>
        <v>0</v>
      </c>
      <c r="L197" s="31">
        <f t="shared" si="86"/>
        <v>0</v>
      </c>
      <c r="M197" s="31">
        <f t="shared" si="86"/>
        <v>1211.9033319930256</v>
      </c>
      <c r="N197" s="31">
        <f t="shared" si="81"/>
        <v>1211.9033319930256</v>
      </c>
      <c r="O197" s="31">
        <f t="shared" si="81"/>
        <v>1211.9033319930256</v>
      </c>
      <c r="P197" s="31">
        <f t="shared" si="81"/>
        <v>1211.9033319930256</v>
      </c>
      <c r="Q197" s="31">
        <f t="shared" si="81"/>
        <v>1211.9033319930256</v>
      </c>
      <c r="R197" s="31">
        <f t="shared" si="81"/>
        <v>1211.9033319930256</v>
      </c>
      <c r="S197" s="31">
        <f t="shared" si="81"/>
        <v>1211.9033319930256</v>
      </c>
      <c r="T197" s="31">
        <f t="shared" si="81"/>
        <v>1211.9033319930256</v>
      </c>
      <c r="U197" s="31">
        <f t="shared" si="81"/>
        <v>1211.9033319930256</v>
      </c>
      <c r="V197" s="31">
        <f t="shared" si="81"/>
        <v>1211.9033319930256</v>
      </c>
      <c r="W197" s="31">
        <f t="shared" si="81"/>
        <v>1211.9033319930256</v>
      </c>
      <c r="X197" s="31">
        <f t="shared" si="81"/>
        <v>1211.9033319930256</v>
      </c>
      <c r="Y197" s="31">
        <f t="shared" si="81"/>
        <v>1211.9033319930256</v>
      </c>
      <c r="Z197" s="31">
        <f t="shared" si="81"/>
        <v>1211.9033319930256</v>
      </c>
      <c r="AA197" s="31">
        <f t="shared" si="81"/>
        <v>1211.9033319930256</v>
      </c>
      <c r="AB197" s="31">
        <f t="shared" si="81"/>
        <v>1211.9033319930256</v>
      </c>
      <c r="AC197" s="31">
        <f t="shared" si="81"/>
        <v>1211.9033319930256</v>
      </c>
      <c r="AD197" s="31">
        <f t="shared" si="81"/>
        <v>1211.9033319930256</v>
      </c>
      <c r="AE197" s="31">
        <f t="shared" si="81"/>
        <v>1211.9033319930256</v>
      </c>
      <c r="AF197" s="31">
        <f t="shared" si="81"/>
        <v>1211.9033319930256</v>
      </c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  <c r="AX197" s="327"/>
      <c r="AY197" s="327"/>
      <c r="AZ197" s="327"/>
      <c r="BA197" s="327"/>
      <c r="BB197" s="327"/>
      <c r="BC197" s="327"/>
      <c r="BD197" s="327"/>
      <c r="BE197" s="327"/>
      <c r="BF197" s="327"/>
      <c r="BG197" s="327"/>
      <c r="BH197" s="327"/>
      <c r="BI197" s="327"/>
    </row>
    <row r="198" spans="1:61" hidden="1" outlineLevel="1" x14ac:dyDescent="0.2">
      <c r="A198" s="327"/>
      <c r="B198" s="352"/>
      <c r="C198" s="351" t="str">
        <f t="shared" si="82"/>
        <v>Option 5</v>
      </c>
      <c r="D198" s="327"/>
      <c r="E198" s="350">
        <f t="shared" si="83"/>
        <v>33489.526800000007</v>
      </c>
      <c r="F198" s="340">
        <f t="shared" si="84"/>
        <v>33489.5268</v>
      </c>
      <c r="G198" s="327"/>
      <c r="H198" s="31">
        <f t="shared" si="85"/>
        <v>0</v>
      </c>
      <c r="I198" s="31">
        <f t="shared" si="86"/>
        <v>0</v>
      </c>
      <c r="J198" s="31">
        <f t="shared" si="86"/>
        <v>0</v>
      </c>
      <c r="K198" s="31">
        <f t="shared" si="86"/>
        <v>0</v>
      </c>
      <c r="L198" s="31">
        <f t="shared" si="86"/>
        <v>0</v>
      </c>
      <c r="M198" s="31">
        <f t="shared" si="86"/>
        <v>73.449797344002519</v>
      </c>
      <c r="N198" s="31">
        <f t="shared" si="81"/>
        <v>73.449797344002519</v>
      </c>
      <c r="O198" s="31">
        <f t="shared" si="81"/>
        <v>73.449797344002519</v>
      </c>
      <c r="P198" s="31">
        <f t="shared" si="81"/>
        <v>73.449797344002519</v>
      </c>
      <c r="Q198" s="31">
        <f t="shared" si="81"/>
        <v>73.449797344002519</v>
      </c>
      <c r="R198" s="31">
        <f t="shared" si="81"/>
        <v>73.449797344002519</v>
      </c>
      <c r="S198" s="31">
        <f t="shared" si="81"/>
        <v>73.449797344002519</v>
      </c>
      <c r="T198" s="31">
        <f t="shared" si="81"/>
        <v>73.449797344002519</v>
      </c>
      <c r="U198" s="31">
        <f t="shared" si="81"/>
        <v>73.449797344002519</v>
      </c>
      <c r="V198" s="31">
        <f t="shared" si="81"/>
        <v>73.449797344002519</v>
      </c>
      <c r="W198" s="31">
        <f t="shared" si="81"/>
        <v>73.449797344002519</v>
      </c>
      <c r="X198" s="31">
        <f t="shared" si="81"/>
        <v>73.449797344002519</v>
      </c>
      <c r="Y198" s="31">
        <f t="shared" si="81"/>
        <v>73.449797344002519</v>
      </c>
      <c r="Z198" s="31">
        <f t="shared" si="81"/>
        <v>73.449797344002519</v>
      </c>
      <c r="AA198" s="31">
        <f t="shared" si="81"/>
        <v>73.449797344002519</v>
      </c>
      <c r="AB198" s="31">
        <f t="shared" si="81"/>
        <v>73.449797344002519</v>
      </c>
      <c r="AC198" s="31">
        <f t="shared" si="81"/>
        <v>73.449797344002519</v>
      </c>
      <c r="AD198" s="31">
        <f t="shared" si="81"/>
        <v>73.449797344002519</v>
      </c>
      <c r="AE198" s="31">
        <f t="shared" si="81"/>
        <v>73.449797344002519</v>
      </c>
      <c r="AF198" s="31">
        <f t="shared" si="81"/>
        <v>73.449797344002519</v>
      </c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  <c r="AX198" s="327"/>
      <c r="AY198" s="327"/>
      <c r="AZ198" s="327"/>
      <c r="BA198" s="327"/>
      <c r="BB198" s="327"/>
      <c r="BC198" s="327"/>
      <c r="BD198" s="327"/>
      <c r="BE198" s="327"/>
      <c r="BF198" s="327"/>
      <c r="BG198" s="327"/>
      <c r="BH198" s="327"/>
      <c r="BI198" s="327"/>
    </row>
    <row r="199" spans="1:61" hidden="1" outlineLevel="1" x14ac:dyDescent="0.2">
      <c r="A199" s="327"/>
      <c r="B199" s="352"/>
      <c r="C199" s="351" t="str">
        <f t="shared" si="82"/>
        <v>Option 5</v>
      </c>
      <c r="D199" s="327"/>
      <c r="E199" s="350">
        <f t="shared" si="83"/>
        <v>4800</v>
      </c>
      <c r="F199" s="340">
        <f t="shared" si="84"/>
        <v>4800</v>
      </c>
      <c r="G199" s="327"/>
      <c r="H199" s="31">
        <f t="shared" si="85"/>
        <v>0</v>
      </c>
      <c r="I199" s="31">
        <f t="shared" si="86"/>
        <v>0</v>
      </c>
      <c r="J199" s="31">
        <f t="shared" si="86"/>
        <v>0</v>
      </c>
      <c r="K199" s="31">
        <f t="shared" si="86"/>
        <v>0</v>
      </c>
      <c r="L199" s="31">
        <f t="shared" si="86"/>
        <v>0</v>
      </c>
      <c r="M199" s="31">
        <f t="shared" si="86"/>
        <v>10.527441291025113</v>
      </c>
      <c r="N199" s="31">
        <f t="shared" si="81"/>
        <v>10.527441291025113</v>
      </c>
      <c r="O199" s="31">
        <f t="shared" si="81"/>
        <v>10.527441291025113</v>
      </c>
      <c r="P199" s="31">
        <f t="shared" si="81"/>
        <v>10.527441291025113</v>
      </c>
      <c r="Q199" s="31">
        <f t="shared" si="81"/>
        <v>10.527441291025113</v>
      </c>
      <c r="R199" s="31">
        <f t="shared" si="81"/>
        <v>10.527441291025113</v>
      </c>
      <c r="S199" s="31">
        <f t="shared" si="81"/>
        <v>10.527441291025113</v>
      </c>
      <c r="T199" s="31">
        <f t="shared" si="81"/>
        <v>10.527441291025113</v>
      </c>
      <c r="U199" s="31">
        <f t="shared" si="81"/>
        <v>10.527441291025113</v>
      </c>
      <c r="V199" s="31">
        <f t="shared" si="81"/>
        <v>10.527441291025113</v>
      </c>
      <c r="W199" s="31">
        <f t="shared" si="81"/>
        <v>10.527441291025113</v>
      </c>
      <c r="X199" s="31">
        <f t="shared" si="81"/>
        <v>10.527441291025113</v>
      </c>
      <c r="Y199" s="31">
        <f t="shared" si="81"/>
        <v>10.527441291025113</v>
      </c>
      <c r="Z199" s="31">
        <f t="shared" si="81"/>
        <v>10.527441291025113</v>
      </c>
      <c r="AA199" s="31">
        <f t="shared" si="81"/>
        <v>10.527441291025113</v>
      </c>
      <c r="AB199" s="31">
        <f t="shared" si="81"/>
        <v>10.527441291025113</v>
      </c>
      <c r="AC199" s="31">
        <f t="shared" si="81"/>
        <v>10.527441291025113</v>
      </c>
      <c r="AD199" s="31">
        <f t="shared" si="81"/>
        <v>10.527441291025113</v>
      </c>
      <c r="AE199" s="31">
        <f t="shared" si="81"/>
        <v>10.527441291025113</v>
      </c>
      <c r="AF199" s="31">
        <f t="shared" si="81"/>
        <v>10.527441291025113</v>
      </c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  <c r="AX199" s="327"/>
      <c r="AY199" s="327"/>
      <c r="AZ199" s="327"/>
      <c r="BA199" s="327"/>
      <c r="BB199" s="327"/>
      <c r="BC199" s="327"/>
      <c r="BD199" s="327"/>
      <c r="BE199" s="327"/>
      <c r="BF199" s="327"/>
      <c r="BG199" s="327"/>
      <c r="BH199" s="327"/>
      <c r="BI199" s="327"/>
    </row>
    <row r="200" spans="1:61" hidden="1" outlineLevel="1" x14ac:dyDescent="0.2">
      <c r="A200" s="327"/>
      <c r="B200" s="352"/>
      <c r="C200" s="353"/>
      <c r="D200" s="327"/>
      <c r="F200" s="340"/>
      <c r="G200" s="327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  <c r="AX200" s="327"/>
      <c r="AY200" s="327"/>
      <c r="AZ200" s="327"/>
      <c r="BA200" s="327"/>
      <c r="BB200" s="327"/>
      <c r="BC200" s="327"/>
      <c r="BD200" s="327"/>
      <c r="BE200" s="327"/>
      <c r="BF200" s="327"/>
      <c r="BG200" s="327"/>
      <c r="BH200" s="327"/>
      <c r="BI200" s="327"/>
    </row>
    <row r="201" spans="1:61" collapsed="1" x14ac:dyDescent="0.2">
      <c r="A201" s="327"/>
      <c r="B201" s="328"/>
      <c r="C201" s="343"/>
      <c r="D201" s="327"/>
      <c r="F201" s="327"/>
      <c r="G201" s="327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  <c r="AX201" s="327"/>
      <c r="AY201" s="327"/>
      <c r="AZ201" s="327"/>
      <c r="BA201" s="327"/>
      <c r="BB201" s="327"/>
      <c r="BC201" s="327"/>
      <c r="BD201" s="327"/>
      <c r="BE201" s="327"/>
      <c r="BF201" s="327"/>
      <c r="BG201" s="327"/>
      <c r="BH201" s="327"/>
      <c r="BI201" s="327"/>
    </row>
    <row r="202" spans="1:61" x14ac:dyDescent="0.2">
      <c r="A202" s="327"/>
      <c r="B202" s="328" t="s">
        <v>320</v>
      </c>
      <c r="C202" s="343"/>
      <c r="D202" s="327"/>
      <c r="F202" s="327"/>
      <c r="G202" s="327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  <c r="AX202" s="327"/>
      <c r="AY202" s="327"/>
      <c r="AZ202" s="327"/>
      <c r="BA202" s="327"/>
      <c r="BB202" s="327"/>
      <c r="BC202" s="327"/>
      <c r="BD202" s="327"/>
      <c r="BE202" s="327"/>
      <c r="BF202" s="327"/>
      <c r="BG202" s="327"/>
      <c r="BH202" s="327"/>
      <c r="BI202" s="327"/>
    </row>
    <row r="203" spans="1:61" x14ac:dyDescent="0.2">
      <c r="A203" s="327"/>
      <c r="B203" s="327"/>
      <c r="C203" s="351"/>
      <c r="D203" s="327" t="str">
        <f>D171</f>
        <v>Response cost</v>
      </c>
      <c r="F203" s="327"/>
      <c r="G203" s="327"/>
      <c r="H203" s="31">
        <f t="shared" ref="H203:AF203" si="87">H183+H190+H196-(1-H$167)*(H171+H177)</f>
        <v>0</v>
      </c>
      <c r="I203" s="31">
        <f t="shared" si="87"/>
        <v>-433.25924843448064</v>
      </c>
      <c r="J203" s="31">
        <f t="shared" si="87"/>
        <v>-532.66499053730115</v>
      </c>
      <c r="K203" s="31">
        <f t="shared" si="87"/>
        <v>-654.68907797385077</v>
      </c>
      <c r="L203" s="31">
        <f t="shared" si="87"/>
        <v>-804.38625267724103</v>
      </c>
      <c r="M203" s="31">
        <f t="shared" si="87"/>
        <v>-405.27860214535303</v>
      </c>
      <c r="N203" s="31">
        <f t="shared" si="87"/>
        <v>-472.6505449105656</v>
      </c>
      <c r="O203" s="31">
        <f t="shared" si="87"/>
        <v>-551.87981788789955</v>
      </c>
      <c r="P203" s="31">
        <f t="shared" si="87"/>
        <v>-602.08732734241198</v>
      </c>
      <c r="Q203" s="31">
        <f t="shared" si="87"/>
        <v>-628.11392655542306</v>
      </c>
      <c r="R203" s="31">
        <f t="shared" si="87"/>
        <v>-645.77358977651079</v>
      </c>
      <c r="S203" s="31">
        <f t="shared" si="87"/>
        <v>-665.61905057952629</v>
      </c>
      <c r="T203" s="31">
        <f t="shared" si="87"/>
        <v>-687.92750813705982</v>
      </c>
      <c r="U203" s="31">
        <f t="shared" si="87"/>
        <v>-712.58036012775926</v>
      </c>
      <c r="V203" s="31">
        <f t="shared" si="87"/>
        <v>-717.82117629478796</v>
      </c>
      <c r="W203" s="31">
        <f t="shared" si="87"/>
        <v>-719.19583585578903</v>
      </c>
      <c r="X203" s="31">
        <f t="shared" si="87"/>
        <v>-719.19583585578903</v>
      </c>
      <c r="Y203" s="31">
        <f t="shared" si="87"/>
        <v>-719.19583585578903</v>
      </c>
      <c r="Z203" s="31">
        <f t="shared" si="87"/>
        <v>-719.19583585578903</v>
      </c>
      <c r="AA203" s="31">
        <f t="shared" si="87"/>
        <v>-719.19583585578903</v>
      </c>
      <c r="AB203" s="31">
        <f t="shared" si="87"/>
        <v>-719.19583585578903</v>
      </c>
      <c r="AC203" s="31">
        <f t="shared" si="87"/>
        <v>-719.19583585578903</v>
      </c>
      <c r="AD203" s="31">
        <f t="shared" si="87"/>
        <v>-719.19583585578903</v>
      </c>
      <c r="AE203" s="31">
        <f t="shared" si="87"/>
        <v>-719.19583585578903</v>
      </c>
      <c r="AF203" s="31">
        <f t="shared" si="87"/>
        <v>-719.19583585578903</v>
      </c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27"/>
      <c r="BE203" s="327"/>
      <c r="BF203" s="327"/>
      <c r="BG203" s="327"/>
      <c r="BH203" s="327"/>
      <c r="BI203" s="327"/>
    </row>
    <row r="204" spans="1:61" x14ac:dyDescent="0.2">
      <c r="A204" s="327"/>
      <c r="B204" s="327"/>
      <c r="C204" s="351"/>
      <c r="D204" s="327" t="str">
        <f>D172</f>
        <v>Unplanned replacements</v>
      </c>
      <c r="F204" s="327"/>
      <c r="G204" s="327"/>
      <c r="H204" s="31">
        <f t="shared" ref="H204:AF204" si="88">H184+H191+H197-(1-H$167)*(H172+H178)</f>
        <v>0</v>
      </c>
      <c r="I204" s="31">
        <f t="shared" si="88"/>
        <v>-119065.05848512377</v>
      </c>
      <c r="J204" s="31">
        <f t="shared" si="88"/>
        <v>-148785.37430265278</v>
      </c>
      <c r="K204" s="31">
        <f t="shared" si="88"/>
        <v>-185515.55903670975</v>
      </c>
      <c r="L204" s="31">
        <f t="shared" si="88"/>
        <v>-230849.16440986423</v>
      </c>
      <c r="M204" s="31">
        <f t="shared" si="88"/>
        <v>-127527.47256366661</v>
      </c>
      <c r="N204" s="31">
        <f t="shared" si="88"/>
        <v>-148788.3431961115</v>
      </c>
      <c r="O204" s="31">
        <f t="shared" si="88"/>
        <v>-173800.84993966468</v>
      </c>
      <c r="P204" s="31">
        <f t="shared" si="88"/>
        <v>-189479.72415968508</v>
      </c>
      <c r="Q204" s="31">
        <f t="shared" si="88"/>
        <v>-197425.88390172319</v>
      </c>
      <c r="R204" s="31">
        <f t="shared" si="88"/>
        <v>-202808.47489922179</v>
      </c>
      <c r="S204" s="31">
        <f t="shared" si="88"/>
        <v>-208859.66469692119</v>
      </c>
      <c r="T204" s="31">
        <f t="shared" si="88"/>
        <v>-215664.49100287454</v>
      </c>
      <c r="U204" s="31">
        <f t="shared" si="88"/>
        <v>-223183.75530769001</v>
      </c>
      <c r="V204" s="31">
        <f t="shared" si="88"/>
        <v>-224597.64491975104</v>
      </c>
      <c r="W204" s="31">
        <f t="shared" si="88"/>
        <v>-224968.50640610646</v>
      </c>
      <c r="X204" s="31">
        <f t="shared" si="88"/>
        <v>-224968.50640610646</v>
      </c>
      <c r="Y204" s="31">
        <f t="shared" si="88"/>
        <v>-224968.50640610646</v>
      </c>
      <c r="Z204" s="31">
        <f t="shared" si="88"/>
        <v>-224968.50640610646</v>
      </c>
      <c r="AA204" s="31">
        <f t="shared" si="88"/>
        <v>-224968.50640610646</v>
      </c>
      <c r="AB204" s="31">
        <f t="shared" si="88"/>
        <v>-224968.50640610646</v>
      </c>
      <c r="AC204" s="31">
        <f t="shared" si="88"/>
        <v>-224968.50640610646</v>
      </c>
      <c r="AD204" s="31">
        <f t="shared" si="88"/>
        <v>-224968.50640610646</v>
      </c>
      <c r="AE204" s="31">
        <f t="shared" si="88"/>
        <v>-224968.50640610646</v>
      </c>
      <c r="AF204" s="31">
        <f t="shared" si="88"/>
        <v>-224968.50640610646</v>
      </c>
      <c r="AG204" s="327"/>
      <c r="AH204" s="327"/>
      <c r="AI204" s="327"/>
      <c r="AJ204" s="327"/>
      <c r="AK204" s="327"/>
      <c r="AL204" s="327"/>
      <c r="AM204" s="327"/>
      <c r="AN204" s="327"/>
      <c r="AO204" s="327"/>
      <c r="AP204" s="327"/>
      <c r="AQ204" s="327"/>
      <c r="AR204" s="327"/>
      <c r="AS204" s="327"/>
      <c r="AT204" s="327"/>
      <c r="AU204" s="327"/>
      <c r="AV204" s="327"/>
      <c r="AW204" s="327"/>
      <c r="AX204" s="327"/>
      <c r="AY204" s="327"/>
      <c r="AZ204" s="327"/>
      <c r="BA204" s="327"/>
      <c r="BB204" s="327"/>
      <c r="BC204" s="327"/>
      <c r="BD204" s="327"/>
      <c r="BE204" s="327"/>
      <c r="BF204" s="327"/>
      <c r="BG204" s="327"/>
      <c r="BH204" s="327"/>
      <c r="BI204" s="327"/>
    </row>
    <row r="205" spans="1:61" x14ac:dyDescent="0.2">
      <c r="A205" s="327"/>
      <c r="B205" s="327"/>
      <c r="C205" s="351"/>
      <c r="D205" s="327" t="str">
        <f>D173</f>
        <v>Safety Consequence</v>
      </c>
      <c r="F205" s="327"/>
      <c r="G205" s="327"/>
      <c r="H205" s="31">
        <f t="shared" ref="H205:AF205" si="89">H185+H192+H198-(1-H$167)*(H173+H179)</f>
        <v>0</v>
      </c>
      <c r="I205" s="31">
        <f t="shared" si="89"/>
        <v>-7226.4159226322117</v>
      </c>
      <c r="J205" s="31">
        <f t="shared" si="89"/>
        <v>-9032.0097605026713</v>
      </c>
      <c r="K205" s="31">
        <f t="shared" si="89"/>
        <v>-11263.64148755498</v>
      </c>
      <c r="L205" s="31">
        <f t="shared" si="89"/>
        <v>-14018.179906589168</v>
      </c>
      <c r="M205" s="31">
        <f t="shared" si="89"/>
        <v>-7751.9834623700972</v>
      </c>
      <c r="N205" s="31">
        <f t="shared" si="89"/>
        <v>-9044.4027390281735</v>
      </c>
      <c r="O205" s="31">
        <f t="shared" si="89"/>
        <v>-10564.885144401593</v>
      </c>
      <c r="P205" s="31">
        <f t="shared" si="89"/>
        <v>-11517.875887273845</v>
      </c>
      <c r="Q205" s="31">
        <f t="shared" si="89"/>
        <v>-12000.739826418692</v>
      </c>
      <c r="R205" s="31">
        <f t="shared" si="89"/>
        <v>-12327.817454647278</v>
      </c>
      <c r="S205" s="31">
        <f t="shared" si="89"/>
        <v>-12695.524632887804</v>
      </c>
      <c r="T205" s="31">
        <f t="shared" si="89"/>
        <v>-13109.029114533147</v>
      </c>
      <c r="U205" s="31">
        <f t="shared" si="89"/>
        <v>-13565.946934170892</v>
      </c>
      <c r="V205" s="31">
        <f t="shared" si="89"/>
        <v>-13651.740630115937</v>
      </c>
      <c r="W205" s="31">
        <f t="shared" si="89"/>
        <v>-13674.244209834389</v>
      </c>
      <c r="X205" s="31">
        <f t="shared" si="89"/>
        <v>-13674.244209834389</v>
      </c>
      <c r="Y205" s="31">
        <f t="shared" si="89"/>
        <v>-13674.244209834389</v>
      </c>
      <c r="Z205" s="31">
        <f t="shared" si="89"/>
        <v>-13674.244209834389</v>
      </c>
      <c r="AA205" s="31">
        <f t="shared" si="89"/>
        <v>-13674.244209834389</v>
      </c>
      <c r="AB205" s="31">
        <f t="shared" si="89"/>
        <v>-13674.244209834389</v>
      </c>
      <c r="AC205" s="31">
        <f t="shared" si="89"/>
        <v>-13674.244209834389</v>
      </c>
      <c r="AD205" s="31">
        <f t="shared" si="89"/>
        <v>-13674.244209834389</v>
      </c>
      <c r="AE205" s="31">
        <f t="shared" si="89"/>
        <v>-13674.244209834389</v>
      </c>
      <c r="AF205" s="31">
        <f t="shared" si="89"/>
        <v>-13674.244209834389</v>
      </c>
      <c r="AG205" s="327"/>
      <c r="AH205" s="327"/>
      <c r="AI205" s="327"/>
      <c r="AJ205" s="327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27"/>
      <c r="AX205" s="327"/>
      <c r="AY205" s="327"/>
      <c r="AZ205" s="327"/>
      <c r="BA205" s="327"/>
      <c r="BB205" s="327"/>
      <c r="BC205" s="327"/>
      <c r="BD205" s="327"/>
      <c r="BE205" s="327"/>
      <c r="BF205" s="327"/>
      <c r="BG205" s="327"/>
      <c r="BH205" s="327"/>
      <c r="BI205" s="327"/>
    </row>
    <row r="206" spans="1:61" x14ac:dyDescent="0.2">
      <c r="A206" s="327"/>
      <c r="B206" s="327"/>
      <c r="C206" s="351"/>
      <c r="D206" s="327" t="str">
        <f>D174</f>
        <v>Environmental Consequence</v>
      </c>
      <c r="F206" s="327"/>
      <c r="G206" s="327"/>
      <c r="H206" s="31">
        <f t="shared" ref="H206:AF206" si="90">H186+H193+H199-(1-H$167)*(H174+H180)</f>
        <v>0</v>
      </c>
      <c r="I206" s="31">
        <f t="shared" si="90"/>
        <v>-1035.750568701216</v>
      </c>
      <c r="J206" s="31">
        <f t="shared" si="90"/>
        <v>-1294.5434287358405</v>
      </c>
      <c r="K206" s="31">
        <f t="shared" si="90"/>
        <v>-1614.3996140388556</v>
      </c>
      <c r="L206" s="31">
        <f t="shared" si="90"/>
        <v>-2009.2031742779952</v>
      </c>
      <c r="M206" s="31">
        <f t="shared" si="90"/>
        <v>-1111.0793186655735</v>
      </c>
      <c r="N206" s="31">
        <f t="shared" si="90"/>
        <v>-1296.3196944107085</v>
      </c>
      <c r="O206" s="31">
        <f t="shared" si="90"/>
        <v>-1514.2479914982748</v>
      </c>
      <c r="P206" s="31">
        <f t="shared" si="90"/>
        <v>-1650.8386215512144</v>
      </c>
      <c r="Q206" s="31">
        <f t="shared" si="90"/>
        <v>-1720.0467331419479</v>
      </c>
      <c r="R206" s="31">
        <f t="shared" si="90"/>
        <v>-1766.9262434101317</v>
      </c>
      <c r="S206" s="31">
        <f t="shared" si="90"/>
        <v>-1819.629121718777</v>
      </c>
      <c r="T206" s="31">
        <f t="shared" si="90"/>
        <v>-1878.8960538480674</v>
      </c>
      <c r="U206" s="31">
        <f t="shared" si="90"/>
        <v>-1944.3853498706428</v>
      </c>
      <c r="V206" s="31">
        <f t="shared" si="90"/>
        <v>-1956.6820222899207</v>
      </c>
      <c r="W206" s="31">
        <f t="shared" si="90"/>
        <v>-1959.9074241683541</v>
      </c>
      <c r="X206" s="31">
        <f t="shared" si="90"/>
        <v>-1959.9074241683541</v>
      </c>
      <c r="Y206" s="31">
        <f t="shared" si="90"/>
        <v>-1959.9074241683541</v>
      </c>
      <c r="Z206" s="31">
        <f t="shared" si="90"/>
        <v>-1959.9074241683541</v>
      </c>
      <c r="AA206" s="31">
        <f t="shared" si="90"/>
        <v>-1959.9074241683541</v>
      </c>
      <c r="AB206" s="31">
        <f t="shared" si="90"/>
        <v>-1959.9074241683541</v>
      </c>
      <c r="AC206" s="31">
        <f t="shared" si="90"/>
        <v>-1959.9074241683541</v>
      </c>
      <c r="AD206" s="31">
        <f t="shared" si="90"/>
        <v>-1959.9074241683541</v>
      </c>
      <c r="AE206" s="31">
        <f t="shared" si="90"/>
        <v>-1959.9074241683541</v>
      </c>
      <c r="AF206" s="31">
        <f t="shared" si="90"/>
        <v>-1959.9074241683541</v>
      </c>
      <c r="AG206" s="327"/>
      <c r="AH206" s="327"/>
      <c r="AI206" s="327"/>
      <c r="AJ206" s="327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27"/>
      <c r="AX206" s="327"/>
      <c r="AY206" s="327"/>
      <c r="AZ206" s="327"/>
      <c r="BA206" s="327"/>
      <c r="BB206" s="327"/>
      <c r="BC206" s="327"/>
      <c r="BD206" s="327"/>
      <c r="BE206" s="327"/>
      <c r="BF206" s="327"/>
      <c r="BG206" s="327"/>
      <c r="BH206" s="327"/>
      <c r="BI206" s="327"/>
    </row>
    <row r="207" spans="1:61" x14ac:dyDescent="0.2">
      <c r="A207" s="327"/>
      <c r="B207" s="327"/>
      <c r="C207" s="342"/>
      <c r="D207" s="327"/>
      <c r="F207" s="327"/>
      <c r="G207" s="32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  <c r="AX207" s="327"/>
      <c r="AY207" s="327"/>
      <c r="AZ207" s="327"/>
      <c r="BA207" s="327"/>
      <c r="BB207" s="327"/>
      <c r="BC207" s="327"/>
      <c r="BD207" s="327"/>
      <c r="BE207" s="327"/>
      <c r="BF207" s="327"/>
      <c r="BG207" s="327"/>
      <c r="BH207" s="327"/>
      <c r="BI207" s="327"/>
    </row>
    <row r="208" spans="1:61" x14ac:dyDescent="0.2">
      <c r="A208" s="327"/>
      <c r="B208" s="328" t="s">
        <v>331</v>
      </c>
      <c r="C208" s="343"/>
      <c r="D208" s="327"/>
      <c r="F208" s="327"/>
      <c r="G208" s="32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  <c r="AX208" s="327"/>
      <c r="AY208" s="327"/>
      <c r="AZ208" s="327"/>
      <c r="BA208" s="327"/>
      <c r="BB208" s="327"/>
      <c r="BC208" s="327"/>
      <c r="BD208" s="327"/>
      <c r="BE208" s="327"/>
      <c r="BF208" s="327"/>
      <c r="BG208" s="327"/>
      <c r="BH208" s="327"/>
      <c r="BI208" s="327"/>
    </row>
    <row r="209" spans="1:61" x14ac:dyDescent="0.2">
      <c r="A209" s="327"/>
      <c r="B209" s="327"/>
      <c r="C209" s="342" t="str">
        <f t="shared" ref="C209:D212" si="91">C171</f>
        <v>Option 5</v>
      </c>
      <c r="D209" s="327" t="str">
        <f t="shared" si="91"/>
        <v>Response cost</v>
      </c>
      <c r="E209" s="349" t="str">
        <f>C209&amp;D209</f>
        <v>Option 5Response cost</v>
      </c>
      <c r="F209" s="327"/>
      <c r="G209" s="327"/>
      <c r="H209" s="31" cm="1">
        <f t="array" ref="H209:H212">H$63:H$66+H203:H206</f>
        <v>400238.05280161236</v>
      </c>
      <c r="I209" s="31" cm="1">
        <f t="array" ref="I209:I212">I$63:I$66+I203:I206</f>
        <v>440399.61309134553</v>
      </c>
      <c r="J209" s="31" cm="1">
        <f t="array" ref="J209:J212">J$63:J$66+J203:J206</f>
        <v>487458.51882416045</v>
      </c>
      <c r="K209" s="31" cm="1">
        <f t="array" ref="K209:K212">K$63:K$66+K203:K206</f>
        <v>541516.56551929365</v>
      </c>
      <c r="L209" s="31" cm="1">
        <f t="array" ref="L209:L212">L$63:L$66+L203:L206</f>
        <v>603544.88634206145</v>
      </c>
      <c r="M209" s="31" cm="1">
        <f t="array" ref="M209:M212">M$63:M$66+M203:M206</f>
        <v>675413.73332075228</v>
      </c>
      <c r="N209" s="31" cm="1">
        <f t="array" ref="N209:N212">N$63:N$66+N203:N206</f>
        <v>757525.51133791241</v>
      </c>
      <c r="O209" s="31" cm="1">
        <f t="array" ref="O209:O212">O$63:O$66+O203:O206</f>
        <v>851522.11976425606</v>
      </c>
      <c r="P209" s="31" cm="1">
        <f t="array" ref="P209:P212">P$63:P$66+P203:P206</f>
        <v>954630.53422810044</v>
      </c>
      <c r="Q209" s="31" cm="1">
        <f t="array" ref="Q209:Q212">Q$63:Q$66+Q203:Q206</f>
        <v>1064372.1448129534</v>
      </c>
      <c r="R209" s="31" cm="1">
        <f t="array" ref="R209:R212">R$63:R$66+R203:R206</f>
        <v>1180093.6277259008</v>
      </c>
      <c r="S209" s="31" cm="1">
        <f t="array" ref="S209:S212">S$63:S$66+S203:S206</f>
        <v>1308285.734853426</v>
      </c>
      <c r="T209" s="31" cm="1">
        <f t="array" ref="T209:T212">T$63:T$66+T203:T206</f>
        <v>1447711.3885759581</v>
      </c>
      <c r="U209" s="31" cm="1">
        <f t="array" ref="U209:U212">U$63:U$66+U203:U206</f>
        <v>1591217.7165717145</v>
      </c>
      <c r="V209" s="31" cm="1">
        <f t="array" ref="V209:V212">V$63:V$66+V203:V206</f>
        <v>1727491.3938408983</v>
      </c>
      <c r="W209" s="31" cm="1">
        <f t="array" ref="W209:W212">W$63:W$66+W203:W206</f>
        <v>1858766.6614082644</v>
      </c>
      <c r="X209" s="31" cm="1">
        <f t="array" ref="X209:X212">X$63:X$66+X203:X206</f>
        <v>1987302.7752655097</v>
      </c>
      <c r="Y209" s="31" cm="1">
        <f t="array" ref="Y209:Y212">Y$63:Y$66+Y203:Y206</f>
        <v>2108294.1486302079</v>
      </c>
      <c r="Z209" s="31" cm="1">
        <f t="array" ref="Z209:Z212">Z$63:Z$66+Z203:Z206</f>
        <v>2219068.3079125565</v>
      </c>
      <c r="AA209" s="31" cm="1">
        <f t="array" ref="AA209:AA212">AA$63:AA$66+AA203:AA206</f>
        <v>2315691.5826004748</v>
      </c>
      <c r="AB209" s="31" cm="1">
        <f t="array" ref="AB209:AB212">AB$63:AB$66+AB203:AB206</f>
        <v>2413145.140535038</v>
      </c>
      <c r="AC209" s="31" cm="1">
        <f t="array" ref="AC209:AC212">AC$63:AC$66+AC203:AC206</f>
        <v>2512593.3312540846</v>
      </c>
      <c r="AD209" s="31" cm="1">
        <f t="array" ref="AD209:AD212">AD$63:AD$66+AD203:AD206</f>
        <v>2612305.382848388</v>
      </c>
      <c r="AE209" s="31" cm="1">
        <f t="array" ref="AE209:AE212">AE$63:AE$66+AE203:AE206</f>
        <v>2714117.302368511</v>
      </c>
      <c r="AF209" s="31" cm="1">
        <f t="array" ref="AF209:AF212">AF$63:AF$66+AF203:AF206</f>
        <v>2816410.929937127</v>
      </c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  <c r="AX209" s="327"/>
      <c r="AY209" s="327"/>
      <c r="AZ209" s="327"/>
      <c r="BA209" s="327"/>
      <c r="BB209" s="327"/>
      <c r="BC209" s="327"/>
      <c r="BD209" s="327"/>
      <c r="BE209" s="327"/>
      <c r="BF209" s="327"/>
      <c r="BG209" s="327"/>
      <c r="BH209" s="327"/>
      <c r="BI209" s="327"/>
    </row>
    <row r="210" spans="1:61" x14ac:dyDescent="0.2">
      <c r="A210" s="327"/>
      <c r="B210" s="327"/>
      <c r="C210" s="342" t="str">
        <f t="shared" si="91"/>
        <v>Option 5</v>
      </c>
      <c r="D210" s="327" t="str">
        <f t="shared" si="91"/>
        <v>Unplanned replacements</v>
      </c>
      <c r="E210" s="349" t="str">
        <f t="shared" ref="E210:E212" si="92">C210&amp;D210</f>
        <v>Option 5Unplanned replacements</v>
      </c>
      <c r="F210" s="327"/>
      <c r="G210" s="327"/>
      <c r="H210" s="31">
        <v>2159114.732966444</v>
      </c>
      <c r="I210" s="31">
        <v>2259041.5277882251</v>
      </c>
      <c r="J210" s="31">
        <v>2483720.3236358357</v>
      </c>
      <c r="K210" s="31">
        <v>2739268.6672449978</v>
      </c>
      <c r="L210" s="31">
        <v>3029359.1270881933</v>
      </c>
      <c r="M210" s="31">
        <v>3518229.7842677482</v>
      </c>
      <c r="N210" s="31">
        <v>3940290.6122572059</v>
      </c>
      <c r="O210" s="31">
        <v>4422777.3944267072</v>
      </c>
      <c r="P210" s="31">
        <v>4963595.582332531</v>
      </c>
      <c r="Q210" s="31">
        <v>5547799.3218518402</v>
      </c>
      <c r="R210" s="31">
        <v>6166780.3718621964</v>
      </c>
      <c r="S210" s="31">
        <v>6852378.3489493597</v>
      </c>
      <c r="T210" s="31">
        <v>7597836.2011109591</v>
      </c>
      <c r="U210" s="31">
        <v>8364605.7712041689</v>
      </c>
      <c r="V210" s="31">
        <v>9098358.9097423665</v>
      </c>
      <c r="W210" s="31">
        <v>9806169.9173773322</v>
      </c>
      <c r="X210" s="31">
        <v>10499567.796976233</v>
      </c>
      <c r="Y210" s="31">
        <v>11152264.997966889</v>
      </c>
      <c r="Z210" s="31">
        <v>11749844.65753275</v>
      </c>
      <c r="AA210" s="31">
        <v>12271086.289770942</v>
      </c>
      <c r="AB210" s="31">
        <v>12796806.948373113</v>
      </c>
      <c r="AC210" s="31">
        <v>13333287.805816175</v>
      </c>
      <c r="AD210" s="31">
        <v>13871192.080895899</v>
      </c>
      <c r="AE210" s="31">
        <v>14420424.253820874</v>
      </c>
      <c r="AF210" s="31">
        <v>14972255.037590597</v>
      </c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  <c r="AX210" s="327"/>
      <c r="AY210" s="327"/>
      <c r="AZ210" s="327"/>
      <c r="BA210" s="327"/>
      <c r="BB210" s="327"/>
      <c r="BC210" s="327"/>
      <c r="BD210" s="327"/>
      <c r="BE210" s="327"/>
      <c r="BF210" s="327"/>
      <c r="BG210" s="327"/>
      <c r="BH210" s="327"/>
      <c r="BI210" s="327"/>
    </row>
    <row r="211" spans="1:61" x14ac:dyDescent="0.2">
      <c r="A211" s="327"/>
      <c r="B211" s="327"/>
      <c r="C211" s="342" t="str">
        <f t="shared" si="91"/>
        <v>Option 5</v>
      </c>
      <c r="D211" s="327" t="str">
        <f t="shared" si="91"/>
        <v>Safety Consequence</v>
      </c>
      <c r="E211" s="349" t="str">
        <f t="shared" si="92"/>
        <v>Option 5Safety Consequence</v>
      </c>
      <c r="F211" s="327"/>
      <c r="G211" s="327"/>
      <c r="H211" s="31">
        <v>937071.22949347389</v>
      </c>
      <c r="I211" s="31">
        <v>1024888.8434661002</v>
      </c>
      <c r="J211" s="31">
        <v>1133494.2827753988</v>
      </c>
      <c r="K211" s="31">
        <v>1258113.6218315565</v>
      </c>
      <c r="L211" s="31">
        <v>1400935.5256436118</v>
      </c>
      <c r="M211" s="31">
        <v>1574532.7293097065</v>
      </c>
      <c r="N211" s="31">
        <v>1765645.096516073</v>
      </c>
      <c r="O211" s="31">
        <v>1984382.9335819562</v>
      </c>
      <c r="P211" s="31">
        <v>2224953.6461669304</v>
      </c>
      <c r="Q211" s="31">
        <v>2481468.0717525063</v>
      </c>
      <c r="R211" s="31">
        <v>2752119.2778611551</v>
      </c>
      <c r="S211" s="31">
        <v>3051932.2536707362</v>
      </c>
      <c r="T211" s="31">
        <v>3378006.1295262799</v>
      </c>
      <c r="U211" s="31">
        <v>3713596.1011813674</v>
      </c>
      <c r="V211" s="31">
        <v>4032578.0533690932</v>
      </c>
      <c r="W211" s="31">
        <v>4339911.5437391484</v>
      </c>
      <c r="X211" s="31">
        <v>4640851.1805463079</v>
      </c>
      <c r="Y211" s="31">
        <v>4924126.4318706989</v>
      </c>
      <c r="Z211" s="31">
        <v>5183480.2761846194</v>
      </c>
      <c r="AA211" s="31">
        <v>5409702.8709022021</v>
      </c>
      <c r="AB211" s="31">
        <v>5637869.39508205</v>
      </c>
      <c r="AC211" s="31">
        <v>5870705.9224828836</v>
      </c>
      <c r="AD211" s="31">
        <v>6104160.2233139565</v>
      </c>
      <c r="AE211" s="31">
        <v>6342530.9127923548</v>
      </c>
      <c r="AF211" s="31">
        <v>6582029.4179546917</v>
      </c>
      <c r="AG211" s="327"/>
      <c r="AH211" s="327"/>
      <c r="AI211" s="327"/>
      <c r="AJ211" s="327"/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  <c r="AX211" s="327"/>
      <c r="AY211" s="327"/>
      <c r="AZ211" s="327"/>
      <c r="BA211" s="327"/>
      <c r="BB211" s="327"/>
      <c r="BC211" s="327"/>
      <c r="BD211" s="327"/>
      <c r="BE211" s="327"/>
      <c r="BF211" s="327"/>
      <c r="BG211" s="327"/>
      <c r="BH211" s="327"/>
      <c r="BI211" s="327"/>
    </row>
    <row r="212" spans="1:61" x14ac:dyDescent="0.2">
      <c r="A212" s="327"/>
      <c r="B212" s="327"/>
      <c r="C212" s="342" t="str">
        <f t="shared" si="91"/>
        <v>Option 5</v>
      </c>
      <c r="D212" s="327" t="str">
        <f t="shared" si="91"/>
        <v>Environmental Consequence</v>
      </c>
      <c r="E212" s="349" t="str">
        <f t="shared" si="92"/>
        <v>Option 5Environmental Consequence</v>
      </c>
      <c r="F212" s="327"/>
      <c r="G212" s="327"/>
      <c r="H212" s="31">
        <v>128429.59922776051</v>
      </c>
      <c r="I212" s="31">
        <v>140420.03736729381</v>
      </c>
      <c r="J212" s="31">
        <v>155293.54639756356</v>
      </c>
      <c r="K212" s="31">
        <v>172359.15550730133</v>
      </c>
      <c r="L212" s="31">
        <v>191916.22278066809</v>
      </c>
      <c r="M212" s="31">
        <v>215747.77316725973</v>
      </c>
      <c r="N212" s="31">
        <v>241932.42745883329</v>
      </c>
      <c r="O212" s="31">
        <v>271901.83904151578</v>
      </c>
      <c r="P212" s="31">
        <v>304867.09963270545</v>
      </c>
      <c r="Q212" s="31">
        <v>340020.46357054345</v>
      </c>
      <c r="R212" s="31">
        <v>377112.31085542531</v>
      </c>
      <c r="S212" s="31">
        <v>418200.64784543106</v>
      </c>
      <c r="T212" s="31">
        <v>462887.86558799591</v>
      </c>
      <c r="U212" s="31">
        <v>508879.03236955183</v>
      </c>
      <c r="V212" s="31">
        <v>552596.32789952564</v>
      </c>
      <c r="W212" s="31">
        <v>594717.54926415032</v>
      </c>
      <c r="X212" s="31">
        <v>635962.60698274348</v>
      </c>
      <c r="Y212" s="31">
        <v>674786.6855091966</v>
      </c>
      <c r="Z212" s="31">
        <v>710332.23341959459</v>
      </c>
      <c r="AA212" s="31">
        <v>741337.0025997858</v>
      </c>
      <c r="AB212" s="31">
        <v>772608.19558417483</v>
      </c>
      <c r="AC212" s="31">
        <v>804519.43238080165</v>
      </c>
      <c r="AD212" s="31">
        <v>836515.33765466069</v>
      </c>
      <c r="AE212" s="31">
        <v>869185.05491180415</v>
      </c>
      <c r="AF212" s="31">
        <v>902009.34410727234</v>
      </c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  <c r="AX212" s="327"/>
      <c r="AY212" s="327"/>
      <c r="AZ212" s="327"/>
      <c r="BA212" s="327"/>
      <c r="BB212" s="327"/>
      <c r="BC212" s="327"/>
      <c r="BD212" s="327"/>
      <c r="BE212" s="327"/>
      <c r="BF212" s="327"/>
      <c r="BG212" s="327"/>
      <c r="BH212" s="327"/>
      <c r="BI212" s="327"/>
    </row>
    <row r="213" spans="1:61" x14ac:dyDescent="0.2">
      <c r="A213" s="327"/>
      <c r="B213" s="327"/>
      <c r="C213" s="342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327"/>
      <c r="AG213" s="327"/>
      <c r="AH213" s="327"/>
      <c r="AI213" s="327"/>
      <c r="AJ213" s="327"/>
      <c r="AK213" s="327"/>
      <c r="AL213" s="327"/>
      <c r="AM213" s="327"/>
      <c r="AN213" s="327"/>
      <c r="AO213" s="327"/>
      <c r="AP213" s="327"/>
      <c r="AQ213" s="327"/>
      <c r="AR213" s="327"/>
      <c r="AS213" s="327"/>
      <c r="AT213" s="327"/>
      <c r="AU213" s="327"/>
      <c r="AV213" s="327"/>
      <c r="AW213" s="327"/>
      <c r="AX213" s="327"/>
      <c r="AY213" s="327"/>
      <c r="AZ213" s="327"/>
      <c r="BA213" s="327"/>
      <c r="BB213" s="327"/>
      <c r="BC213" s="327"/>
      <c r="BD213" s="327"/>
      <c r="BE213" s="327"/>
      <c r="BF213" s="327"/>
      <c r="BG213" s="327"/>
      <c r="BH213" s="327"/>
      <c r="BI213" s="327"/>
    </row>
    <row r="214" spans="1:61" x14ac:dyDescent="0.2"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1:61" x14ac:dyDescent="0.2"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7" spans="1:61" x14ac:dyDescent="0.2">
      <c r="H217" s="339"/>
      <c r="I217" s="339"/>
      <c r="J217" s="339"/>
      <c r="K217" s="339"/>
      <c r="L217" s="339"/>
      <c r="M217" s="339"/>
      <c r="N217" s="339"/>
    </row>
    <row r="218" spans="1:61" x14ac:dyDescent="0.2"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  <c r="AA218" s="339"/>
      <c r="AB218" s="339"/>
      <c r="AC218" s="339"/>
      <c r="AD218" s="339"/>
      <c r="AE218" s="339"/>
      <c r="AF218" s="339"/>
      <c r="AG218" s="339"/>
      <c r="AH218" s="339"/>
      <c r="AI218" s="339"/>
      <c r="AJ218" s="339"/>
      <c r="AK218" s="339"/>
    </row>
    <row r="219" spans="1:61" x14ac:dyDescent="0.2"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  <c r="AA219" s="339"/>
      <c r="AB219" s="339"/>
      <c r="AC219" s="339"/>
      <c r="AD219" s="339"/>
      <c r="AE219" s="339"/>
      <c r="AF219" s="339"/>
      <c r="AG219" s="339"/>
      <c r="AH219" s="339"/>
      <c r="AI219" s="339"/>
      <c r="AJ219" s="339"/>
      <c r="AK219" s="339"/>
    </row>
    <row r="220" spans="1:61" x14ac:dyDescent="0.2"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  <c r="AA220" s="339"/>
      <c r="AB220" s="339"/>
      <c r="AC220" s="339"/>
      <c r="AD220" s="339"/>
      <c r="AE220" s="339"/>
      <c r="AF220" s="339"/>
      <c r="AG220" s="339"/>
      <c r="AH220" s="339"/>
      <c r="AI220" s="339"/>
      <c r="AJ220" s="339"/>
      <c r="AK220" s="339"/>
    </row>
    <row r="221" spans="1:61" x14ac:dyDescent="0.2"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  <c r="AA221" s="339"/>
      <c r="AB221" s="339"/>
      <c r="AC221" s="339"/>
      <c r="AD221" s="339"/>
      <c r="AE221" s="339"/>
      <c r="AF221" s="339"/>
      <c r="AG221" s="339"/>
      <c r="AH221" s="339"/>
      <c r="AI221" s="339"/>
      <c r="AJ221" s="339"/>
      <c r="AK221" s="339"/>
    </row>
    <row r="222" spans="1:61" x14ac:dyDescent="0.2"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  <c r="AA222" s="339"/>
      <c r="AB222" s="339"/>
      <c r="AC222" s="339"/>
      <c r="AD222" s="339"/>
      <c r="AE222" s="339"/>
      <c r="AF222" s="339"/>
    </row>
    <row r="223" spans="1:61" x14ac:dyDescent="0.2"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  <c r="AA223" s="339"/>
      <c r="AB223" s="339"/>
      <c r="AC223" s="339"/>
      <c r="AD223" s="339"/>
      <c r="AE223" s="339"/>
      <c r="AF223" s="339"/>
    </row>
    <row r="224" spans="1:61" x14ac:dyDescent="0.2"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  <c r="AA224" s="339"/>
      <c r="AB224" s="339"/>
      <c r="AC224" s="339"/>
      <c r="AD224" s="339"/>
      <c r="AE224" s="339"/>
      <c r="AF224" s="339"/>
      <c r="AG224" s="339"/>
      <c r="AH224" s="339"/>
    </row>
    <row r="225" spans="8:34" x14ac:dyDescent="0.2"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  <c r="AA225" s="339"/>
      <c r="AB225" s="339"/>
      <c r="AC225" s="339"/>
      <c r="AD225" s="339"/>
      <c r="AE225" s="339"/>
      <c r="AF225" s="339"/>
      <c r="AG225" s="339"/>
      <c r="AH225" s="339"/>
    </row>
    <row r="226" spans="8:34" x14ac:dyDescent="0.2"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  <c r="AA226" s="339"/>
      <c r="AB226" s="339"/>
      <c r="AC226" s="339"/>
      <c r="AD226" s="339"/>
      <c r="AE226" s="339"/>
      <c r="AF226" s="339"/>
      <c r="AG226" s="339"/>
      <c r="AH226" s="339"/>
    </row>
    <row r="227" spans="8:34" x14ac:dyDescent="0.2"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  <c r="Z227" s="339"/>
      <c r="AA227" s="339"/>
      <c r="AB227" s="339"/>
      <c r="AC227" s="339"/>
      <c r="AD227" s="339"/>
      <c r="AE227" s="339"/>
      <c r="AF227" s="339"/>
      <c r="AG227" s="339"/>
      <c r="AH227" s="339"/>
    </row>
    <row r="228" spans="8:34" x14ac:dyDescent="0.2"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</row>
    <row r="229" spans="8:34" x14ac:dyDescent="0.2">
      <c r="H229" s="339"/>
    </row>
  </sheetData>
  <phoneticPr fontId="76" type="noConversion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2"/>
  <sheetViews>
    <sheetView showGridLines="0" topLeftCell="A4" zoomScale="70" zoomScaleNormal="70" workbookViewId="0">
      <selection activeCell="A43" sqref="A43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3" ht="18.75" x14ac:dyDescent="0.3">
      <c r="A2" s="56" t="str">
        <f>proj</f>
        <v>HV cable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</row>
    <row r="31" spans="1:34" x14ac:dyDescent="0.2">
      <c r="B31" s="196" t="s">
        <v>1</v>
      </c>
      <c r="C31" s="197" t="s">
        <v>193</v>
      </c>
      <c r="D31" s="198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155</v>
      </c>
      <c r="C35" s="195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193</v>
      </c>
      <c r="C38" s="199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s="1" customFormat="1" ht="15" x14ac:dyDescent="0.2">
      <c r="A42" s="18" t="s">
        <v>332</v>
      </c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7"/>
      <c r="O42" s="17"/>
      <c r="P42" s="17"/>
    </row>
    <row r="45" spans="1:34" x14ac:dyDescent="0.2">
      <c r="B45" t="s">
        <v>144</v>
      </c>
      <c r="C45" t="b">
        <f>AND(SUM('Option1 (base case)'!$I14:$AG14)&lt;&gt;0, 'Option1 (base case)'!E14=0)</f>
        <v>0</v>
      </c>
      <c r="D45" s="49" t="b">
        <f>OR(C45:C47)</f>
        <v>0</v>
      </c>
    </row>
    <row r="46" spans="1:34" x14ac:dyDescent="0.2">
      <c r="C46" t="b">
        <f>AND(SUM('Option1 (base case)'!$I15:$AG15)&lt;&gt;0, 'Option1 (base case)'!E15=0)</f>
        <v>0</v>
      </c>
    </row>
    <row r="47" spans="1:34" x14ac:dyDescent="0.2">
      <c r="C47" t="b">
        <f>AND(SUM('Option1 (base case)'!$I16:$AG16)&lt;&gt;0, 'Option1 (base case)'!E16=0)</f>
        <v>0</v>
      </c>
    </row>
    <row r="49" spans="2:4" x14ac:dyDescent="0.2">
      <c r="B49" t="s">
        <v>131</v>
      </c>
      <c r="C49" t="b">
        <f>AND(SUM(Option2!$I14:$AG14)&lt;&gt;0, Option2!E14=0)</f>
        <v>0</v>
      </c>
      <c r="D49" s="49" t="b">
        <f>OR(C49:C51)</f>
        <v>0</v>
      </c>
    </row>
    <row r="50" spans="2:4" x14ac:dyDescent="0.2">
      <c r="C50" t="b">
        <f>AND(SUM(Option2!$I15:$AG15)&lt;&gt;0, Option2!E15=0)</f>
        <v>0</v>
      </c>
    </row>
    <row r="51" spans="2:4" x14ac:dyDescent="0.2">
      <c r="C51" t="b">
        <f>AND(SUM(Option2!$I16:$AG16)&lt;&gt;0, Option2!E16=0)</f>
        <v>0</v>
      </c>
    </row>
    <row r="53" spans="2:4" x14ac:dyDescent="0.2">
      <c r="B53" t="s">
        <v>132</v>
      </c>
      <c r="C53" t="b">
        <f>AND(SUM(Option3!$I14:$AG14)&lt;&gt;0, Option3!E14=0)</f>
        <v>0</v>
      </c>
      <c r="D53" s="49" t="b">
        <f>OR(C53:C55)</f>
        <v>0</v>
      </c>
    </row>
    <row r="54" spans="2:4" x14ac:dyDescent="0.2">
      <c r="C54" t="b">
        <f>AND(SUM(Option3!$I15:$AG15)&lt;&gt;0, Option3!E15=0)</f>
        <v>0</v>
      </c>
    </row>
    <row r="55" spans="2:4" x14ac:dyDescent="0.2">
      <c r="C55" t="b">
        <f>AND(SUM(Option3!$I16:$AG16)&lt;&gt;0, Option3!E16=0)</f>
        <v>0</v>
      </c>
    </row>
    <row r="57" spans="2:4" x14ac:dyDescent="0.2">
      <c r="B57" t="s">
        <v>133</v>
      </c>
      <c r="C57" t="b">
        <f>AND(SUM(Option4!$I14:$AG14)&lt;&gt;0, Option4!E14=0)</f>
        <v>0</v>
      </c>
      <c r="D57" s="49" t="b">
        <f>OR(C57:C59)</f>
        <v>0</v>
      </c>
    </row>
    <row r="58" spans="2:4" x14ac:dyDescent="0.2">
      <c r="C58" t="b">
        <f>AND(SUM(Option4!$I15:$AG15)&lt;&gt;0, Option4!E15=0)</f>
        <v>0</v>
      </c>
    </row>
    <row r="59" spans="2:4" x14ac:dyDescent="0.2">
      <c r="C59" t="b">
        <f>AND(SUM(Option4!$I16:$AG16)&lt;&gt;0, Option4!E16=0)</f>
        <v>0</v>
      </c>
    </row>
    <row r="61" spans="2:4" x14ac:dyDescent="0.2">
      <c r="B61" t="s">
        <v>155</v>
      </c>
      <c r="C61" t="b">
        <f>AND(SUM(Option5!$I14:$AG14)&lt;&gt;0, Option5!E14=0)</f>
        <v>0</v>
      </c>
      <c r="D61" s="49" t="b">
        <f>OR(C61:C63)</f>
        <v>0</v>
      </c>
    </row>
    <row r="62" spans="2:4" x14ac:dyDescent="0.2">
      <c r="C62" t="b">
        <f>AND(SUM(Option5!$I15:$AG15)&lt;&gt;0, Option5!E15=0)</f>
        <v>0</v>
      </c>
    </row>
    <row r="63" spans="2:4" x14ac:dyDescent="0.2">
      <c r="C63" t="b">
        <f>AND(SUM(Option5!$I16:$AG16)&lt;&gt;0, Option5!E16=0)</f>
        <v>0</v>
      </c>
    </row>
    <row r="66" spans="1:2" x14ac:dyDescent="0.2">
      <c r="A66" t="s">
        <v>165</v>
      </c>
      <c r="B66" s="243" t="s">
        <v>211</v>
      </c>
    </row>
    <row r="70" spans="1:2" x14ac:dyDescent="0.2">
      <c r="B70" s="242" t="str">
        <f>IF(AND(SUM(E69:AC69)&lt;&gt;0, A70=0), "!", "")</f>
        <v/>
      </c>
    </row>
    <row r="72" spans="1:2" x14ac:dyDescent="0.2">
      <c r="B72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HV cable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229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225</v>
      </c>
      <c r="D16" s="23" t="s">
        <v>227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223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0</v>
      </c>
      <c r="F61" s="96">
        <v>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6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226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232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228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233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227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234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2025-01-27T04:06:38Z</dcterms:modified>
</cp:coreProperties>
</file>