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476F1799-A81A-4A21-9007-E77A49B84C15}" xr6:coauthVersionLast="47" xr6:coauthVersionMax="47" xr10:uidLastSave="{00000000-0000-0000-0000-000000000000}"/>
  <bookViews>
    <workbookView xWindow="3015" yWindow="615" windowWidth="17250" windowHeight="145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30" i="68" a="1"/>
  <c r="I30" i="68" s="1"/>
  <c r="J30" i="68" a="1"/>
  <c r="J30" i="68" s="1"/>
  <c r="K30" i="68" a="1"/>
  <c r="K30" i="68" s="1"/>
  <c r="L30" i="68" a="1"/>
  <c r="L30" i="68" s="1"/>
  <c r="M30" i="68" a="1"/>
  <c r="M30" i="68" s="1"/>
  <c r="N30" i="68" a="1"/>
  <c r="N30" i="68"/>
  <c r="O30" i="68" a="1"/>
  <c r="O30" i="68" s="1"/>
  <c r="P30" i="68" a="1"/>
  <c r="P30" i="68" s="1"/>
  <c r="Q30" i="68" a="1"/>
  <c r="Q30" i="68" s="1"/>
  <c r="R30" i="68" a="1"/>
  <c r="R30" i="68" s="1"/>
  <c r="S30" i="68" a="1"/>
  <c r="S30" i="68"/>
  <c r="T30" i="68" a="1"/>
  <c r="T30" i="68"/>
  <c r="U30" i="68" a="1"/>
  <c r="U30" i="68" s="1"/>
  <c r="V30" i="68" a="1"/>
  <c r="V30" i="68"/>
  <c r="W30" i="68" a="1"/>
  <c r="W30" i="68"/>
  <c r="X30" i="68" a="1"/>
  <c r="X30" i="68"/>
  <c r="Y30" i="68" a="1"/>
  <c r="Y30" i="68"/>
  <c r="Z30" i="68" a="1"/>
  <c r="Z30" i="68"/>
  <c r="AA30" i="68" a="1"/>
  <c r="AA30" i="68"/>
  <c r="AB30" i="68" a="1"/>
  <c r="AB30" i="68"/>
  <c r="AC30" i="68" a="1"/>
  <c r="AC30" i="68" s="1"/>
  <c r="AD30" i="68" a="1"/>
  <c r="AD30" i="68"/>
  <c r="AE30" i="68" a="1"/>
  <c r="AE30" i="68" s="1"/>
  <c r="AF30" i="68" a="1"/>
  <c r="AF30" i="68"/>
  <c r="AG30" i="68" a="1"/>
  <c r="AG30" i="68"/>
  <c r="H5" i="75"/>
  <c r="I5" i="75"/>
  <c r="J5" i="75" s="1"/>
  <c r="K5" i="75" s="1"/>
  <c r="L5" i="75" s="1"/>
  <c r="M5" i="75" s="1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P106" i="81" l="1"/>
  <c r="Q106" i="81"/>
  <c r="R106" i="81"/>
  <c r="S106" i="81"/>
  <c r="T106" i="81"/>
  <c r="U106" i="81"/>
  <c r="V106" i="81"/>
  <c r="W106" i="81"/>
  <c r="X106" i="81"/>
  <c r="Y106" i="81"/>
  <c r="Z106" i="81"/>
  <c r="AA106" i="81"/>
  <c r="AB106" i="81"/>
  <c r="AC106" i="81"/>
  <c r="AD106" i="81"/>
  <c r="AE106" i="81"/>
  <c r="AF106" i="81"/>
  <c r="AG106" i="81"/>
  <c r="I9" i="68" l="1"/>
  <c r="H9" i="68" s="1"/>
  <c r="H9" i="75" s="1"/>
  <c r="C32" i="87"/>
  <c r="C33" i="87"/>
  <c r="C34" i="87"/>
  <c r="C35" i="87"/>
  <c r="C31" i="87"/>
  <c r="C30" i="81"/>
  <c r="C31" i="81"/>
  <c r="C32" i="81"/>
  <c r="C29" i="81"/>
  <c r="E21" i="88"/>
  <c r="A2" i="88"/>
  <c r="A1" i="88"/>
  <c r="A2" i="87"/>
  <c r="A1" i="87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5" i="82"/>
  <c r="G105" i="73"/>
  <c r="G105" i="72"/>
  <c r="G105" i="81"/>
  <c r="G105" i="68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G112" i="82"/>
  <c r="E112" i="82"/>
  <c r="D112" i="82"/>
  <c r="C112" i="82"/>
  <c r="A112" i="82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C109" i="82"/>
  <c r="A109" i="82"/>
  <c r="G109" i="82" s="1"/>
  <c r="E108" i="82"/>
  <c r="D108" i="82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G111" i="73"/>
  <c r="E111" i="73"/>
  <c r="D111" i="73"/>
  <c r="C111" i="73"/>
  <c r="A111" i="73"/>
  <c r="E110" i="73"/>
  <c r="D110" i="73"/>
  <c r="C110" i="73"/>
  <c r="A110" i="73"/>
  <c r="G110" i="73" s="1"/>
  <c r="E109" i="73"/>
  <c r="D109" i="73"/>
  <c r="C109" i="73"/>
  <c r="A109" i="73"/>
  <c r="G109" i="73" s="1"/>
  <c r="E108" i="73"/>
  <c r="D108" i="73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C109" i="72"/>
  <c r="A109" i="72"/>
  <c r="G109" i="72" s="1"/>
  <c r="E108" i="72"/>
  <c r="D108" i="72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C109" i="68"/>
  <c r="A109" i="68"/>
  <c r="G109" i="68" s="1"/>
  <c r="E108" i="68"/>
  <c r="D108" i="68"/>
  <c r="A110" i="81"/>
  <c r="A111" i="81"/>
  <c r="A112" i="81"/>
  <c r="A113" i="81"/>
  <c r="A114" i="81"/>
  <c r="A115" i="81"/>
  <c r="A116" i="81"/>
  <c r="A109" i="81"/>
  <c r="E108" i="81"/>
  <c r="D108" i="81"/>
  <c r="C116" i="81"/>
  <c r="C115" i="81"/>
  <c r="C114" i="81"/>
  <c r="D114" i="81"/>
  <c r="E114" i="81"/>
  <c r="D115" i="81"/>
  <c r="E115" i="81"/>
  <c r="D116" i="81"/>
  <c r="E116" i="81"/>
  <c r="E113" i="81"/>
  <c r="D113" i="81"/>
  <c r="E112" i="81"/>
  <c r="D112" i="81"/>
  <c r="E111" i="81"/>
  <c r="D111" i="81"/>
  <c r="E110" i="81"/>
  <c r="D110" i="81"/>
  <c r="E109" i="81"/>
  <c r="D109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I78" i="68"/>
  <c r="I77" i="68"/>
  <c r="I76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I78" i="82"/>
  <c r="I77" i="82"/>
  <c r="I76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I78" i="73"/>
  <c r="I77" i="73"/>
  <c r="I76" i="73"/>
  <c r="J78" i="72"/>
  <c r="K78" i="72"/>
  <c r="L78" i="72"/>
  <c r="M78" i="72"/>
  <c r="N78" i="72"/>
  <c r="O78" i="72"/>
  <c r="P78" i="72"/>
  <c r="Q78" i="72"/>
  <c r="R78" i="72"/>
  <c r="S78" i="72"/>
  <c r="T78" i="72"/>
  <c r="U78" i="72"/>
  <c r="V78" i="72"/>
  <c r="W78" i="72"/>
  <c r="X78" i="72"/>
  <c r="Y78" i="72"/>
  <c r="Z78" i="72"/>
  <c r="AA78" i="72"/>
  <c r="AB78" i="72"/>
  <c r="AC78" i="72"/>
  <c r="AD78" i="72"/>
  <c r="AE78" i="72"/>
  <c r="AF78" i="72"/>
  <c r="AG78" i="72"/>
  <c r="I78" i="72"/>
  <c r="I77" i="72"/>
  <c r="I76" i="72"/>
  <c r="J78" i="81"/>
  <c r="K78" i="81"/>
  <c r="L78" i="81"/>
  <c r="M78" i="81"/>
  <c r="N78" i="81"/>
  <c r="O78" i="81"/>
  <c r="P78" i="81"/>
  <c r="Q78" i="81"/>
  <c r="R78" i="81"/>
  <c r="S78" i="81"/>
  <c r="T78" i="81"/>
  <c r="U78" i="81"/>
  <c r="V78" i="81"/>
  <c r="W78" i="81"/>
  <c r="X78" i="81"/>
  <c r="Y78" i="81"/>
  <c r="Z78" i="81"/>
  <c r="AA78" i="81"/>
  <c r="AB78" i="81"/>
  <c r="AC78" i="81"/>
  <c r="AD78" i="81"/>
  <c r="AE78" i="81"/>
  <c r="AF78" i="81"/>
  <c r="AG78" i="81"/>
  <c r="I78" i="81"/>
  <c r="I77" i="81"/>
  <c r="I76" i="81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1" i="81"/>
  <c r="C113" i="81"/>
  <c r="C36" i="85"/>
  <c r="C109" i="81"/>
  <c r="C23" i="85"/>
  <c r="C21" i="85"/>
  <c r="C30" i="85" l="1"/>
  <c r="C32" i="85"/>
  <c r="C34" i="85"/>
  <c r="C19" i="85"/>
  <c r="C110" i="81"/>
  <c r="C17" i="85"/>
  <c r="C40" i="33"/>
  <c r="C42" i="33"/>
  <c r="C112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3" i="62"/>
  <c r="C59" i="62"/>
  <c r="C55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49" i="62" l="1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82" i="81"/>
  <c r="AG68" i="81"/>
  <c r="AG82" i="72"/>
  <c r="AG68" i="72"/>
  <c r="AG82" i="73"/>
  <c r="AG68" i="73"/>
  <c r="AG82" i="82"/>
  <c r="AG68" i="82"/>
  <c r="AG83" i="68"/>
  <c r="AG82" i="68"/>
  <c r="AG68" i="68"/>
  <c r="AG67" i="68"/>
  <c r="AG66" i="68"/>
  <c r="AG17" i="68"/>
  <c r="AF82" i="81"/>
  <c r="AF68" i="81"/>
  <c r="AF82" i="72"/>
  <c r="AF68" i="72"/>
  <c r="AF82" i="73"/>
  <c r="AF68" i="73"/>
  <c r="AF82" i="82"/>
  <c r="AF68" i="82"/>
  <c r="AF83" i="68"/>
  <c r="AF82" i="68"/>
  <c r="AF68" i="68"/>
  <c r="AF67" i="68"/>
  <c r="AF66" i="68"/>
  <c r="AF17" i="68"/>
  <c r="AE82" i="81"/>
  <c r="AE68" i="81"/>
  <c r="AE82" i="72"/>
  <c r="AE68" i="72"/>
  <c r="AE82" i="73"/>
  <c r="AE68" i="73"/>
  <c r="AE82" i="82"/>
  <c r="AE68" i="82"/>
  <c r="AE83" i="68"/>
  <c r="AE82" i="68"/>
  <c r="AE68" i="68"/>
  <c r="AE67" i="68"/>
  <c r="AE66" i="68"/>
  <c r="AE17" i="68"/>
  <c r="AD82" i="81"/>
  <c r="AD68" i="81"/>
  <c r="AD82" i="72"/>
  <c r="AD68" i="72"/>
  <c r="AD82" i="73"/>
  <c r="AD68" i="73"/>
  <c r="AD82" i="82"/>
  <c r="AD68" i="82"/>
  <c r="AD83" i="68"/>
  <c r="AD82" i="68"/>
  <c r="AD68" i="68"/>
  <c r="AD67" i="68"/>
  <c r="AD66" i="68"/>
  <c r="AD17" i="68"/>
  <c r="AC82" i="81"/>
  <c r="AC68" i="81"/>
  <c r="AC82" i="72"/>
  <c r="AC68" i="72"/>
  <c r="AC82" i="73"/>
  <c r="AC68" i="73"/>
  <c r="AC82" i="82"/>
  <c r="AC68" i="82"/>
  <c r="AC83" i="68"/>
  <c r="AC82" i="68"/>
  <c r="AC68" i="68"/>
  <c r="AC67" i="68"/>
  <c r="AC66" i="68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1" i="81" s="1"/>
  <c r="AC7" i="73"/>
  <c r="AC41" i="73" s="1"/>
  <c r="AD7" i="68"/>
  <c r="AC7" i="82"/>
  <c r="AC41" i="68"/>
  <c r="AC7" i="72"/>
  <c r="AC41" i="72" s="1"/>
  <c r="AC41" i="82" l="1"/>
  <c r="AD7" i="81"/>
  <c r="AD41" i="81" s="1"/>
  <c r="AD7" i="73"/>
  <c r="AD41" i="73" s="1"/>
  <c r="AD41" i="68"/>
  <c r="AE7" i="68"/>
  <c r="AD7" i="82"/>
  <c r="AD7" i="72"/>
  <c r="AD41" i="72" s="1"/>
  <c r="AE7" i="81" l="1"/>
  <c r="AE41" i="81" s="1"/>
  <c r="AF7" i="68"/>
  <c r="AE7" i="82"/>
  <c r="AE41" i="68"/>
  <c r="AE7" i="73"/>
  <c r="AE7" i="72"/>
  <c r="AE41" i="72" s="1"/>
  <c r="AD41" i="82"/>
  <c r="G44" i="75"/>
  <c r="C44" i="75"/>
  <c r="G58" i="75"/>
  <c r="C58" i="75"/>
  <c r="G72" i="75"/>
  <c r="C72" i="75"/>
  <c r="AE41" i="73" l="1"/>
  <c r="AE41" i="82"/>
  <c r="AF7" i="81"/>
  <c r="AF41" i="81" s="1"/>
  <c r="AG7" i="68"/>
  <c r="AF7" i="73"/>
  <c r="AF41" i="73" s="1"/>
  <c r="AF7" i="82"/>
  <c r="AF41" i="68"/>
  <c r="AF7" i="72"/>
  <c r="AF41" i="72" s="1"/>
  <c r="G30" i="75"/>
  <c r="C30" i="75"/>
  <c r="C16" i="75"/>
  <c r="G16" i="75"/>
  <c r="AG7" i="81" l="1"/>
  <c r="AG41" i="81" s="1"/>
  <c r="AG7" i="73"/>
  <c r="AG7" i="82"/>
  <c r="AG41" i="68"/>
  <c r="AG7" i="72"/>
  <c r="AG41" i="72" s="1"/>
  <c r="AF41" i="82"/>
  <c r="D17" i="75"/>
  <c r="H92" i="75"/>
  <c r="D16" i="75"/>
  <c r="AG41" i="73" l="1"/>
  <c r="AG41" i="82"/>
  <c r="AB83" i="68" l="1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2" i="68"/>
  <c r="AA82" i="68"/>
  <c r="Z82" i="68"/>
  <c r="Y82" i="68"/>
  <c r="X82" i="68"/>
  <c r="W82" i="68"/>
  <c r="V82" i="68"/>
  <c r="U82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AB82" i="81"/>
  <c r="AA82" i="81"/>
  <c r="Z82" i="81"/>
  <c r="Y82" i="81"/>
  <c r="X82" i="81"/>
  <c r="W82" i="81"/>
  <c r="V82" i="81"/>
  <c r="U82" i="81"/>
  <c r="T82" i="81"/>
  <c r="S82" i="81"/>
  <c r="R82" i="81"/>
  <c r="Q82" i="81"/>
  <c r="P82" i="81"/>
  <c r="O82" i="81"/>
  <c r="N82" i="81"/>
  <c r="M82" i="81"/>
  <c r="L82" i="81"/>
  <c r="K82" i="81"/>
  <c r="J82" i="81"/>
  <c r="I82" i="81"/>
  <c r="AB82" i="82"/>
  <c r="AA82" i="82"/>
  <c r="Z82" i="82"/>
  <c r="Y82" i="82"/>
  <c r="X82" i="82"/>
  <c r="W82" i="82"/>
  <c r="V82" i="82"/>
  <c r="U82" i="82"/>
  <c r="T82" i="82"/>
  <c r="S82" i="82"/>
  <c r="R82" i="82"/>
  <c r="Q82" i="82"/>
  <c r="P82" i="82"/>
  <c r="O82" i="82"/>
  <c r="N82" i="82"/>
  <c r="M82" i="82"/>
  <c r="L82" i="82"/>
  <c r="K82" i="82"/>
  <c r="J82" i="82"/>
  <c r="I82" i="82"/>
  <c r="J82" i="73"/>
  <c r="K82" i="73"/>
  <c r="L82" i="73"/>
  <c r="M82" i="73"/>
  <c r="N82" i="73"/>
  <c r="O82" i="73"/>
  <c r="P82" i="73"/>
  <c r="Q82" i="73"/>
  <c r="R82" i="73"/>
  <c r="S82" i="73"/>
  <c r="T82" i="73"/>
  <c r="U82" i="73"/>
  <c r="V82" i="73"/>
  <c r="W82" i="73"/>
  <c r="X82" i="73"/>
  <c r="Y82" i="73"/>
  <c r="Z82" i="73"/>
  <c r="AA82" i="73"/>
  <c r="AB82" i="73"/>
  <c r="I82" i="73"/>
  <c r="J82" i="72"/>
  <c r="K82" i="72"/>
  <c r="L82" i="72"/>
  <c r="M82" i="72"/>
  <c r="N82" i="72"/>
  <c r="O82" i="72"/>
  <c r="P82" i="72"/>
  <c r="Q82" i="72"/>
  <c r="R82" i="72"/>
  <c r="S82" i="72"/>
  <c r="T82" i="72"/>
  <c r="U82" i="72"/>
  <c r="V82" i="72"/>
  <c r="W82" i="72"/>
  <c r="X82" i="72"/>
  <c r="Y82" i="72"/>
  <c r="Z82" i="72"/>
  <c r="AA82" i="72"/>
  <c r="AB82" i="72"/>
  <c r="I82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6" i="68"/>
  <c r="K66" i="68"/>
  <c r="L66" i="68"/>
  <c r="M66" i="68"/>
  <c r="N66" i="68"/>
  <c r="O66" i="68"/>
  <c r="P66" i="68"/>
  <c r="Q66" i="68"/>
  <c r="R66" i="68"/>
  <c r="S66" i="68"/>
  <c r="T66" i="68"/>
  <c r="U66" i="68"/>
  <c r="V66" i="68"/>
  <c r="W66" i="68"/>
  <c r="X66" i="68"/>
  <c r="Y66" i="68"/>
  <c r="Z66" i="68"/>
  <c r="AA66" i="68"/>
  <c r="AB66" i="68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I68" i="81"/>
  <c r="I68" i="72"/>
  <c r="I68" i="73"/>
  <c r="I68" i="82"/>
  <c r="I68" i="68"/>
  <c r="I67" i="68"/>
  <c r="I66" i="68"/>
  <c r="C78" i="81"/>
  <c r="C77" i="81"/>
  <c r="C76" i="81"/>
  <c r="C73" i="81"/>
  <c r="C72" i="81"/>
  <c r="C71" i="81"/>
  <c r="C68" i="81"/>
  <c r="C67" i="81"/>
  <c r="C66" i="81"/>
  <c r="C78" i="72"/>
  <c r="C77" i="72"/>
  <c r="C76" i="72"/>
  <c r="C73" i="72"/>
  <c r="C72" i="72"/>
  <c r="C71" i="72"/>
  <c r="C68" i="72"/>
  <c r="C67" i="72"/>
  <c r="C66" i="72"/>
  <c r="C78" i="73"/>
  <c r="C77" i="73"/>
  <c r="C76" i="73"/>
  <c r="C73" i="73"/>
  <c r="C72" i="73"/>
  <c r="C71" i="73"/>
  <c r="C68" i="73"/>
  <c r="C67" i="73"/>
  <c r="C66" i="73"/>
  <c r="C78" i="82"/>
  <c r="C77" i="82"/>
  <c r="C76" i="82"/>
  <c r="C73" i="82"/>
  <c r="C72" i="82"/>
  <c r="C71" i="82"/>
  <c r="C68" i="82"/>
  <c r="C67" i="82"/>
  <c r="C66" i="82"/>
  <c r="C78" i="68"/>
  <c r="C77" i="68"/>
  <c r="C76" i="68"/>
  <c r="C73" i="68"/>
  <c r="C72" i="68"/>
  <c r="C71" i="68"/>
  <c r="C68" i="68"/>
  <c r="C67" i="68"/>
  <c r="C66" i="68"/>
  <c r="I71" i="68" l="1" a="1"/>
  <c r="I71" i="68" s="1"/>
  <c r="J76" i="68" s="1"/>
  <c r="I72" i="68" a="1"/>
  <c r="I72" i="68" s="1"/>
  <c r="I79" i="68" s="1"/>
  <c r="I81" i="68" s="1"/>
  <c r="I106" i="68" s="1"/>
  <c r="I73" i="68" a="1"/>
  <c r="I73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3" i="82"/>
  <c r="A7" i="82"/>
  <c r="I6" i="82"/>
  <c r="A6" i="82"/>
  <c r="D82" i="75"/>
  <c r="C36" i="75"/>
  <c r="C22" i="75"/>
  <c r="I73" i="82" l="1" a="1"/>
  <c r="I73" i="82" s="1"/>
  <c r="D43" i="75"/>
  <c r="C63" i="72"/>
  <c r="I79" i="82" l="1"/>
  <c r="I81" i="82" s="1"/>
  <c r="I106" i="82" s="1"/>
  <c r="D44" i="75"/>
  <c r="C34" i="75" l="1"/>
  <c r="G29" i="33"/>
  <c r="H29" i="33"/>
  <c r="I29" i="33"/>
  <c r="J29" i="33"/>
  <c r="F29" i="33"/>
  <c r="A7" i="81"/>
  <c r="I6" i="81"/>
  <c r="A6" i="81"/>
  <c r="I73" i="81" l="1" a="1"/>
  <c r="I73" i="81" s="1"/>
  <c r="D72" i="75"/>
  <c r="D58" i="75"/>
  <c r="D46" i="75"/>
  <c r="D30" i="75"/>
  <c r="I79" i="81" l="1"/>
  <c r="D65" i="75"/>
  <c r="D79" i="75"/>
  <c r="D37" i="75"/>
  <c r="D47" i="75"/>
  <c r="I81" i="81" l="1"/>
  <c r="I106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3" i="73" l="1" a="1"/>
  <c r="I73" i="73" s="1"/>
  <c r="I73" i="72" a="1"/>
  <c r="I73" i="72" s="1"/>
  <c r="D49" i="75"/>
  <c r="I79" i="73" l="1"/>
  <c r="D51" i="75"/>
  <c r="D50" i="75"/>
  <c r="I81" i="73" l="1"/>
  <c r="I106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7" i="82" l="1"/>
  <c r="J41" i="82" s="1"/>
  <c r="K7" i="82"/>
  <c r="K41" i="82" s="1"/>
  <c r="L7" i="82"/>
  <c r="L41" i="82" s="1"/>
  <c r="M7" i="82"/>
  <c r="M41" i="82" s="1"/>
  <c r="N7" i="82"/>
  <c r="N41" i="82" s="1"/>
  <c r="I7" i="82"/>
  <c r="I41" i="82" s="1"/>
  <c r="L7" i="81" l="1"/>
  <c r="L41" i="81" s="1"/>
  <c r="N7" i="81"/>
  <c r="N41" i="81" s="1"/>
  <c r="M7" i="81"/>
  <c r="M41" i="81" s="1"/>
  <c r="K7" i="81"/>
  <c r="K41" i="81" s="1"/>
  <c r="I7" i="81"/>
  <c r="I41" i="81" s="1"/>
  <c r="J7" i="81"/>
  <c r="J41" i="81" s="1"/>
  <c r="N41" i="68"/>
  <c r="N7" i="73"/>
  <c r="N41" i="73" s="1"/>
  <c r="N7" i="72"/>
  <c r="N41" i="72" s="1"/>
  <c r="M41" i="68"/>
  <c r="M7" i="72"/>
  <c r="M41" i="72" s="1"/>
  <c r="M7" i="73"/>
  <c r="M41" i="73" s="1"/>
  <c r="K41" i="68"/>
  <c r="K7" i="73"/>
  <c r="K41" i="73" s="1"/>
  <c r="K7" i="72"/>
  <c r="K41" i="72" s="1"/>
  <c r="L41" i="68"/>
  <c r="L7" i="73"/>
  <c r="L41" i="73" s="1"/>
  <c r="L7" i="72"/>
  <c r="L41" i="72" s="1"/>
  <c r="I41" i="68"/>
  <c r="I7" i="73"/>
  <c r="I41" i="73" s="1"/>
  <c r="I7" i="72"/>
  <c r="I41" i="72" s="1"/>
  <c r="J41" i="68"/>
  <c r="J7" i="73"/>
  <c r="J41" i="73" s="1"/>
  <c r="J7" i="72"/>
  <c r="J41" i="72" s="1"/>
  <c r="O7" i="82"/>
  <c r="O41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J73" i="68" l="1" a="1"/>
  <c r="J73" i="68" s="1"/>
  <c r="J71" i="68" a="1"/>
  <c r="J71" i="68" s="1"/>
  <c r="K76" i="68" s="1"/>
  <c r="J72" i="68" a="1"/>
  <c r="J72" i="68" s="1"/>
  <c r="J6" i="82"/>
  <c r="K6" i="68"/>
  <c r="K6" i="75" s="1"/>
  <c r="K6" i="85" s="1"/>
  <c r="J6" i="81"/>
  <c r="J6" i="73"/>
  <c r="J6" i="72"/>
  <c r="O7" i="81"/>
  <c r="O41" i="81" s="1"/>
  <c r="O7" i="73"/>
  <c r="O41" i="73" s="1"/>
  <c r="O7" i="72"/>
  <c r="O41" i="72" s="1"/>
  <c r="P7" i="82"/>
  <c r="P41" i="82" s="1"/>
  <c r="O41" i="68"/>
  <c r="K6" i="82" l="1"/>
  <c r="K71" i="68" a="1"/>
  <c r="K71" i="68" s="1"/>
  <c r="L76" i="68" s="1"/>
  <c r="K72" i="68" a="1"/>
  <c r="K72" i="68" s="1"/>
  <c r="K73" i="68" a="1"/>
  <c r="K73" i="68" s="1"/>
  <c r="J73" i="82" a="1"/>
  <c r="J73" i="82" s="1"/>
  <c r="J73" i="73" a="1"/>
  <c r="J73" i="73" s="1"/>
  <c r="J73" i="81" a="1"/>
  <c r="J73" i="81" s="1"/>
  <c r="J73" i="72" a="1"/>
  <c r="J73" i="72" s="1"/>
  <c r="J79" i="68"/>
  <c r="J81" i="68" s="1"/>
  <c r="J106" i="68" s="1"/>
  <c r="L6" i="68"/>
  <c r="L6" i="75" s="1"/>
  <c r="L6" i="85" s="1"/>
  <c r="K6" i="81"/>
  <c r="K6" i="73"/>
  <c r="K6" i="72"/>
  <c r="P7" i="81"/>
  <c r="P41" i="81" s="1"/>
  <c r="P7" i="73"/>
  <c r="P41" i="73" s="1"/>
  <c r="P7" i="72"/>
  <c r="P41" i="72" s="1"/>
  <c r="Q7" i="82"/>
  <c r="Q41" i="82" s="1"/>
  <c r="P41" i="68"/>
  <c r="K73" i="72" l="1" a="1"/>
  <c r="K73" i="72" s="1"/>
  <c r="L71" i="68" a="1"/>
  <c r="L71" i="68" s="1"/>
  <c r="M76" i="68" s="1"/>
  <c r="L72" i="68" a="1"/>
  <c r="L72" i="68" s="1"/>
  <c r="L73" i="68" a="1"/>
  <c r="L73" i="68" s="1"/>
  <c r="K73" i="73" a="1"/>
  <c r="K73" i="73" s="1"/>
  <c r="K73" i="81" a="1"/>
  <c r="K73" i="81" s="1"/>
  <c r="K73" i="82" a="1"/>
  <c r="K73" i="82" s="1"/>
  <c r="K79" i="68"/>
  <c r="K81" i="68" s="1"/>
  <c r="K106" i="68" s="1"/>
  <c r="L6" i="82"/>
  <c r="M6" i="68"/>
  <c r="M6" i="75" s="1"/>
  <c r="M6" i="85" s="1"/>
  <c r="L6" i="81"/>
  <c r="L6" i="72"/>
  <c r="L6" i="73"/>
  <c r="Q7" i="81"/>
  <c r="Q41" i="81" s="1"/>
  <c r="Q7" i="73"/>
  <c r="Q41" i="73" s="1"/>
  <c r="Q7" i="72"/>
  <c r="Q41" i="72" s="1"/>
  <c r="R7" i="82"/>
  <c r="R41" i="82" s="1"/>
  <c r="Q41" i="68"/>
  <c r="L73" i="82" l="1" a="1"/>
  <c r="L73" i="82" s="1"/>
  <c r="M71" i="68" a="1"/>
  <c r="M71" i="68" s="1"/>
  <c r="N76" i="68" s="1"/>
  <c r="M73" i="68" a="1"/>
  <c r="M73" i="68" s="1"/>
  <c r="M72" i="68" a="1"/>
  <c r="M72" i="68" s="1"/>
  <c r="L73" i="73" a="1"/>
  <c r="L73" i="73" s="1"/>
  <c r="L73" i="72" a="1"/>
  <c r="L73" i="72" s="1"/>
  <c r="L73" i="81" a="1"/>
  <c r="L73" i="81" s="1"/>
  <c r="L79" i="68"/>
  <c r="L81" i="68" s="1"/>
  <c r="L106" i="68" s="1"/>
  <c r="M6" i="82"/>
  <c r="N6" i="68"/>
  <c r="N6" i="75" s="1"/>
  <c r="N6" i="85" s="1"/>
  <c r="M6" i="81"/>
  <c r="M6" i="72"/>
  <c r="M6" i="73"/>
  <c r="R7" i="81"/>
  <c r="R41" i="81" s="1"/>
  <c r="R7" i="73"/>
  <c r="R41" i="73" s="1"/>
  <c r="R7" i="72"/>
  <c r="R41" i="72" s="1"/>
  <c r="S7" i="82"/>
  <c r="S41" i="82" s="1"/>
  <c r="R41" i="68"/>
  <c r="M73" i="82" l="1" a="1"/>
  <c r="M73" i="82" s="1"/>
  <c r="M73" i="73" a="1"/>
  <c r="M73" i="73" s="1"/>
  <c r="M73" i="81" a="1"/>
  <c r="M73" i="81" s="1"/>
  <c r="M73" i="72" a="1"/>
  <c r="M73" i="72" s="1"/>
  <c r="N73" i="68" a="1"/>
  <c r="N73" i="68" s="1"/>
  <c r="N72" i="68" a="1"/>
  <c r="N72" i="68" s="1"/>
  <c r="N71" i="68" a="1"/>
  <c r="N71" i="68" s="1"/>
  <c r="O76" i="68" s="1"/>
  <c r="M79" i="68"/>
  <c r="M81" i="68" s="1"/>
  <c r="M106" i="68" s="1"/>
  <c r="N6" i="82"/>
  <c r="O6" i="68"/>
  <c r="O6" i="75" s="1"/>
  <c r="O6" i="85" s="1"/>
  <c r="N6" i="81"/>
  <c r="N6" i="72"/>
  <c r="N6" i="73"/>
  <c r="S7" i="81"/>
  <c r="S41" i="81" s="1"/>
  <c r="S7" i="73"/>
  <c r="S41" i="73" s="1"/>
  <c r="S7" i="72"/>
  <c r="S41" i="72" s="1"/>
  <c r="T7" i="82"/>
  <c r="T41" i="82" s="1"/>
  <c r="S41" i="68"/>
  <c r="N73" i="72" l="1" a="1"/>
  <c r="N73" i="72" s="1"/>
  <c r="N73" i="73" a="1"/>
  <c r="N73" i="73" s="1"/>
  <c r="N73" i="81" a="1"/>
  <c r="N73" i="81" s="1"/>
  <c r="O71" i="68" a="1"/>
  <c r="O71" i="68" s="1"/>
  <c r="P76" i="68" s="1"/>
  <c r="O73" i="68" a="1"/>
  <c r="O73" i="68" s="1"/>
  <c r="O72" i="68" a="1"/>
  <c r="O72" i="68" s="1"/>
  <c r="N73" i="82" a="1"/>
  <c r="N73" i="82" s="1"/>
  <c r="N79" i="68"/>
  <c r="N81" i="68" s="1"/>
  <c r="N106" i="68" s="1"/>
  <c r="O6" i="82"/>
  <c r="P6" i="68"/>
  <c r="P6" i="75" s="1"/>
  <c r="P6" i="85" s="1"/>
  <c r="O6" i="81"/>
  <c r="O6" i="72"/>
  <c r="O6" i="73"/>
  <c r="T7" i="81"/>
  <c r="T41" i="81" s="1"/>
  <c r="T7" i="73"/>
  <c r="T41" i="73" s="1"/>
  <c r="T7" i="72"/>
  <c r="T41" i="72" s="1"/>
  <c r="T41" i="68"/>
  <c r="U7" i="82"/>
  <c r="U41" i="82" s="1"/>
  <c r="O73" i="72" l="1" a="1"/>
  <c r="O73" i="72" s="1"/>
  <c r="O73" i="81" a="1"/>
  <c r="O73" i="81" s="1"/>
  <c r="O73" i="73" a="1"/>
  <c r="O73" i="73" s="1"/>
  <c r="P72" i="68" a="1"/>
  <c r="P72" i="68" s="1"/>
  <c r="P73" i="68" a="1"/>
  <c r="P73" i="68" s="1"/>
  <c r="P71" i="68" a="1"/>
  <c r="P71" i="68" s="1"/>
  <c r="Q76" i="68" s="1"/>
  <c r="O73" i="82" a="1"/>
  <c r="O73" i="82" s="1"/>
  <c r="O79" i="68"/>
  <c r="O81" i="68" s="1"/>
  <c r="O106" i="68" s="1"/>
  <c r="P6" i="82"/>
  <c r="Q6" i="68"/>
  <c r="Q6" i="75" s="1"/>
  <c r="Q6" i="85" s="1"/>
  <c r="P6" i="81"/>
  <c r="P6" i="72"/>
  <c r="P6" i="73"/>
  <c r="U7" i="81"/>
  <c r="U41" i="81" s="1"/>
  <c r="U7" i="72"/>
  <c r="U41" i="72" s="1"/>
  <c r="U7" i="73"/>
  <c r="U41" i="73" s="1"/>
  <c r="U41" i="68"/>
  <c r="V7" i="82"/>
  <c r="V41" i="82" s="1"/>
  <c r="P73" i="72" l="1" a="1"/>
  <c r="P73" i="72" s="1"/>
  <c r="P73" i="81" a="1"/>
  <c r="P73" i="81" s="1"/>
  <c r="P73" i="73" a="1"/>
  <c r="P73" i="73" s="1"/>
  <c r="P73" i="82" a="1"/>
  <c r="P73" i="82" s="1"/>
  <c r="Q71" i="68" a="1"/>
  <c r="Q71" i="68" s="1"/>
  <c r="R76" i="68" s="1"/>
  <c r="Q73" i="68" a="1"/>
  <c r="Q73" i="68" s="1"/>
  <c r="Q72" i="68" a="1"/>
  <c r="Q72" i="68" s="1"/>
  <c r="P79" i="68"/>
  <c r="P81" i="68" s="1"/>
  <c r="P106" i="68" s="1"/>
  <c r="Q6" i="82"/>
  <c r="R6" i="68"/>
  <c r="R6" i="75" s="1"/>
  <c r="R6" i="85" s="1"/>
  <c r="Q6" i="81"/>
  <c r="Q6" i="73"/>
  <c r="Q6" i="72"/>
  <c r="V7" i="81"/>
  <c r="V41" i="81" s="1"/>
  <c r="V7" i="73"/>
  <c r="V41" i="73" s="1"/>
  <c r="V7" i="72"/>
  <c r="V41" i="72" s="1"/>
  <c r="V41" i="68"/>
  <c r="W7" i="82"/>
  <c r="W41" i="82" s="1"/>
  <c r="Q73" i="72" l="1" a="1"/>
  <c r="Q73" i="72" s="1"/>
  <c r="Q73" i="73" a="1"/>
  <c r="Q73" i="73" s="1"/>
  <c r="Q73" i="82" a="1"/>
  <c r="Q73" i="82" s="1"/>
  <c r="Q73" i="81" a="1"/>
  <c r="Q73" i="81" s="1"/>
  <c r="R73" i="68" a="1"/>
  <c r="R73" i="68" s="1"/>
  <c r="R71" i="68" a="1"/>
  <c r="R71" i="68" s="1"/>
  <c r="S76" i="68" s="1"/>
  <c r="R72" i="68" a="1"/>
  <c r="R72" i="68" s="1"/>
  <c r="Q79" i="68"/>
  <c r="Q81" i="68" s="1"/>
  <c r="Q106" i="68" s="1"/>
  <c r="R6" i="82"/>
  <c r="S6" i="68"/>
  <c r="S6" i="75" s="1"/>
  <c r="S6" i="85" s="1"/>
  <c r="R6" i="81"/>
  <c r="R6" i="73"/>
  <c r="R6" i="72"/>
  <c r="W7" i="81"/>
  <c r="W41" i="81" s="1"/>
  <c r="W7" i="73"/>
  <c r="W41" i="73" s="1"/>
  <c r="W7" i="72"/>
  <c r="W41" i="72" s="1"/>
  <c r="W41" i="68"/>
  <c r="X7" i="82"/>
  <c r="X41" i="82" s="1"/>
  <c r="R73" i="82" l="1" a="1"/>
  <c r="R73" i="82" s="1"/>
  <c r="R73" i="73" a="1"/>
  <c r="R73" i="73" s="1"/>
  <c r="R73" i="81" a="1"/>
  <c r="R73" i="81" s="1"/>
  <c r="R73" i="72" a="1"/>
  <c r="R73" i="72" s="1"/>
  <c r="S71" i="68" a="1"/>
  <c r="S71" i="68" s="1"/>
  <c r="T76" i="68" s="1"/>
  <c r="S73" i="68" a="1"/>
  <c r="S73" i="68" s="1"/>
  <c r="S72" i="68" a="1"/>
  <c r="S72" i="68" s="1"/>
  <c r="R79" i="68"/>
  <c r="S6" i="82"/>
  <c r="T6" i="68"/>
  <c r="T6" i="75" s="1"/>
  <c r="T6" i="85" s="1"/>
  <c r="S6" i="81"/>
  <c r="S6" i="73"/>
  <c r="S6" i="72"/>
  <c r="X7" i="81"/>
  <c r="X41" i="81" s="1"/>
  <c r="X7" i="73"/>
  <c r="X41" i="73" s="1"/>
  <c r="X7" i="72"/>
  <c r="X41" i="72" s="1"/>
  <c r="X41" i="68"/>
  <c r="Y7" i="82"/>
  <c r="Y41" i="82" s="1"/>
  <c r="R81" i="68" l="1"/>
  <c r="R106" i="68" s="1"/>
  <c r="S73" i="82" a="1"/>
  <c r="S73" i="82" s="1"/>
  <c r="S73" i="72" a="1"/>
  <c r="S73" i="72" s="1"/>
  <c r="S73" i="73" a="1"/>
  <c r="S73" i="73" s="1"/>
  <c r="S73" i="81" a="1"/>
  <c r="S73" i="81" s="1"/>
  <c r="T72" i="68" a="1"/>
  <c r="T72" i="68" s="1"/>
  <c r="T73" i="68" a="1"/>
  <c r="T73" i="68" s="1"/>
  <c r="T71" i="68" a="1"/>
  <c r="T71" i="68" s="1"/>
  <c r="U76" i="68" s="1"/>
  <c r="S79" i="68"/>
  <c r="T6" i="82"/>
  <c r="U6" i="68"/>
  <c r="U6" i="75" s="1"/>
  <c r="U6" i="85" s="1"/>
  <c r="T6" i="81"/>
  <c r="T6" i="72"/>
  <c r="T6" i="73"/>
  <c r="Y7" i="81"/>
  <c r="Y41" i="81" s="1"/>
  <c r="Y7" i="73"/>
  <c r="Y41" i="73" s="1"/>
  <c r="Y7" i="72"/>
  <c r="Y41" i="72" s="1"/>
  <c r="Y41" i="68"/>
  <c r="Z7" i="82"/>
  <c r="Z41" i="82" s="1"/>
  <c r="S81" i="68" l="1"/>
  <c r="S106" i="68" s="1"/>
  <c r="U71" i="68" a="1"/>
  <c r="U71" i="68" s="1"/>
  <c r="V76" i="68" s="1"/>
  <c r="U73" i="68" a="1"/>
  <c r="U73" i="68" s="1"/>
  <c r="U72" i="68" a="1"/>
  <c r="U72" i="68" s="1"/>
  <c r="T73" i="73" a="1"/>
  <c r="T73" i="73" s="1"/>
  <c r="T73" i="72" a="1"/>
  <c r="T73" i="72" s="1"/>
  <c r="T73" i="81" a="1"/>
  <c r="T73" i="81" s="1"/>
  <c r="T73" i="82" a="1"/>
  <c r="T73" i="82" s="1"/>
  <c r="T79" i="68"/>
  <c r="U6" i="82"/>
  <c r="V6" i="68"/>
  <c r="V6" i="75" s="1"/>
  <c r="V6" i="85" s="1"/>
  <c r="U6" i="81"/>
  <c r="U6" i="72"/>
  <c r="U6" i="73"/>
  <c r="Z7" i="81"/>
  <c r="Z41" i="81" s="1"/>
  <c r="Z7" i="73"/>
  <c r="Z41" i="73" s="1"/>
  <c r="Z7" i="72"/>
  <c r="Z41" i="72" s="1"/>
  <c r="Z41" i="68"/>
  <c r="AA7" i="82"/>
  <c r="AA41" i="82" s="1"/>
  <c r="T81" i="68" l="1"/>
  <c r="T106" i="68" s="1"/>
  <c r="U73" i="73" a="1"/>
  <c r="U73" i="73" s="1"/>
  <c r="U73" i="72" a="1"/>
  <c r="U73" i="72" s="1"/>
  <c r="U73" i="82" a="1"/>
  <c r="U73" i="82" s="1"/>
  <c r="U73" i="81" a="1"/>
  <c r="U73" i="81" s="1"/>
  <c r="V71" i="68" a="1"/>
  <c r="V71" i="68" s="1"/>
  <c r="W76" i="68" s="1"/>
  <c r="V72" i="68" a="1"/>
  <c r="V72" i="68" s="1"/>
  <c r="V73" i="68" a="1"/>
  <c r="V73" i="68" s="1"/>
  <c r="U79" i="68"/>
  <c r="V6" i="82"/>
  <c r="W6" i="68"/>
  <c r="W6" i="75" s="1"/>
  <c r="W6" i="85" s="1"/>
  <c r="V6" i="81"/>
  <c r="V6" i="72"/>
  <c r="V6" i="73"/>
  <c r="AA7" i="81"/>
  <c r="AA41" i="81" s="1"/>
  <c r="AA7" i="73"/>
  <c r="AA41" i="73" s="1"/>
  <c r="AA7" i="72"/>
  <c r="AA41" i="72" s="1"/>
  <c r="AA41" i="68"/>
  <c r="AB7" i="82"/>
  <c r="AB41" i="82" s="1"/>
  <c r="U81" i="68" l="1"/>
  <c r="U106" i="68" s="1"/>
  <c r="V73" i="72" a="1"/>
  <c r="V73" i="72" s="1"/>
  <c r="V73" i="82" a="1"/>
  <c r="V73" i="82" s="1"/>
  <c r="V73" i="73" a="1"/>
  <c r="V73" i="73" s="1"/>
  <c r="V73" i="81" a="1"/>
  <c r="V73" i="81" s="1"/>
  <c r="W72" i="68" a="1"/>
  <c r="W72" i="68" s="1"/>
  <c r="W73" i="68" a="1"/>
  <c r="W73" i="68" s="1"/>
  <c r="W71" i="68" a="1"/>
  <c r="W71" i="68" s="1"/>
  <c r="X76" i="68" s="1"/>
  <c r="V79" i="68"/>
  <c r="V81" i="68" s="1"/>
  <c r="V106" i="68" s="1"/>
  <c r="W6" i="82"/>
  <c r="X6" i="68"/>
  <c r="X6" i="75" s="1"/>
  <c r="W6" i="81"/>
  <c r="W6" i="72"/>
  <c r="W6" i="73"/>
  <c r="AB7" i="81"/>
  <c r="AB41" i="81" s="1"/>
  <c r="AB7" i="73"/>
  <c r="AB41" i="73" s="1"/>
  <c r="AB7" i="72"/>
  <c r="AB41" i="72" s="1"/>
  <c r="AB41" i="68"/>
  <c r="X6" i="85" l="1"/>
  <c r="W73" i="82" a="1"/>
  <c r="W73" i="82" s="1"/>
  <c r="W73" i="72" a="1"/>
  <c r="W73" i="72" s="1"/>
  <c r="W73" i="81" a="1"/>
  <c r="W73" i="81" s="1"/>
  <c r="X72" i="68" a="1"/>
  <c r="X72" i="68" s="1"/>
  <c r="X71" i="68" a="1"/>
  <c r="X71" i="68" s="1"/>
  <c r="Y76" i="68" s="1"/>
  <c r="X73" i="68" a="1"/>
  <c r="X73" i="68" s="1"/>
  <c r="W73" i="73" a="1"/>
  <c r="W73" i="73" s="1"/>
  <c r="W79" i="68"/>
  <c r="W81" i="68" s="1"/>
  <c r="W106" i="68" s="1"/>
  <c r="X6" i="82"/>
  <c r="Y6" i="68"/>
  <c r="Y6" i="75" s="1"/>
  <c r="X6" i="81"/>
  <c r="X6" i="72"/>
  <c r="X6" i="73"/>
  <c r="Y6" i="85" l="1"/>
  <c r="X73" i="82" a="1"/>
  <c r="X73" i="82" s="1"/>
  <c r="X73" i="73" a="1"/>
  <c r="X73" i="73" s="1"/>
  <c r="X73" i="72" a="1"/>
  <c r="X73" i="72" s="1"/>
  <c r="Y73" i="68" a="1"/>
  <c r="Y73" i="68" s="1"/>
  <c r="Y72" i="68" a="1"/>
  <c r="Y72" i="68" s="1"/>
  <c r="Y71" i="68" a="1"/>
  <c r="Y71" i="68" s="1"/>
  <c r="Z76" i="68" s="1"/>
  <c r="X73" i="81" a="1"/>
  <c r="X73" i="81" s="1"/>
  <c r="X79" i="68"/>
  <c r="X81" i="68" s="1"/>
  <c r="X106" i="68" s="1"/>
  <c r="Y6" i="82"/>
  <c r="Z6" i="68"/>
  <c r="Z6" i="75" s="1"/>
  <c r="Y6" i="81"/>
  <c r="Y6" i="73"/>
  <c r="Y6" i="72"/>
  <c r="Z6" i="85" l="1"/>
  <c r="Y73" i="82" a="1"/>
  <c r="Y73" i="82" s="1"/>
  <c r="Y73" i="72" a="1"/>
  <c r="Y73" i="72" s="1"/>
  <c r="Y73" i="73" a="1"/>
  <c r="Y73" i="73" s="1"/>
  <c r="Y73" i="81" a="1"/>
  <c r="Y73" i="81" s="1"/>
  <c r="Z71" i="68" a="1"/>
  <c r="Z71" i="68" s="1"/>
  <c r="AA76" i="68" s="1"/>
  <c r="Z72" i="68" a="1"/>
  <c r="Z72" i="68" s="1"/>
  <c r="Z73" i="68" a="1"/>
  <c r="Z73" i="68" s="1"/>
  <c r="Y79" i="68"/>
  <c r="Y81" i="68" s="1"/>
  <c r="Y106" i="68" s="1"/>
  <c r="Z6" i="82"/>
  <c r="AA6" i="68"/>
  <c r="AA6" i="75" s="1"/>
  <c r="Z6" i="81"/>
  <c r="Z6" i="73"/>
  <c r="Z6" i="72"/>
  <c r="AA6" i="85" l="1"/>
  <c r="Z73" i="72" a="1"/>
  <c r="Z73" i="72" s="1"/>
  <c r="Z73" i="82" a="1"/>
  <c r="Z73" i="82" s="1"/>
  <c r="Z73" i="73" a="1"/>
  <c r="Z73" i="73" s="1"/>
  <c r="Z73" i="81" a="1"/>
  <c r="Z73" i="81" s="1"/>
  <c r="AA71" i="68" a="1"/>
  <c r="AA71" i="68" s="1"/>
  <c r="AB76" i="68" s="1"/>
  <c r="AA72" i="68" a="1"/>
  <c r="AA72" i="68" s="1"/>
  <c r="AA73" i="68" a="1"/>
  <c r="AA73" i="68" s="1"/>
  <c r="Z79" i="68"/>
  <c r="Z81" i="68" s="1"/>
  <c r="Z106" i="68" s="1"/>
  <c r="AA6" i="82"/>
  <c r="AB6" i="68"/>
  <c r="AB6" i="75" s="1"/>
  <c r="AA6" i="81"/>
  <c r="AA6" i="73"/>
  <c r="AA6" i="72"/>
  <c r="AB6" i="85" l="1"/>
  <c r="AA73" i="73" a="1"/>
  <c r="AA73" i="73" s="1"/>
  <c r="AA73" i="81" a="1"/>
  <c r="AA73" i="81" s="1"/>
  <c r="AC6" i="68"/>
  <c r="AB73" i="68" a="1"/>
  <c r="AB73" i="68" s="1"/>
  <c r="AB72" i="68" a="1"/>
  <c r="AB72" i="68" s="1"/>
  <c r="AB71" i="68" a="1"/>
  <c r="AB71" i="68" s="1"/>
  <c r="AC76" i="68" s="1"/>
  <c r="AA73" i="72" a="1"/>
  <c r="AA73" i="72" s="1"/>
  <c r="AA73" i="82" a="1"/>
  <c r="AA73" i="82" s="1"/>
  <c r="AA79" i="68"/>
  <c r="AA81" i="68" s="1"/>
  <c r="AA106" i="68" s="1"/>
  <c r="AB6" i="82"/>
  <c r="AB6" i="81"/>
  <c r="AB6" i="72"/>
  <c r="AB6" i="73"/>
  <c r="AC6" i="73" l="1"/>
  <c r="AC73" i="73" s="1" a="1"/>
  <c r="AC73" i="73" s="1"/>
  <c r="AC6" i="75"/>
  <c r="AC6" i="82"/>
  <c r="AC6" i="72"/>
  <c r="AB73" i="82" a="1"/>
  <c r="AB73" i="82" s="1"/>
  <c r="AC71" i="68" a="1"/>
  <c r="AC71" i="68" s="1"/>
  <c r="AD76" i="68" s="1"/>
  <c r="AC73" i="68" a="1"/>
  <c r="AC73" i="68" s="1"/>
  <c r="AC72" i="68" a="1"/>
  <c r="AC72" i="68" s="1"/>
  <c r="AC79" i="68" s="1"/>
  <c r="AC81" i="68" s="1"/>
  <c r="AC106" i="68" s="1"/>
  <c r="AC6" i="81"/>
  <c r="AB73" i="73" a="1"/>
  <c r="AB73" i="73" s="1"/>
  <c r="AD6" i="68"/>
  <c r="AD6" i="73" s="1"/>
  <c r="AB73" i="72" a="1"/>
  <c r="AB73" i="72" s="1"/>
  <c r="AB73" i="81" a="1"/>
  <c r="AB73" i="81" s="1"/>
  <c r="AB79" i="68"/>
  <c r="AB81" i="68" s="1"/>
  <c r="AB106" i="68" s="1"/>
  <c r="AC73" i="82" l="1" a="1"/>
  <c r="AC73" i="82" s="1"/>
  <c r="I9" i="85"/>
  <c r="G12" i="87" s="1"/>
  <c r="AC6" i="85"/>
  <c r="AE6" i="68"/>
  <c r="AE6" i="75" s="1"/>
  <c r="AD6" i="75"/>
  <c r="AD6" i="81"/>
  <c r="AD6" i="82"/>
  <c r="AD6" i="72"/>
  <c r="AD73" i="72" s="1" a="1"/>
  <c r="AD73" i="72" s="1"/>
  <c r="AC73" i="81" a="1"/>
  <c r="AC73" i="81" s="1"/>
  <c r="AC73" i="72" a="1"/>
  <c r="AC73" i="72" s="1"/>
  <c r="AD73" i="73" a="1"/>
  <c r="AD73" i="73" s="1"/>
  <c r="AD72" i="68" a="1"/>
  <c r="AD72" i="68" s="1"/>
  <c r="AD79" i="68" s="1"/>
  <c r="AD81" i="68" s="1"/>
  <c r="AD106" i="68" s="1"/>
  <c r="AD71" i="68" a="1"/>
  <c r="AD71" i="68" s="1"/>
  <c r="AE76" i="68" s="1"/>
  <c r="AD73" i="68" a="1"/>
  <c r="AD73" i="68" s="1"/>
  <c r="I9" i="75"/>
  <c r="I9" i="82"/>
  <c r="I9" i="81"/>
  <c r="I9" i="73"/>
  <c r="I9" i="72"/>
  <c r="J9" i="68"/>
  <c r="G31" i="87" l="1"/>
  <c r="G21" i="87" s="1"/>
  <c r="G32" i="87"/>
  <c r="G22" i="87" s="1"/>
  <c r="G34" i="87"/>
  <c r="G24" i="87" s="1"/>
  <c r="G35" i="87"/>
  <c r="G25" i="87" s="1"/>
  <c r="G33" i="87"/>
  <c r="G23" i="87" s="1"/>
  <c r="AE6" i="82"/>
  <c r="AE6" i="72"/>
  <c r="AE6" i="81"/>
  <c r="AF6" i="68"/>
  <c r="AF6" i="75" s="1"/>
  <c r="AE6" i="73"/>
  <c r="AE73" i="68" a="1"/>
  <c r="AE73" i="68" s="1"/>
  <c r="AE72" i="68" a="1"/>
  <c r="AE72" i="68" s="1"/>
  <c r="AE71" i="68" a="1"/>
  <c r="AE71" i="68" s="1"/>
  <c r="AF76" i="68" s="1"/>
  <c r="J9" i="85"/>
  <c r="H12" i="87" s="1"/>
  <c r="AE79" i="68"/>
  <c r="AE81" i="68" s="1"/>
  <c r="AE106" i="68" s="1"/>
  <c r="AF6" i="85"/>
  <c r="AE6" i="85"/>
  <c r="AD6" i="85"/>
  <c r="I5" i="85"/>
  <c r="AD73" i="82" a="1"/>
  <c r="AD73" i="82" s="1"/>
  <c r="AD73" i="81" a="1"/>
  <c r="AD73" i="81" s="1"/>
  <c r="AE73" i="82" a="1"/>
  <c r="AE73" i="82" s="1"/>
  <c r="AE73" i="81" a="1"/>
  <c r="AE73" i="81" s="1"/>
  <c r="AF72" i="68" a="1"/>
  <c r="AF72" i="68" s="1"/>
  <c r="AF71" i="68" a="1"/>
  <c r="AF71" i="68" s="1"/>
  <c r="AG76" i="68" s="1"/>
  <c r="AF73" i="68" a="1"/>
  <c r="AF73" i="68" s="1"/>
  <c r="AE73" i="72" a="1"/>
  <c r="AE73" i="72" s="1"/>
  <c r="AF6" i="73"/>
  <c r="AG6" i="68"/>
  <c r="AG6" i="75" s="1"/>
  <c r="AF6" i="81"/>
  <c r="AF6" i="82"/>
  <c r="I88" i="75"/>
  <c r="I97" i="75" s="1"/>
  <c r="J9" i="75"/>
  <c r="J9" i="82"/>
  <c r="J9" i="81"/>
  <c r="J9" i="72"/>
  <c r="J9" i="73"/>
  <c r="K9" i="68"/>
  <c r="G16" i="87" l="1"/>
  <c r="I14" i="73" s="1"/>
  <c r="I24" i="73"/>
  <c r="I15" i="73"/>
  <c r="I67" i="73" s="1"/>
  <c r="I72" i="73" s="1" a="1"/>
  <c r="I72" i="73" s="1"/>
  <c r="J77" i="73" s="1"/>
  <c r="H34" i="87"/>
  <c r="H24" i="87" s="1"/>
  <c r="AF79" i="68"/>
  <c r="AF81" i="68" s="1"/>
  <c r="AF106" i="68" s="1"/>
  <c r="I15" i="81"/>
  <c r="I67" i="81" s="1"/>
  <c r="I72" i="81" s="1" a="1"/>
  <c r="I72" i="81" s="1"/>
  <c r="J77" i="81" s="1"/>
  <c r="I24" i="81"/>
  <c r="G14" i="87"/>
  <c r="I14" i="81" s="1"/>
  <c r="I24" i="72"/>
  <c r="G15" i="87"/>
  <c r="I14" i="72" s="1"/>
  <c r="I15" i="72"/>
  <c r="I67" i="72" s="1"/>
  <c r="I72" i="72" s="1" a="1"/>
  <c r="I72" i="72" s="1"/>
  <c r="J77" i="72" s="1"/>
  <c r="G17" i="87"/>
  <c r="I14" i="82" s="1"/>
  <c r="I24" i="82"/>
  <c r="I24" i="68"/>
  <c r="G13" i="87"/>
  <c r="H31" i="87" s="1"/>
  <c r="H21" i="87" s="1"/>
  <c r="AE73" i="73" a="1"/>
  <c r="AE73" i="73" s="1"/>
  <c r="AF6" i="72"/>
  <c r="K9" i="85"/>
  <c r="I12" i="87" s="1"/>
  <c r="AG6" i="85"/>
  <c r="J5" i="85"/>
  <c r="AF73" i="82" a="1"/>
  <c r="AF73" i="82" s="1"/>
  <c r="AF73" i="72" a="1"/>
  <c r="AF73" i="72" s="1"/>
  <c r="AF73" i="81" a="1"/>
  <c r="AF73" i="81" s="1"/>
  <c r="AG73" i="68" a="1"/>
  <c r="AG73" i="68" s="1"/>
  <c r="AG72" i="68" a="1"/>
  <c r="AG72" i="68" s="1"/>
  <c r="AG79" i="68" s="1"/>
  <c r="AG81" i="68" s="1"/>
  <c r="AG106" i="68" s="1"/>
  <c r="AG71" i="68" a="1"/>
  <c r="AG71" i="68" s="1"/>
  <c r="AF73" i="73" a="1"/>
  <c r="AF73" i="73" s="1"/>
  <c r="AG6" i="73"/>
  <c r="AG6" i="81"/>
  <c r="AG6" i="72"/>
  <c r="AG6" i="82"/>
  <c r="J88" i="75"/>
  <c r="J97" i="75" s="1"/>
  <c r="K9" i="75"/>
  <c r="K9" i="82"/>
  <c r="K9" i="81"/>
  <c r="L9" i="68"/>
  <c r="K9" i="72"/>
  <c r="K9" i="73"/>
  <c r="H13" i="87" l="1"/>
  <c r="J24" i="68"/>
  <c r="I66" i="82"/>
  <c r="I71" i="82" s="1" a="1"/>
  <c r="I71" i="82" s="1"/>
  <c r="J76" i="82" s="1"/>
  <c r="I29" i="72"/>
  <c r="I31" i="72"/>
  <c r="I32" i="72"/>
  <c r="I26" i="72"/>
  <c r="I17" i="81"/>
  <c r="I66" i="81"/>
  <c r="I71" i="81" s="1" a="1"/>
  <c r="I71" i="81" s="1"/>
  <c r="J76" i="81" s="1"/>
  <c r="J79" i="81" s="1"/>
  <c r="J81" i="81" s="1"/>
  <c r="J106" i="81" s="1"/>
  <c r="H35" i="87"/>
  <c r="H25" i="87" s="1"/>
  <c r="I32" i="68"/>
  <c r="I30" i="72" a="1"/>
  <c r="I30" i="72" s="1"/>
  <c r="I30" i="81" a="1"/>
  <c r="I30" i="81" s="1"/>
  <c r="I30" i="73" a="1"/>
  <c r="I30" i="73" s="1"/>
  <c r="I26" i="68"/>
  <c r="I29" i="68"/>
  <c r="I31" i="68"/>
  <c r="I17" i="72"/>
  <c r="I66" i="72"/>
  <c r="I71" i="72" s="1" a="1"/>
  <c r="I71" i="72" s="1"/>
  <c r="J76" i="72" s="1"/>
  <c r="H16" i="87"/>
  <c r="J24" i="73"/>
  <c r="I32" i="82"/>
  <c r="I29" i="82"/>
  <c r="I26" i="82"/>
  <c r="I31" i="82"/>
  <c r="I15" i="82"/>
  <c r="I67" i="82" s="1"/>
  <c r="I72" i="82" s="1" a="1"/>
  <c r="I72" i="82" s="1"/>
  <c r="J77" i="82" s="1"/>
  <c r="H32" i="87"/>
  <c r="H22" i="87" s="1"/>
  <c r="H14" i="87" s="1"/>
  <c r="H33" i="87"/>
  <c r="H23" i="87" s="1"/>
  <c r="I31" i="73"/>
  <c r="I32" i="73"/>
  <c r="I26" i="73"/>
  <c r="I29" i="73"/>
  <c r="I31" i="81"/>
  <c r="I29" i="81"/>
  <c r="I26" i="81"/>
  <c r="I32" i="81"/>
  <c r="I17" i="73"/>
  <c r="I66" i="73"/>
  <c r="I71" i="73" s="1" a="1"/>
  <c r="I71" i="73" s="1"/>
  <c r="J76" i="73" s="1"/>
  <c r="J79" i="73" s="1"/>
  <c r="J81" i="73" s="1"/>
  <c r="J106" i="73" s="1"/>
  <c r="L9" i="85"/>
  <c r="J12" i="87" s="1"/>
  <c r="K5" i="85"/>
  <c r="AG73" i="82" a="1"/>
  <c r="AG73" i="82" s="1"/>
  <c r="AG73" i="72" a="1"/>
  <c r="AG73" i="72" s="1"/>
  <c r="AG73" i="81" a="1"/>
  <c r="AG73" i="81" s="1"/>
  <c r="AG73" i="73" a="1"/>
  <c r="AG73" i="73" s="1"/>
  <c r="K88" i="75"/>
  <c r="K97" i="75" s="1"/>
  <c r="L9" i="75"/>
  <c r="L9" i="82"/>
  <c r="L9" i="81"/>
  <c r="M9" i="68"/>
  <c r="L9" i="73"/>
  <c r="L9" i="72"/>
  <c r="H15" i="87" l="1"/>
  <c r="J24" i="72"/>
  <c r="J79" i="82"/>
  <c r="J81" i="82" s="1"/>
  <c r="J106" i="82" s="1"/>
  <c r="J29" i="73"/>
  <c r="J31" i="73"/>
  <c r="J26" i="73"/>
  <c r="J32" i="73"/>
  <c r="I17" i="82"/>
  <c r="H17" i="87"/>
  <c r="J24" i="82"/>
  <c r="J30" i="73" a="1"/>
  <c r="J30" i="73" s="1"/>
  <c r="J30" i="82" a="1"/>
  <c r="J30" i="82" s="1"/>
  <c r="J32" i="68"/>
  <c r="J29" i="68"/>
  <c r="J30" i="81" a="1"/>
  <c r="J30" i="81" s="1"/>
  <c r="J26" i="68"/>
  <c r="J31" i="68"/>
  <c r="J30" i="72" a="1"/>
  <c r="J30" i="72" s="1"/>
  <c r="M9" i="85"/>
  <c r="K12" i="87" s="1"/>
  <c r="L5" i="85"/>
  <c r="L88" i="75"/>
  <c r="L97" i="75" s="1"/>
  <c r="M9" i="75"/>
  <c r="M9" i="82"/>
  <c r="M9" i="81"/>
  <c r="N9" i="68"/>
  <c r="N9" i="85" s="1"/>
  <c r="L12" i="87" s="1"/>
  <c r="M9" i="73"/>
  <c r="M9" i="72"/>
  <c r="J32" i="72" l="1"/>
  <c r="J26" i="72"/>
  <c r="J31" i="72"/>
  <c r="J29" i="72"/>
  <c r="J31" i="82"/>
  <c r="J29" i="82"/>
  <c r="J26" i="82"/>
  <c r="J32" i="82"/>
  <c r="M5" i="85"/>
  <c r="M88" i="75"/>
  <c r="M97" i="75" s="1"/>
  <c r="N9" i="75"/>
  <c r="N9" i="82"/>
  <c r="N9" i="81"/>
  <c r="O9" i="68"/>
  <c r="O9" i="85" s="1"/>
  <c r="M12" i="87" s="1"/>
  <c r="N9" i="73"/>
  <c r="N9" i="72"/>
  <c r="N5" i="85" l="1"/>
  <c r="N88" i="75"/>
  <c r="N97" i="75" s="1"/>
  <c r="O9" i="75"/>
  <c r="O9" i="82"/>
  <c r="O9" i="81"/>
  <c r="P9" i="68"/>
  <c r="P9" i="85" s="1"/>
  <c r="N12" i="87" s="1"/>
  <c r="O9" i="73"/>
  <c r="O9" i="72"/>
  <c r="O5" i="85" l="1"/>
  <c r="O88" i="75"/>
  <c r="O97" i="75" s="1"/>
  <c r="P9" i="75"/>
  <c r="P9" i="82"/>
  <c r="P9" i="81"/>
  <c r="Q9" i="68"/>
  <c r="Q9" i="85" s="1"/>
  <c r="O12" i="87" s="1"/>
  <c r="P9" i="73"/>
  <c r="P9" i="72"/>
  <c r="P5" i="85" l="1"/>
  <c r="P88" i="75"/>
  <c r="P97" i="75" s="1"/>
  <c r="Q9" i="75"/>
  <c r="Q9" i="82"/>
  <c r="Q9" i="81"/>
  <c r="R9" i="68"/>
  <c r="R9" i="85" s="1"/>
  <c r="P12" i="87" s="1"/>
  <c r="Q9" i="73"/>
  <c r="Q9" i="72"/>
  <c r="Q5" i="85" l="1"/>
  <c r="Q88" i="75"/>
  <c r="Q97" i="75" s="1"/>
  <c r="R9" i="75"/>
  <c r="R9" i="82"/>
  <c r="R9" i="81"/>
  <c r="S9" i="68"/>
  <c r="S9" i="85" s="1"/>
  <c r="Q12" i="87" s="1"/>
  <c r="R9" i="72"/>
  <c r="R9" i="73"/>
  <c r="R5" i="85" l="1"/>
  <c r="R88" i="75"/>
  <c r="R97" i="75" s="1"/>
  <c r="S9" i="75"/>
  <c r="S9" i="82"/>
  <c r="S9" i="81"/>
  <c r="T9" i="68"/>
  <c r="T9" i="85" s="1"/>
  <c r="R12" i="87" s="1"/>
  <c r="S9" i="72"/>
  <c r="S9" i="73"/>
  <c r="S5" i="85" l="1"/>
  <c r="S88" i="75"/>
  <c r="S97" i="75" s="1"/>
  <c r="T9" i="75"/>
  <c r="T9" i="82"/>
  <c r="T9" i="81"/>
  <c r="U9" i="68"/>
  <c r="U9" i="85" s="1"/>
  <c r="S12" i="87" s="1"/>
  <c r="T9" i="73"/>
  <c r="T9" i="72"/>
  <c r="T5" i="85" l="1"/>
  <c r="T88" i="75"/>
  <c r="T97" i="75" s="1"/>
  <c r="U9" i="75"/>
  <c r="U9" i="82"/>
  <c r="U9" i="81"/>
  <c r="V9" i="68"/>
  <c r="V9" i="85" s="1"/>
  <c r="T12" i="87" s="1"/>
  <c r="U9" i="72"/>
  <c r="U9" i="73"/>
  <c r="U5" i="85" l="1"/>
  <c r="U88" i="75"/>
  <c r="U97" i="75" s="1"/>
  <c r="V9" i="75"/>
  <c r="V9" i="82"/>
  <c r="V9" i="81"/>
  <c r="W9" i="68"/>
  <c r="W9" i="85" s="1"/>
  <c r="U12" i="87" s="1"/>
  <c r="V9" i="73"/>
  <c r="V9" i="72"/>
  <c r="V5" i="85" l="1"/>
  <c r="V88" i="75"/>
  <c r="V97" i="75" s="1"/>
  <c r="W9" i="75"/>
  <c r="W9" i="82"/>
  <c r="W9" i="81"/>
  <c r="X9" i="68"/>
  <c r="X9" i="85" s="1"/>
  <c r="V12" i="87" s="1"/>
  <c r="W9" i="73"/>
  <c r="W9" i="72"/>
  <c r="W5" i="85" l="1"/>
  <c r="W88" i="75"/>
  <c r="W97" i="75" s="1"/>
  <c r="X9" i="75"/>
  <c r="X9" i="82"/>
  <c r="X9" i="81"/>
  <c r="Y9" i="68"/>
  <c r="Y9" i="85" s="1"/>
  <c r="W12" i="87" s="1"/>
  <c r="X9" i="73"/>
  <c r="X9" i="72"/>
  <c r="X5" i="85" l="1"/>
  <c r="X88" i="75"/>
  <c r="X97" i="75" s="1"/>
  <c r="Y9" i="75"/>
  <c r="Y9" i="82"/>
  <c r="Y9" i="81"/>
  <c r="Z9" i="68"/>
  <c r="Z9" i="85" s="1"/>
  <c r="X12" i="87" s="1"/>
  <c r="Y9" i="73"/>
  <c r="Y9" i="72"/>
  <c r="Y5" i="85" l="1"/>
  <c r="Y88" i="75"/>
  <c r="Y97" i="75" s="1"/>
  <c r="Z9" i="75"/>
  <c r="Z9" i="82"/>
  <c r="Z9" i="81"/>
  <c r="AA9" i="68"/>
  <c r="AA9" i="85" s="1"/>
  <c r="Y12" i="87" s="1"/>
  <c r="Z9" i="72"/>
  <c r="Z9" i="73"/>
  <c r="Z5" i="85" l="1"/>
  <c r="Z88" i="75"/>
  <c r="Z97" i="75" s="1"/>
  <c r="AA9" i="75"/>
  <c r="AA9" i="82"/>
  <c r="AA9" i="81"/>
  <c r="AB9" i="68"/>
  <c r="AB9" i="85" s="1"/>
  <c r="Z12" i="87" s="1"/>
  <c r="AA9" i="72"/>
  <c r="AA9" i="73"/>
  <c r="AA5" i="85" l="1"/>
  <c r="AC9" i="68"/>
  <c r="AC9" i="85" s="1"/>
  <c r="AA12" i="87" s="1"/>
  <c r="AA88" i="75"/>
  <c r="AA97" i="75" s="1"/>
  <c r="AB9" i="75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B12" i="87" s="1"/>
  <c r="AC9" i="81"/>
  <c r="AC9" i="82"/>
  <c r="AB88" i="75"/>
  <c r="AB97" i="75" s="1"/>
  <c r="AC5" i="85" l="1"/>
  <c r="AB5" i="85"/>
  <c r="AD9" i="82"/>
  <c r="AD9" i="72"/>
  <c r="AD9" i="75"/>
  <c r="AD9" i="73"/>
  <c r="AD9" i="81"/>
  <c r="AE9" i="68"/>
  <c r="AE9" i="85" s="1"/>
  <c r="AC12" i="87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85" l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AD12" i="87" s="1"/>
  <c r="G8" i="33"/>
  <c r="AE5" i="85" l="1"/>
  <c r="AF9" i="82"/>
  <c r="AF9" i="81"/>
  <c r="AF9" i="75"/>
  <c r="AF9" i="72"/>
  <c r="AF9" i="73"/>
  <c r="AG9" i="68"/>
  <c r="AG9" i="85" s="1"/>
  <c r="AE12" i="87" s="1"/>
  <c r="AF5" i="85" l="1"/>
  <c r="AF88" i="75"/>
  <c r="AF97" i="75" s="1"/>
  <c r="AG9" i="82"/>
  <c r="AG9" i="75"/>
  <c r="AG9" i="81"/>
  <c r="AG9" i="73"/>
  <c r="AG9" i="72"/>
  <c r="AG5" i="85" l="1"/>
  <c r="AG88" i="75"/>
  <c r="AG97" i="75" s="1"/>
  <c r="E48" i="81" l="1"/>
  <c r="E49" i="73"/>
  <c r="E48" i="72"/>
  <c r="E45" i="68"/>
  <c r="E47" i="72"/>
  <c r="E51" i="73"/>
  <c r="E51" i="68"/>
  <c r="E45" i="82"/>
  <c r="E47" i="81"/>
  <c r="E48" i="73"/>
  <c r="E50" i="72"/>
  <c r="E49" i="81"/>
  <c r="E48" i="82"/>
  <c r="E46" i="81"/>
  <c r="E46" i="72"/>
  <c r="E50" i="68"/>
  <c r="E51" i="72"/>
  <c r="E46" i="68"/>
  <c r="E49" i="72"/>
  <c r="E51" i="82"/>
  <c r="E47" i="73"/>
  <c r="E49" i="68"/>
  <c r="E47" i="68"/>
  <c r="E50" i="73"/>
  <c r="E50" i="82"/>
  <c r="E45" i="81"/>
  <c r="E46" i="73"/>
  <c r="E45" i="72"/>
  <c r="E48" i="68"/>
  <c r="E45" i="73"/>
  <c r="E50" i="81"/>
  <c r="E49" i="82"/>
  <c r="E51" i="81"/>
  <c r="E47" i="82"/>
  <c r="E46" i="82"/>
  <c r="C14" i="43" a="1"/>
  <c r="G27" i="43"/>
  <c r="H90" i="43"/>
  <c r="C17" i="62"/>
  <c r="H11" i="62"/>
  <c r="I11" i="62" s="1"/>
  <c r="I12" i="62" s="1"/>
  <c r="G33" i="82" l="1"/>
  <c r="G32" i="82"/>
  <c r="G14" i="82"/>
  <c r="G30" i="73"/>
  <c r="G54" i="72"/>
  <c r="G19" i="72"/>
  <c r="G32" i="81"/>
  <c r="G15" i="81"/>
  <c r="G17" i="73"/>
  <c r="G54" i="82"/>
  <c r="G54" i="81"/>
  <c r="G32" i="73"/>
  <c r="G53" i="81"/>
  <c r="G31" i="73"/>
  <c r="G33" i="81"/>
  <c r="G31" i="82"/>
  <c r="G27" i="82"/>
  <c r="G29" i="73"/>
  <c r="G53" i="72"/>
  <c r="G17" i="72"/>
  <c r="G31" i="81"/>
  <c r="G14" i="81"/>
  <c r="G53" i="73"/>
  <c r="G14" i="72"/>
  <c r="G33" i="73"/>
  <c r="G19" i="81"/>
  <c r="G15" i="73"/>
  <c r="G15" i="82"/>
  <c r="G16" i="81"/>
  <c r="G30" i="82"/>
  <c r="G56" i="73"/>
  <c r="G27" i="73"/>
  <c r="G27" i="72"/>
  <c r="G16" i="72"/>
  <c r="G30" i="81"/>
  <c r="G54" i="68"/>
  <c r="G32" i="72"/>
  <c r="G17" i="82"/>
  <c r="G31" i="72"/>
  <c r="G16" i="82"/>
  <c r="G17" i="81"/>
  <c r="G29" i="72"/>
  <c r="G29" i="82"/>
  <c r="G54" i="73"/>
  <c r="G19" i="73"/>
  <c r="G33" i="72"/>
  <c r="G15" i="72"/>
  <c r="G29" i="81"/>
  <c r="G53" i="68"/>
  <c r="G19" i="82"/>
  <c r="G27" i="81"/>
  <c r="G16" i="73"/>
  <c r="G53" i="82"/>
  <c r="G30" i="72"/>
  <c r="G14" i="73"/>
  <c r="C22" i="62"/>
  <c r="G33" i="68"/>
  <c r="G16" i="68"/>
  <c r="G32" i="68"/>
  <c r="G17" i="68"/>
  <c r="G14" i="68"/>
  <c r="G31" i="68"/>
  <c r="G30" i="68"/>
  <c r="G29" i="68"/>
  <c r="G27" i="68"/>
  <c r="G15" i="68"/>
  <c r="G19" i="68"/>
  <c r="H12" i="62"/>
  <c r="H13" i="62" s="1"/>
  <c r="G56" i="82"/>
  <c r="G56" i="68"/>
  <c r="G56" i="72"/>
  <c r="G56" i="81"/>
  <c r="G77" i="73"/>
  <c r="G76" i="81"/>
  <c r="G77" i="72"/>
  <c r="G76" i="72"/>
  <c r="G78" i="72"/>
  <c r="G76" i="73"/>
  <c r="G79" i="81"/>
  <c r="G78" i="81"/>
  <c r="G78" i="73"/>
  <c r="G77" i="81"/>
  <c r="H52" i="43"/>
  <c r="H78" i="43"/>
  <c r="H79" i="43"/>
  <c r="G79" i="68"/>
  <c r="G73" i="81"/>
  <c r="G72" i="82"/>
  <c r="G68" i="72"/>
  <c r="G67" i="68"/>
  <c r="G73" i="72"/>
  <c r="G68" i="73"/>
  <c r="G77" i="68"/>
  <c r="G71" i="81"/>
  <c r="G78" i="82"/>
  <c r="G73" i="68"/>
  <c r="G71" i="73"/>
  <c r="G67" i="81"/>
  <c r="G66" i="82"/>
  <c r="G79" i="72"/>
  <c r="G78" i="68"/>
  <c r="G72" i="81"/>
  <c r="G71" i="82"/>
  <c r="G67" i="72"/>
  <c r="G66" i="68"/>
  <c r="G79" i="82"/>
  <c r="G76" i="68"/>
  <c r="G72" i="73"/>
  <c r="G68" i="81"/>
  <c r="G67" i="82"/>
  <c r="G77" i="82"/>
  <c r="G72" i="68"/>
  <c r="G66" i="81"/>
  <c r="G73" i="73"/>
  <c r="G68" i="68"/>
  <c r="G67" i="73"/>
  <c r="G76" i="82"/>
  <c r="G73" i="82"/>
  <c r="G66" i="73"/>
  <c r="G71" i="72"/>
  <c r="G79" i="73"/>
  <c r="G72" i="72"/>
  <c r="G68" i="82"/>
  <c r="G66" i="72"/>
  <c r="G71" i="68"/>
  <c r="G84" i="82"/>
  <c r="G82" i="82"/>
  <c r="G81" i="82"/>
  <c r="G63" i="82"/>
  <c r="G83" i="82"/>
  <c r="G86" i="82"/>
  <c r="G82" i="73"/>
  <c r="G81" i="72"/>
  <c r="G81" i="73"/>
  <c r="G86" i="72"/>
  <c r="G86" i="73"/>
  <c r="G84" i="68"/>
  <c r="G84" i="73"/>
  <c r="G82" i="68"/>
  <c r="G84" i="72"/>
  <c r="G83" i="68"/>
  <c r="G83" i="72"/>
  <c r="G63" i="72"/>
  <c r="G83" i="73"/>
  <c r="G82" i="72"/>
  <c r="G81" i="68"/>
  <c r="G86" i="68"/>
  <c r="G63" i="81"/>
  <c r="G82" i="81"/>
  <c r="G86" i="81"/>
  <c r="G84" i="81"/>
  <c r="G81" i="81"/>
  <c r="G83" i="81"/>
  <c r="E44" i="82"/>
  <c r="E44" i="73"/>
  <c r="E44" i="81"/>
  <c r="E44" i="68"/>
  <c r="E44" i="72"/>
  <c r="G63" i="73"/>
  <c r="G63" i="68"/>
  <c r="C14" i="43"/>
  <c r="C3" i="73" l="1"/>
  <c r="C3" i="82"/>
  <c r="C3" i="81"/>
  <c r="C3" i="72"/>
  <c r="Z56" i="73" a="1"/>
  <c r="Z56" i="73" s="1"/>
  <c r="K56" i="73" a="1"/>
  <c r="K56" i="73" s="1"/>
  <c r="Y56" i="73" a="1"/>
  <c r="Y56" i="73" s="1"/>
  <c r="W56" i="73" a="1"/>
  <c r="W56" i="73" s="1"/>
  <c r="J56" i="73" a="1"/>
  <c r="J56" i="73" s="1"/>
  <c r="S56" i="73" a="1"/>
  <c r="S56" i="73" s="1"/>
  <c r="I56" i="73" a="1"/>
  <c r="I56" i="73" s="1"/>
  <c r="AG56" i="73" a="1"/>
  <c r="AG56" i="73" s="1"/>
  <c r="AE56" i="73" a="1"/>
  <c r="AE56" i="73" s="1"/>
  <c r="AA56" i="73" a="1"/>
  <c r="AA56" i="73" s="1"/>
  <c r="Q56" i="73" a="1"/>
  <c r="Q56" i="73" s="1"/>
  <c r="R56" i="73" a="1"/>
  <c r="R56" i="73" s="1"/>
  <c r="O56" i="73" a="1"/>
  <c r="O56" i="73" s="1"/>
  <c r="AC56" i="73" a="1"/>
  <c r="AC56" i="73" s="1"/>
  <c r="AD56" i="73" a="1"/>
  <c r="AD56" i="73" s="1"/>
  <c r="AF56" i="73" a="1"/>
  <c r="AF56" i="73" s="1"/>
  <c r="L56" i="73" a="1"/>
  <c r="L56" i="73" s="1"/>
  <c r="M56" i="73" a="1"/>
  <c r="M56" i="73" s="1"/>
  <c r="N56" i="73" a="1"/>
  <c r="N56" i="73" s="1"/>
  <c r="P56" i="73" a="1"/>
  <c r="P56" i="73" s="1"/>
  <c r="T56" i="73" a="1"/>
  <c r="T56" i="73" s="1"/>
  <c r="U56" i="73" a="1"/>
  <c r="U56" i="73" s="1"/>
  <c r="V56" i="73" a="1"/>
  <c r="V56" i="73" s="1"/>
  <c r="X56" i="73" a="1"/>
  <c r="X56" i="73" s="1"/>
  <c r="AB56" i="73" a="1"/>
  <c r="AB56" i="73" s="1"/>
  <c r="W56" i="81" a="1"/>
  <c r="W56" i="81" s="1"/>
  <c r="S56" i="81" a="1"/>
  <c r="S56" i="81" s="1"/>
  <c r="Q56" i="81" a="1"/>
  <c r="Q56" i="81" s="1"/>
  <c r="O56" i="81" a="1"/>
  <c r="O56" i="81" s="1"/>
  <c r="AG56" i="81" a="1"/>
  <c r="AG56" i="81" s="1"/>
  <c r="K56" i="81" a="1"/>
  <c r="K56" i="81" s="1"/>
  <c r="AE56" i="81" a="1"/>
  <c r="AE56" i="81" s="1"/>
  <c r="I56" i="81" a="1"/>
  <c r="I56" i="81" s="1"/>
  <c r="AA56" i="81" a="1"/>
  <c r="AA56" i="81" s="1"/>
  <c r="Y56" i="81" a="1"/>
  <c r="Y56" i="81" s="1"/>
  <c r="AC56" i="81" a="1"/>
  <c r="AC56" i="81" s="1"/>
  <c r="AD56" i="81" a="1"/>
  <c r="AD56" i="81" s="1"/>
  <c r="AF56" i="81" a="1"/>
  <c r="AF56" i="81" s="1"/>
  <c r="M56" i="81" a="1"/>
  <c r="M56" i="81" s="1"/>
  <c r="L56" i="81" a="1"/>
  <c r="L56" i="81" s="1"/>
  <c r="N56" i="81" a="1"/>
  <c r="N56" i="81" s="1"/>
  <c r="J56" i="81" a="1"/>
  <c r="J56" i="81" s="1"/>
  <c r="P56" i="81" a="1"/>
  <c r="P56" i="81" s="1"/>
  <c r="R56" i="81" a="1"/>
  <c r="R56" i="81" s="1"/>
  <c r="T56" i="81" a="1"/>
  <c r="T56" i="81" s="1"/>
  <c r="U56" i="81" a="1"/>
  <c r="U56" i="81" s="1"/>
  <c r="V56" i="81" a="1"/>
  <c r="V56" i="81" s="1"/>
  <c r="X56" i="81" a="1"/>
  <c r="X56" i="81" s="1"/>
  <c r="Z56" i="81" a="1"/>
  <c r="Z56" i="81" s="1"/>
  <c r="AB56" i="81" a="1"/>
  <c r="AB56" i="81" s="1"/>
  <c r="W56" i="82" a="1"/>
  <c r="W56" i="82" s="1"/>
  <c r="Q56" i="82" a="1"/>
  <c r="Q56" i="82" s="1"/>
  <c r="O56" i="82" a="1"/>
  <c r="O56" i="82" s="1"/>
  <c r="I56" i="82" a="1"/>
  <c r="I56" i="82" s="1"/>
  <c r="I84" i="82" s="1"/>
  <c r="AG56" i="82" a="1"/>
  <c r="AG56" i="82" s="1"/>
  <c r="AG84" i="82" s="1"/>
  <c r="AE56" i="82" a="1"/>
  <c r="AE56" i="82" s="1"/>
  <c r="AE84" i="82" s="1"/>
  <c r="Y56" i="82" a="1"/>
  <c r="Y56" i="82" s="1"/>
  <c r="AC56" i="82" a="1"/>
  <c r="AC56" i="82" s="1"/>
  <c r="AC84" i="82" s="1"/>
  <c r="AD56" i="82" a="1"/>
  <c r="AD56" i="82" s="1"/>
  <c r="AD84" i="82" s="1"/>
  <c r="AF56" i="82" a="1"/>
  <c r="AF56" i="82" s="1"/>
  <c r="AF84" i="82" s="1"/>
  <c r="K56" i="82" a="1"/>
  <c r="K56" i="82" s="1"/>
  <c r="N56" i="82" a="1"/>
  <c r="N56" i="82" s="1"/>
  <c r="L56" i="82" a="1"/>
  <c r="L56" i="82" s="1"/>
  <c r="J56" i="82" a="1"/>
  <c r="J56" i="82" s="1"/>
  <c r="M56" i="82" a="1"/>
  <c r="M56" i="82" s="1"/>
  <c r="P56" i="82" a="1"/>
  <c r="P56" i="82" s="1"/>
  <c r="R56" i="82" a="1"/>
  <c r="R56" i="82" s="1"/>
  <c r="S56" i="82" a="1"/>
  <c r="S56" i="82" s="1"/>
  <c r="T56" i="82" a="1"/>
  <c r="T56" i="82" s="1"/>
  <c r="U56" i="82" a="1"/>
  <c r="U56" i="82" s="1"/>
  <c r="V56" i="82" a="1"/>
  <c r="V56" i="82" s="1"/>
  <c r="X56" i="82" a="1"/>
  <c r="X56" i="82" s="1"/>
  <c r="Z56" i="82" a="1"/>
  <c r="Z56" i="82" s="1"/>
  <c r="AA56" i="82" a="1"/>
  <c r="AA56" i="82" s="1"/>
  <c r="AB56" i="82" a="1"/>
  <c r="AB56" i="82" s="1"/>
  <c r="AC56" i="72" a="1"/>
  <c r="AC56" i="72" s="1"/>
  <c r="AD56" i="72" a="1"/>
  <c r="AD56" i="72" s="1"/>
  <c r="AE56" i="72" a="1"/>
  <c r="AE56" i="72" s="1"/>
  <c r="AF56" i="72" a="1"/>
  <c r="AF56" i="72" s="1"/>
  <c r="AG56" i="72" a="1"/>
  <c r="AG56" i="72" s="1"/>
  <c r="AC56" i="68" a="1"/>
  <c r="AC56" i="68" s="1"/>
  <c r="AC84" i="68" s="1"/>
  <c r="AC107" i="68" s="1"/>
  <c r="AD56" i="68" a="1"/>
  <c r="AD56" i="68" s="1"/>
  <c r="AD84" i="68" s="1"/>
  <c r="AD107" i="68" s="1"/>
  <c r="AE56" i="68" a="1"/>
  <c r="AE56" i="68" s="1"/>
  <c r="AE84" i="68" s="1"/>
  <c r="AE107" i="68" s="1"/>
  <c r="AF56" i="68" a="1"/>
  <c r="AF56" i="68" s="1"/>
  <c r="AF84" i="68" s="1"/>
  <c r="AF107" i="68" s="1"/>
  <c r="AG56" i="68" a="1"/>
  <c r="AG56" i="68" s="1"/>
  <c r="AG84" i="68" s="1"/>
  <c r="AG107" i="68" s="1"/>
  <c r="X56" i="72" a="1"/>
  <c r="X56" i="72" s="1"/>
  <c r="S56" i="72" a="1"/>
  <c r="S56" i="72" s="1"/>
  <c r="J56" i="72" a="1"/>
  <c r="J56" i="72" s="1"/>
  <c r="R56" i="72" a="1"/>
  <c r="R56" i="72" s="1"/>
  <c r="P56" i="72" a="1"/>
  <c r="P56" i="72" s="1"/>
  <c r="O56" i="72" a="1"/>
  <c r="O56" i="72" s="1"/>
  <c r="Z56" i="72" a="1"/>
  <c r="Z56" i="72" s="1"/>
  <c r="L56" i="72" a="1"/>
  <c r="L56" i="72" s="1"/>
  <c r="K56" i="72" a="1"/>
  <c r="K56" i="72" s="1"/>
  <c r="N56" i="72" a="1"/>
  <c r="N56" i="72" s="1"/>
  <c r="I56" i="72" a="1"/>
  <c r="I56" i="72" s="1"/>
  <c r="M56" i="72" a="1"/>
  <c r="M56" i="72" s="1"/>
  <c r="Q56" i="72" a="1"/>
  <c r="Q56" i="72" s="1"/>
  <c r="T56" i="72" a="1"/>
  <c r="T56" i="72" s="1"/>
  <c r="U56" i="72" a="1"/>
  <c r="U56" i="72" s="1"/>
  <c r="V56" i="72" a="1"/>
  <c r="V56" i="72" s="1"/>
  <c r="W56" i="72" a="1"/>
  <c r="W56" i="72" s="1"/>
  <c r="Y56" i="72" a="1"/>
  <c r="Y56" i="72" s="1"/>
  <c r="AA56" i="72" a="1"/>
  <c r="AA56" i="72" s="1"/>
  <c r="AB56" i="72" a="1"/>
  <c r="AB56" i="72" s="1"/>
  <c r="D13" i="33"/>
  <c r="Q56" i="68" a="1"/>
  <c r="Q56" i="68" s="1"/>
  <c r="Q84" i="68" s="1"/>
  <c r="Q107" i="68" s="1"/>
  <c r="W56" i="68" a="1"/>
  <c r="W56" i="68" s="1"/>
  <c r="W84" i="68" s="1"/>
  <c r="W107" i="68" s="1"/>
  <c r="U56" i="68" a="1"/>
  <c r="U56" i="68" s="1"/>
  <c r="U84" i="68" s="1"/>
  <c r="U107" i="68" s="1"/>
  <c r="P56" i="68" a="1"/>
  <c r="P56" i="68" s="1"/>
  <c r="P84" i="68" s="1"/>
  <c r="P107" i="68" s="1"/>
  <c r="X56" i="68" a="1"/>
  <c r="X56" i="68" s="1"/>
  <c r="X84" i="68" s="1"/>
  <c r="X107" i="68" s="1"/>
  <c r="AB56" i="68" a="1"/>
  <c r="AB56" i="68" s="1"/>
  <c r="AB84" i="68" s="1"/>
  <c r="AB107" i="68" s="1"/>
  <c r="I56" i="68" a="1"/>
  <c r="I56" i="68" s="1"/>
  <c r="I84" i="68" s="1"/>
  <c r="I107" i="68" s="1"/>
  <c r="O56" i="68" a="1"/>
  <c r="O56" i="68" s="1"/>
  <c r="O84" i="68" s="1"/>
  <c r="O107" i="68" s="1"/>
  <c r="Y56" i="68" a="1"/>
  <c r="Y56" i="68" s="1"/>
  <c r="Y84" i="68" s="1"/>
  <c r="Y107" i="68" s="1"/>
  <c r="N56" i="68" a="1"/>
  <c r="N56" i="68" s="1"/>
  <c r="N84" i="68" s="1"/>
  <c r="N107" i="68" s="1"/>
  <c r="T56" i="68" a="1"/>
  <c r="T56" i="68" s="1"/>
  <c r="T84" i="68" s="1"/>
  <c r="T107" i="68" s="1"/>
  <c r="Z56" i="68" a="1"/>
  <c r="Z56" i="68" s="1"/>
  <c r="Z84" i="68" s="1"/>
  <c r="Z107" i="68" s="1"/>
  <c r="M56" i="68" a="1"/>
  <c r="M56" i="68" s="1"/>
  <c r="M84" i="68" s="1"/>
  <c r="M107" i="68" s="1"/>
  <c r="R56" i="68" a="1"/>
  <c r="R56" i="68" s="1"/>
  <c r="R84" i="68" s="1"/>
  <c r="R107" i="68" s="1"/>
  <c r="AA56" i="68" a="1"/>
  <c r="AA56" i="68" s="1"/>
  <c r="AA84" i="68" s="1"/>
  <c r="AA107" i="68" s="1"/>
  <c r="L56" i="68" a="1"/>
  <c r="L56" i="68" s="1"/>
  <c r="L84" i="68" s="1"/>
  <c r="L107" i="68" s="1"/>
  <c r="K56" i="68" a="1"/>
  <c r="K56" i="68" s="1"/>
  <c r="K84" i="68" s="1"/>
  <c r="K107" i="68" s="1"/>
  <c r="S56" i="68" a="1"/>
  <c r="S56" i="68" s="1"/>
  <c r="S84" i="68" s="1"/>
  <c r="S107" i="68" s="1"/>
  <c r="J56" i="68" a="1"/>
  <c r="J56" i="68" s="1"/>
  <c r="J84" i="68" s="1"/>
  <c r="J107" i="68" s="1"/>
  <c r="V56" i="68" a="1"/>
  <c r="V56" i="68" s="1"/>
  <c r="V84" i="68" s="1"/>
  <c r="V107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4" i="72" l="1"/>
  <c r="Z84" i="72"/>
  <c r="AC84" i="72"/>
  <c r="T84" i="72"/>
  <c r="O84" i="72"/>
  <c r="Q84" i="72"/>
  <c r="P84" i="72"/>
  <c r="AB84" i="72"/>
  <c r="M84" i="72"/>
  <c r="R84" i="72"/>
  <c r="AE84" i="73"/>
  <c r="AA84" i="72"/>
  <c r="I84" i="72"/>
  <c r="J84" i="72"/>
  <c r="AG84" i="72"/>
  <c r="AF84" i="73"/>
  <c r="AG84" i="73"/>
  <c r="Y84" i="72"/>
  <c r="N84" i="72"/>
  <c r="S84" i="72"/>
  <c r="AF84" i="72"/>
  <c r="AD84" i="73"/>
  <c r="I84" i="73"/>
  <c r="W84" i="72"/>
  <c r="K84" i="72"/>
  <c r="X84" i="72"/>
  <c r="AE84" i="72"/>
  <c r="AC84" i="73"/>
  <c r="V84" i="72"/>
  <c r="L84" i="72"/>
  <c r="AD84" i="72"/>
  <c r="AE84" i="81"/>
  <c r="AC84" i="81"/>
  <c r="AF84" i="81"/>
  <c r="AG84" i="81"/>
  <c r="AD84" i="81"/>
  <c r="I79" i="72"/>
  <c r="AG86" i="68"/>
  <c r="AG105" i="68" s="1"/>
  <c r="AF86" i="68"/>
  <c r="AF105" i="68" s="1"/>
  <c r="AE86" i="68"/>
  <c r="AE105" i="68" s="1"/>
  <c r="AD86" i="68"/>
  <c r="AD105" i="68" s="1"/>
  <c r="AC86" i="68"/>
  <c r="AC105" i="68" s="1"/>
  <c r="AA84" i="81"/>
  <c r="T84" i="73"/>
  <c r="S84" i="81"/>
  <c r="Y84" i="81"/>
  <c r="W84" i="73"/>
  <c r="Q84" i="73"/>
  <c r="O84" i="73"/>
  <c r="O84" i="82"/>
  <c r="O84" i="81"/>
  <c r="R84" i="81"/>
  <c r="V84" i="73"/>
  <c r="X84" i="73"/>
  <c r="T84" i="82"/>
  <c r="V84" i="82"/>
  <c r="M84" i="81"/>
  <c r="J84" i="81"/>
  <c r="T84" i="81"/>
  <c r="AA84" i="73"/>
  <c r="P84" i="73"/>
  <c r="Q84" i="82"/>
  <c r="J84" i="82"/>
  <c r="K84" i="82"/>
  <c r="J84" i="73"/>
  <c r="V84" i="81"/>
  <c r="K84" i="81"/>
  <c r="I84" i="81"/>
  <c r="U84" i="73"/>
  <c r="U84" i="82"/>
  <c r="AA84" i="82"/>
  <c r="R84" i="82"/>
  <c r="AB84" i="81"/>
  <c r="Z84" i="81"/>
  <c r="W84" i="81"/>
  <c r="N84" i="73"/>
  <c r="Z84" i="73"/>
  <c r="AB84" i="82"/>
  <c r="W84" i="82"/>
  <c r="P84" i="82"/>
  <c r="N84" i="81"/>
  <c r="Q84" i="81"/>
  <c r="L84" i="81"/>
  <c r="X84" i="81"/>
  <c r="M84" i="73"/>
  <c r="K84" i="73"/>
  <c r="Y84" i="82"/>
  <c r="Z84" i="82"/>
  <c r="M84" i="82"/>
  <c r="N84" i="82"/>
  <c r="S84" i="73"/>
  <c r="R84" i="73"/>
  <c r="S84" i="82"/>
  <c r="U84" i="81"/>
  <c r="P84" i="81"/>
  <c r="AB84" i="73"/>
  <c r="L84" i="73"/>
  <c r="Y84" i="73"/>
  <c r="X84" i="82"/>
  <c r="L84" i="82"/>
  <c r="AG116" i="68" l="1" a="1"/>
  <c r="AG116" i="68" s="1"/>
  <c r="AG115" i="68" a="1"/>
  <c r="AG115" i="68" s="1"/>
  <c r="AG114" i="68" a="1"/>
  <c r="AG114" i="68" s="1"/>
  <c r="AG112" i="68" a="1"/>
  <c r="AG112" i="68" s="1"/>
  <c r="AG109" i="68" a="1"/>
  <c r="AG109" i="68" s="1"/>
  <c r="AG110" i="68" a="1"/>
  <c r="AG110" i="68" s="1"/>
  <c r="AG111" i="68" a="1"/>
  <c r="AG111" i="68" s="1"/>
  <c r="AG113" i="68" a="1"/>
  <c r="AG113" i="68" s="1"/>
  <c r="AF116" i="68" a="1"/>
  <c r="AF116" i="68" s="1"/>
  <c r="AF112" i="68" a="1"/>
  <c r="AF112" i="68" s="1"/>
  <c r="AF115" i="68" a="1"/>
  <c r="AF115" i="68" s="1"/>
  <c r="AF114" i="68" a="1"/>
  <c r="AF114" i="68" s="1"/>
  <c r="AF113" i="68" a="1"/>
  <c r="AF113" i="68" s="1"/>
  <c r="AF111" i="68" a="1"/>
  <c r="AF111" i="68" s="1"/>
  <c r="AF110" i="68" a="1"/>
  <c r="AF110" i="68" s="1"/>
  <c r="AF109" i="68" a="1"/>
  <c r="AF109" i="68" s="1"/>
  <c r="AE112" i="68" a="1"/>
  <c r="AE112" i="68" s="1"/>
  <c r="AE116" i="68" a="1"/>
  <c r="AE116" i="68" s="1"/>
  <c r="AE115" i="68" a="1"/>
  <c r="AE115" i="68" s="1"/>
  <c r="AE114" i="68" a="1"/>
  <c r="AE114" i="68" s="1"/>
  <c r="AE113" i="68" a="1"/>
  <c r="AE113" i="68" s="1"/>
  <c r="AE110" i="68" a="1"/>
  <c r="AE110" i="68" s="1"/>
  <c r="AE111" i="68" a="1"/>
  <c r="AE111" i="68" s="1"/>
  <c r="AE109" i="68" a="1"/>
  <c r="AE109" i="68" s="1"/>
  <c r="AC111" i="68" a="1"/>
  <c r="AC111" i="68" s="1"/>
  <c r="AC114" i="68" a="1"/>
  <c r="AC114" i="68" s="1"/>
  <c r="AC115" i="68" a="1"/>
  <c r="AC115" i="68" s="1"/>
  <c r="AC112" i="68" a="1"/>
  <c r="AC112" i="68" s="1"/>
  <c r="AC116" i="68" a="1"/>
  <c r="AC116" i="68" s="1"/>
  <c r="AC110" i="68" a="1"/>
  <c r="AC110" i="68" s="1"/>
  <c r="AC113" i="68" a="1"/>
  <c r="AC113" i="68" s="1"/>
  <c r="AC109" i="68" a="1"/>
  <c r="AC109" i="68" s="1"/>
  <c r="AD111" i="68" a="1"/>
  <c r="AD111" i="68" s="1"/>
  <c r="AD114" i="68" a="1"/>
  <c r="AD114" i="68" s="1"/>
  <c r="AD109" i="68" a="1"/>
  <c r="AD109" i="68" s="1"/>
  <c r="AD112" i="68" a="1"/>
  <c r="AD112" i="68" s="1"/>
  <c r="AD115" i="68" a="1"/>
  <c r="AD115" i="68" s="1"/>
  <c r="AD116" i="68" a="1"/>
  <c r="AD116" i="68" s="1"/>
  <c r="AD113" i="68" a="1"/>
  <c r="AD113" i="68" s="1"/>
  <c r="AD110" i="68" a="1"/>
  <c r="AD110" i="68" s="1"/>
  <c r="I81" i="72"/>
  <c r="I106" i="72" s="1"/>
  <c r="J79" i="72"/>
  <c r="X86" i="68"/>
  <c r="X105" i="68" s="1"/>
  <c r="M86" i="68"/>
  <c r="M105" i="68" s="1"/>
  <c r="K86" i="68"/>
  <c r="K105" i="68" s="1"/>
  <c r="U86" i="68"/>
  <c r="U105" i="68" s="1"/>
  <c r="Q86" i="68"/>
  <c r="Q105" i="68" s="1"/>
  <c r="Z86" i="68"/>
  <c r="Z105" i="68" s="1"/>
  <c r="Y86" i="68"/>
  <c r="Y105" i="68" s="1"/>
  <c r="N86" i="68"/>
  <c r="N105" i="68" s="1"/>
  <c r="AA86" i="68"/>
  <c r="AA105" i="68" s="1"/>
  <c r="V86" i="68"/>
  <c r="V105" i="68" s="1"/>
  <c r="P86" i="68"/>
  <c r="P105" i="68" s="1"/>
  <c r="L86" i="68"/>
  <c r="L105" i="68" s="1"/>
  <c r="O86" i="68"/>
  <c r="O105" i="68" s="1"/>
  <c r="R86" i="68"/>
  <c r="R105" i="68" s="1"/>
  <c r="S86" i="68"/>
  <c r="S105" i="68" s="1"/>
  <c r="T86" i="68"/>
  <c r="T105" i="68" s="1"/>
  <c r="W86" i="68"/>
  <c r="W105" i="68" s="1"/>
  <c r="AB86" i="68"/>
  <c r="AB105" i="68" s="1"/>
  <c r="C16" i="62"/>
  <c r="P116" i="68" l="1" a="1"/>
  <c r="P116" i="68" s="1"/>
  <c r="P110" i="68" a="1"/>
  <c r="P110" i="68" s="1"/>
  <c r="P111" i="68" a="1"/>
  <c r="P111" i="68" s="1"/>
  <c r="P113" i="68" a="1"/>
  <c r="P113" i="68" s="1"/>
  <c r="P115" i="68" a="1"/>
  <c r="P115" i="68" s="1"/>
  <c r="P109" i="68" a="1"/>
  <c r="P109" i="68" s="1"/>
  <c r="P112" i="68" a="1"/>
  <c r="P112" i="68" s="1"/>
  <c r="P114" i="68" a="1"/>
  <c r="P114" i="68" s="1"/>
  <c r="AA111" i="68" a="1"/>
  <c r="AA111" i="68" s="1"/>
  <c r="AA113" i="68" a="1"/>
  <c r="AA113" i="68" s="1"/>
  <c r="AA109" i="68" a="1"/>
  <c r="AA109" i="68" s="1"/>
  <c r="AA112" i="68" a="1"/>
  <c r="AA112" i="68" s="1"/>
  <c r="AA110" i="68" a="1"/>
  <c r="AA110" i="68" s="1"/>
  <c r="AA114" i="68" a="1"/>
  <c r="AA114" i="68" s="1"/>
  <c r="AA116" i="68" a="1"/>
  <c r="AA116" i="68" s="1"/>
  <c r="AA115" i="68" a="1"/>
  <c r="AA115" i="68" s="1"/>
  <c r="W115" i="68" a="1"/>
  <c r="W115" i="68" s="1"/>
  <c r="W112" i="68" a="1"/>
  <c r="W112" i="68" s="1"/>
  <c r="W109" i="68" a="1"/>
  <c r="W109" i="68" s="1"/>
  <c r="W116" i="68" a="1"/>
  <c r="W116" i="68" s="1"/>
  <c r="W110" i="68" a="1"/>
  <c r="W110" i="68" s="1"/>
  <c r="W111" i="68" a="1"/>
  <c r="W111" i="68" s="1"/>
  <c r="W114" i="68" a="1"/>
  <c r="W114" i="68" s="1"/>
  <c r="W113" i="68" a="1"/>
  <c r="W113" i="68" s="1"/>
  <c r="S116" i="68" a="1"/>
  <c r="S116" i="68" s="1"/>
  <c r="S110" i="68" a="1"/>
  <c r="S110" i="68" s="1"/>
  <c r="S113" i="68" a="1"/>
  <c r="S113" i="68" s="1"/>
  <c r="S111" i="68" a="1"/>
  <c r="S111" i="68" s="1"/>
  <c r="S114" i="68" a="1"/>
  <c r="S114" i="68" s="1"/>
  <c r="S115" i="68" a="1"/>
  <c r="S115" i="68" s="1"/>
  <c r="S112" i="68" a="1"/>
  <c r="S112" i="68" s="1"/>
  <c r="S109" i="68" a="1"/>
  <c r="S109" i="68" s="1"/>
  <c r="R116" i="68" a="1"/>
  <c r="R116" i="68" s="1"/>
  <c r="R110" i="68" a="1"/>
  <c r="R110" i="68" s="1"/>
  <c r="R113" i="68" a="1"/>
  <c r="R113" i="68" s="1"/>
  <c r="R111" i="68" a="1"/>
  <c r="R111" i="68" s="1"/>
  <c r="R114" i="68" a="1"/>
  <c r="R114" i="68" s="1"/>
  <c r="R115" i="68" a="1"/>
  <c r="R115" i="68" s="1"/>
  <c r="R109" i="68" a="1"/>
  <c r="R109" i="68" s="1"/>
  <c r="R112" i="68" a="1"/>
  <c r="R112" i="68" s="1"/>
  <c r="O116" i="68" a="1"/>
  <c r="O116" i="68" s="1"/>
  <c r="O110" i="68" a="1"/>
  <c r="O110" i="68" s="1"/>
  <c r="O114" i="68" a="1"/>
  <c r="O114" i="68" s="1"/>
  <c r="O111" i="68" a="1"/>
  <c r="O111" i="68" s="1"/>
  <c r="O112" i="68" a="1"/>
  <c r="O112" i="68" s="1"/>
  <c r="O113" i="68" a="1"/>
  <c r="O113" i="68" s="1"/>
  <c r="O115" i="68" a="1"/>
  <c r="O115" i="68" s="1"/>
  <c r="O109" i="68" a="1"/>
  <c r="O109" i="68" s="1"/>
  <c r="L114" i="68" a="1"/>
  <c r="L114" i="68" s="1"/>
  <c r="L111" i="68" a="1"/>
  <c r="L111" i="68" s="1"/>
  <c r="L115" i="68" a="1"/>
  <c r="L115" i="68" s="1"/>
  <c r="L112" i="68" a="1"/>
  <c r="L112" i="68" s="1"/>
  <c r="L110" i="68" a="1"/>
  <c r="L110" i="68" s="1"/>
  <c r="L116" i="68" a="1"/>
  <c r="L116" i="68" s="1"/>
  <c r="L113" i="68" a="1"/>
  <c r="L113" i="68" s="1"/>
  <c r="L109" i="68" a="1"/>
  <c r="L109" i="68" s="1"/>
  <c r="N114" i="68" a="1"/>
  <c r="N114" i="68" s="1"/>
  <c r="N111" i="68" a="1"/>
  <c r="N111" i="68" s="1"/>
  <c r="N116" i="68" a="1"/>
  <c r="N116" i="68" s="1"/>
  <c r="N110" i="68" a="1"/>
  <c r="N110" i="68" s="1"/>
  <c r="N109" i="68" a="1"/>
  <c r="N109" i="68" s="1"/>
  <c r="N115" i="68" a="1"/>
  <c r="N115" i="68" s="1"/>
  <c r="N113" i="68" a="1"/>
  <c r="N113" i="68" s="1"/>
  <c r="N112" i="68" a="1"/>
  <c r="N112" i="68" s="1"/>
  <c r="Y115" i="68" a="1"/>
  <c r="Y115" i="68" s="1"/>
  <c r="Y112" i="68" a="1"/>
  <c r="Y112" i="68" s="1"/>
  <c r="Y109" i="68" a="1"/>
  <c r="Y109" i="68" s="1"/>
  <c r="Y116" i="68" a="1"/>
  <c r="Y116" i="68" s="1"/>
  <c r="Y110" i="68" a="1"/>
  <c r="Y110" i="68" s="1"/>
  <c r="Y111" i="68" a="1"/>
  <c r="Y111" i="68" s="1"/>
  <c r="Y114" i="68" a="1"/>
  <c r="Y114" i="68" s="1"/>
  <c r="Y113" i="68" a="1"/>
  <c r="Y113" i="68" s="1"/>
  <c r="Q116" i="68" a="1"/>
  <c r="Q116" i="68" s="1"/>
  <c r="Q110" i="68" a="1"/>
  <c r="Q110" i="68" s="1"/>
  <c r="Q114" i="68" a="1"/>
  <c r="Q114" i="68" s="1"/>
  <c r="Q111" i="68" a="1"/>
  <c r="Q111" i="68" s="1"/>
  <c r="Q113" i="68" a="1"/>
  <c r="Q113" i="68" s="1"/>
  <c r="Q115" i="68" a="1"/>
  <c r="Q115" i="68" s="1"/>
  <c r="Q109" i="68" a="1"/>
  <c r="Q109" i="68" s="1"/>
  <c r="Q112" i="68" a="1"/>
  <c r="Q112" i="68" s="1"/>
  <c r="K114" i="68" a="1"/>
  <c r="K114" i="68" s="1"/>
  <c r="K111" i="68" a="1"/>
  <c r="K111" i="68" s="1"/>
  <c r="K115" i="68" a="1"/>
  <c r="K115" i="68" s="1"/>
  <c r="K109" i="68" a="1"/>
  <c r="K109" i="68" s="1"/>
  <c r="K112" i="68" a="1"/>
  <c r="K112" i="68" s="1"/>
  <c r="K110" i="68" a="1"/>
  <c r="K110" i="68" s="1"/>
  <c r="K116" i="68" a="1"/>
  <c r="K116" i="68" s="1"/>
  <c r="K113" i="68" a="1"/>
  <c r="K113" i="68" s="1"/>
  <c r="M114" i="68" a="1"/>
  <c r="M114" i="68" s="1"/>
  <c r="M111" i="68" a="1"/>
  <c r="M111" i="68" s="1"/>
  <c r="M115" i="68" a="1"/>
  <c r="M115" i="68" s="1"/>
  <c r="M112" i="68" a="1"/>
  <c r="M112" i="68" s="1"/>
  <c r="M110" i="68" a="1"/>
  <c r="M110" i="68" s="1"/>
  <c r="M116" i="68" a="1"/>
  <c r="M116" i="68" s="1"/>
  <c r="M113" i="68" a="1"/>
  <c r="M113" i="68" s="1"/>
  <c r="M109" i="68" a="1"/>
  <c r="M109" i="68" s="1"/>
  <c r="U112" i="68" a="1"/>
  <c r="U112" i="68" s="1"/>
  <c r="U109" i="68" a="1"/>
  <c r="U109" i="68" s="1"/>
  <c r="U114" i="68" a="1"/>
  <c r="U114" i="68" s="1"/>
  <c r="U110" i="68" a="1"/>
  <c r="U110" i="68" s="1"/>
  <c r="U115" i="68" a="1"/>
  <c r="U115" i="68" s="1"/>
  <c r="U111" i="68" a="1"/>
  <c r="U111" i="68" s="1"/>
  <c r="U116" i="68" a="1"/>
  <c r="U116" i="68" s="1"/>
  <c r="U113" i="68" a="1"/>
  <c r="U113" i="68" s="1"/>
  <c r="X115" i="68" a="1"/>
  <c r="X115" i="68" s="1"/>
  <c r="X112" i="68" a="1"/>
  <c r="X112" i="68" s="1"/>
  <c r="X109" i="68" a="1"/>
  <c r="X109" i="68" s="1"/>
  <c r="X113" i="68" a="1"/>
  <c r="X113" i="68" s="1"/>
  <c r="X110" i="68" a="1"/>
  <c r="X110" i="68" s="1"/>
  <c r="X111" i="68" a="1"/>
  <c r="X111" i="68" s="1"/>
  <c r="X114" i="68" a="1"/>
  <c r="X114" i="68" s="1"/>
  <c r="X116" i="68" a="1"/>
  <c r="X116" i="68" s="1"/>
  <c r="AB111" i="68" a="1"/>
  <c r="AB111" i="68" s="1"/>
  <c r="AB114" i="68" a="1"/>
  <c r="AB114" i="68" s="1"/>
  <c r="AB115" i="68" a="1"/>
  <c r="AB115" i="68" s="1"/>
  <c r="AB109" i="68" a="1"/>
  <c r="AB109" i="68" s="1"/>
  <c r="AB112" i="68" a="1"/>
  <c r="AB112" i="68" s="1"/>
  <c r="AB116" i="68" a="1"/>
  <c r="AB116" i="68" s="1"/>
  <c r="AB110" i="68" a="1"/>
  <c r="AB110" i="68" s="1"/>
  <c r="AB113" i="68" a="1"/>
  <c r="AB113" i="68" s="1"/>
  <c r="T113" i="68" a="1"/>
  <c r="T113" i="68" s="1"/>
  <c r="T111" i="68" a="1"/>
  <c r="T111" i="68" s="1"/>
  <c r="T116" i="68" a="1"/>
  <c r="T116" i="68" s="1"/>
  <c r="T114" i="68" a="1"/>
  <c r="T114" i="68" s="1"/>
  <c r="T112" i="68" a="1"/>
  <c r="T112" i="68" s="1"/>
  <c r="T115" i="68" a="1"/>
  <c r="T115" i="68" s="1"/>
  <c r="T109" i="68" a="1"/>
  <c r="T109" i="68" s="1"/>
  <c r="T110" i="68" a="1"/>
  <c r="T110" i="68" s="1"/>
  <c r="V115" i="68" a="1"/>
  <c r="V115" i="68" s="1"/>
  <c r="V112" i="68" a="1"/>
  <c r="V112" i="68" s="1"/>
  <c r="V109" i="68" a="1"/>
  <c r="V109" i="68" s="1"/>
  <c r="V114" i="68" a="1"/>
  <c r="V114" i="68" s="1"/>
  <c r="V113" i="68" a="1"/>
  <c r="V113" i="68" s="1"/>
  <c r="V110" i="68" a="1"/>
  <c r="V110" i="68" s="1"/>
  <c r="V116" i="68" a="1"/>
  <c r="V116" i="68" s="1"/>
  <c r="V111" i="68" a="1"/>
  <c r="V111" i="68" s="1"/>
  <c r="Z115" i="68" a="1"/>
  <c r="Z115" i="68" s="1"/>
  <c r="Z112" i="68" a="1"/>
  <c r="Z112" i="68" s="1"/>
  <c r="Z111" i="68" a="1"/>
  <c r="Z111" i="68" s="1"/>
  <c r="Z116" i="68" a="1"/>
  <c r="Z116" i="68" s="1"/>
  <c r="Z110" i="68" a="1"/>
  <c r="Z110" i="68" s="1"/>
  <c r="Z109" i="68" a="1"/>
  <c r="Z109" i="68" s="1"/>
  <c r="Z114" i="68" a="1"/>
  <c r="Z114" i="68" s="1"/>
  <c r="Z113" i="68" a="1"/>
  <c r="Z113" i="68" s="1"/>
  <c r="J81" i="72"/>
  <c r="J106" i="72" s="1"/>
  <c r="J86" i="68"/>
  <c r="J105" i="68" s="1"/>
  <c r="I86" i="68"/>
  <c r="I105" i="68" s="1"/>
  <c r="A1" i="43"/>
  <c r="A1" i="33"/>
  <c r="J114" i="68" l="1" a="1"/>
  <c r="J114" i="68" s="1"/>
  <c r="J111" i="68" a="1"/>
  <c r="J111" i="68" s="1"/>
  <c r="J112" i="68" a="1"/>
  <c r="J112" i="68" s="1"/>
  <c r="J115" i="68" a="1"/>
  <c r="J115" i="68" s="1"/>
  <c r="J109" i="68" a="1"/>
  <c r="J109" i="68" s="1"/>
  <c r="J110" i="68" a="1"/>
  <c r="J110" i="68" s="1"/>
  <c r="J116" i="68" a="1"/>
  <c r="J116" i="68" s="1"/>
  <c r="J113" i="68" a="1"/>
  <c r="J113" i="68" s="1"/>
  <c r="I114" i="68" a="1"/>
  <c r="I114" i="68" s="1"/>
  <c r="I111" i="68" a="1"/>
  <c r="I111" i="68" s="1"/>
  <c r="I113" i="68" a="1"/>
  <c r="I113" i="68" s="1"/>
  <c r="I115" i="68" a="1"/>
  <c r="I115" i="68" s="1"/>
  <c r="I109" i="68" a="1"/>
  <c r="I109" i="68" s="1"/>
  <c r="I116" i="68" a="1"/>
  <c r="I116" i="68" s="1"/>
  <c r="I110" i="68" a="1"/>
  <c r="I110" i="68" s="1"/>
  <c r="I112" i="68" a="1"/>
  <c r="I112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E27" i="68" s="1"/>
  <c r="G71" i="43"/>
  <c r="G70" i="43"/>
  <c r="D16" i="62"/>
  <c r="R15" i="62"/>
  <c r="D17" i="62" s="1"/>
  <c r="I27" i="68" l="1"/>
  <c r="J27" i="68"/>
  <c r="D19" i="62"/>
  <c r="L14" i="85" s="1"/>
  <c r="E27" i="73"/>
  <c r="E27" i="81"/>
  <c r="I27" i="81" s="1"/>
  <c r="E27" i="72"/>
  <c r="E27" i="82"/>
  <c r="J27" i="82" s="1"/>
  <c r="AG14" i="85"/>
  <c r="AE14" i="85"/>
  <c r="AD14" i="85"/>
  <c r="AF14" i="85"/>
  <c r="AB14" i="85"/>
  <c r="AC14" i="85"/>
  <c r="Y14" i="85"/>
  <c r="AA14" i="85"/>
  <c r="Q14" i="85"/>
  <c r="U14" i="85"/>
  <c r="S14" i="85"/>
  <c r="N14" i="85"/>
  <c r="T14" i="85"/>
  <c r="M14" i="85"/>
  <c r="O14" i="85"/>
  <c r="H14" i="85"/>
  <c r="I19" i="75"/>
  <c r="I20" i="75"/>
  <c r="I15" i="75"/>
  <c r="F15" i="75" s="1"/>
  <c r="I18" i="75"/>
  <c r="I21" i="75"/>
  <c r="AC20" i="75"/>
  <c r="AF19" i="75"/>
  <c r="AC19" i="75"/>
  <c r="AE19" i="75"/>
  <c r="AD20" i="75"/>
  <c r="AF20" i="75"/>
  <c r="AG19" i="75"/>
  <c r="AE20" i="75"/>
  <c r="AD18" i="75"/>
  <c r="AE18" i="75"/>
  <c r="AF18" i="75"/>
  <c r="AG21" i="75"/>
  <c r="AE21" i="75"/>
  <c r="AD21" i="75"/>
  <c r="L20" i="75"/>
  <c r="K20" i="75"/>
  <c r="AB20" i="75"/>
  <c r="N20" i="75"/>
  <c r="O20" i="75"/>
  <c r="X20" i="75"/>
  <c r="S20" i="75"/>
  <c r="V20" i="75"/>
  <c r="M20" i="75"/>
  <c r="Q20" i="75"/>
  <c r="U20" i="75"/>
  <c r="Z20" i="75"/>
  <c r="J20" i="75"/>
  <c r="K19" i="75"/>
  <c r="N19" i="75"/>
  <c r="Z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L18" i="75"/>
  <c r="Q18" i="75"/>
  <c r="W18" i="75"/>
  <c r="S18" i="75"/>
  <c r="AA18" i="75"/>
  <c r="V18" i="75"/>
  <c r="P18" i="75"/>
  <c r="M18" i="75"/>
  <c r="J18" i="75"/>
  <c r="K18" i="75"/>
  <c r="A2" i="33"/>
  <c r="K14" i="85" l="1"/>
  <c r="M19" i="75"/>
  <c r="AC21" i="75"/>
  <c r="I14" i="85"/>
  <c r="I27" i="72"/>
  <c r="J27" i="72"/>
  <c r="I27" i="73"/>
  <c r="J27" i="73"/>
  <c r="U18" i="75"/>
  <c r="U22" i="75" s="1"/>
  <c r="K21" i="75"/>
  <c r="K22" i="75" s="1"/>
  <c r="AA20" i="75"/>
  <c r="AC18" i="75"/>
  <c r="AC22" i="75" s="1"/>
  <c r="V14" i="85"/>
  <c r="R18" i="75"/>
  <c r="T19" i="75"/>
  <c r="T20" i="75"/>
  <c r="AD19" i="75"/>
  <c r="AD22" i="75" s="1"/>
  <c r="W14" i="85"/>
  <c r="W20" i="75"/>
  <c r="W22" i="75" s="1"/>
  <c r="O19" i="75"/>
  <c r="X21" i="75"/>
  <c r="X22" i="75" s="1"/>
  <c r="N18" i="75"/>
  <c r="N22" i="75" s="1"/>
  <c r="P14" i="85"/>
  <c r="Y18" i="75"/>
  <c r="AA21" i="75"/>
  <c r="Y20" i="75"/>
  <c r="AG18" i="75"/>
  <c r="Z14" i="85"/>
  <c r="R14" i="85"/>
  <c r="AG20" i="75"/>
  <c r="R20" i="75"/>
  <c r="S19" i="75"/>
  <c r="S22" i="75" s="1"/>
  <c r="R21" i="75"/>
  <c r="O18" i="75"/>
  <c r="X14" i="85"/>
  <c r="T18" i="75"/>
  <c r="T22" i="75" s="1"/>
  <c r="L21" i="75"/>
  <c r="L22" i="75" s="1"/>
  <c r="P20" i="75"/>
  <c r="P22" i="75" s="1"/>
  <c r="AF21" i="75"/>
  <c r="AF22" i="75" s="1"/>
  <c r="J14" i="85"/>
  <c r="I22" i="75"/>
  <c r="AE22" i="75"/>
  <c r="Q22" i="75"/>
  <c r="V22" i="75"/>
  <c r="J22" i="75"/>
  <c r="M22" i="75"/>
  <c r="Z22" i="75"/>
  <c r="AB22" i="75"/>
  <c r="AA22" i="75" l="1"/>
  <c r="F19" i="75"/>
  <c r="AG22" i="75"/>
  <c r="Y22" i="75"/>
  <c r="F20" i="75"/>
  <c r="O22" i="75"/>
  <c r="F14" i="85"/>
  <c r="F18" i="75"/>
  <c r="F21" i="75"/>
  <c r="R22" i="75"/>
  <c r="C63" i="81" l="1"/>
  <c r="C63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F25" i="75" l="1"/>
  <c r="H9" i="33" s="1"/>
  <c r="F24" i="75"/>
  <c r="G9" i="33" s="1"/>
  <c r="D28" i="85" l="1"/>
  <c r="B22" i="85" l="1"/>
  <c r="D22" i="85" s="1"/>
  <c r="B21" i="85"/>
  <c r="D21" i="85" s="1"/>
  <c r="G114" i="81"/>
  <c r="B46" i="85"/>
  <c r="D46" i="85" s="1"/>
  <c r="G115" i="81"/>
  <c r="B17" i="85"/>
  <c r="D17" i="85" s="1"/>
  <c r="B36" i="85"/>
  <c r="B19" i="85"/>
  <c r="D19" i="85" s="1"/>
  <c r="B20" i="85"/>
  <c r="D20" i="85" s="1"/>
  <c r="G112" i="81"/>
  <c r="B23" i="85"/>
  <c r="D23" i="85" s="1"/>
  <c r="B18" i="85"/>
  <c r="D18" i="85" s="1"/>
  <c r="B33" i="85"/>
  <c r="B49" i="85"/>
  <c r="D49" i="85" s="1"/>
  <c r="G113" i="81"/>
  <c r="B34" i="85"/>
  <c r="B35" i="85"/>
  <c r="D35" i="85" s="1"/>
  <c r="B51" i="85"/>
  <c r="D51" i="85" s="1"/>
  <c r="G111" i="81"/>
  <c r="G116" i="81"/>
  <c r="B47" i="85"/>
  <c r="D47" i="85" s="1"/>
  <c r="B37" i="85"/>
  <c r="D37" i="85" s="1"/>
  <c r="G110" i="81"/>
  <c r="B31" i="85"/>
  <c r="B32" i="85"/>
  <c r="B16" i="85"/>
  <c r="D16" i="85" s="1"/>
  <c r="B45" i="85" l="1"/>
  <c r="D45" i="85" s="1"/>
  <c r="B50" i="85"/>
  <c r="D50" i="85" s="1"/>
  <c r="D33" i="85"/>
  <c r="G109" i="81"/>
  <c r="B30" i="85"/>
  <c r="B48" i="85"/>
  <c r="D48" i="85" s="1"/>
  <c r="B44" i="85"/>
  <c r="D44" i="85" s="1"/>
  <c r="D31" i="85"/>
  <c r="D32" i="85"/>
  <c r="D34" i="85"/>
  <c r="D36" i="85"/>
  <c r="D30" i="85" l="1"/>
  <c r="I27" i="82" l="1"/>
  <c r="I56" i="75" l="1"/>
  <c r="I70" i="75"/>
  <c r="I42" i="75"/>
  <c r="I28" i="75" l="1"/>
  <c r="H9" i="85" l="1"/>
  <c r="I35" i="81" l="1"/>
  <c r="I35" i="73"/>
  <c r="I35" i="72"/>
  <c r="I30" i="82" a="1"/>
  <c r="I30" i="82" s="1"/>
  <c r="I35" i="82" s="1"/>
  <c r="I98" i="75"/>
  <c r="I99" i="75" l="1"/>
  <c r="I35" i="68" l="1"/>
  <c r="I16" i="75" s="1"/>
  <c r="I14" i="75"/>
  <c r="I92" i="75" l="1"/>
  <c r="J98" i="75" l="1"/>
  <c r="J99" i="75" l="1"/>
  <c r="J14" i="75"/>
  <c r="J35" i="68"/>
  <c r="J16" i="75" l="1"/>
  <c r="J92" i="75" l="1"/>
  <c r="J15" i="81" l="1"/>
  <c r="J67" i="81" s="1"/>
  <c r="J72" i="81" s="1" a="1"/>
  <c r="J72" i="81" s="1"/>
  <c r="K77" i="81" s="1"/>
  <c r="J24" i="81"/>
  <c r="I32" i="87" l="1"/>
  <c r="I22" i="87" s="1"/>
  <c r="I14" i="87" s="1"/>
  <c r="J32" i="81"/>
  <c r="J29" i="81"/>
  <c r="J31" i="81"/>
  <c r="J26" i="81"/>
  <c r="J27" i="81" s="1"/>
  <c r="J14" i="81"/>
  <c r="J66" i="81" s="1"/>
  <c r="J17" i="81" l="1"/>
  <c r="J71" i="81" a="1"/>
  <c r="J71" i="81" s="1"/>
  <c r="K76" i="81" s="1"/>
  <c r="K79" i="81" s="1"/>
  <c r="K81" i="81" s="1"/>
  <c r="K15" i="81" l="1"/>
  <c r="K67" i="81" s="1"/>
  <c r="K72" i="81" s="1" a="1"/>
  <c r="K72" i="81" s="1"/>
  <c r="L77" i="81" s="1"/>
  <c r="K24" i="81"/>
  <c r="J35" i="81"/>
  <c r="J28" i="75"/>
  <c r="K106" i="81"/>
  <c r="J32" i="87" l="1"/>
  <c r="J22" i="87" s="1"/>
  <c r="J14" i="87" s="1"/>
  <c r="K29" i="81"/>
  <c r="K31" i="81"/>
  <c r="K32" i="81"/>
  <c r="K26" i="81"/>
  <c r="K27" i="81" s="1"/>
  <c r="K14" i="81"/>
  <c r="K66" i="81" l="1"/>
  <c r="K71" i="81" s="1" a="1"/>
  <c r="K71" i="81" s="1"/>
  <c r="L76" i="81" s="1"/>
  <c r="L79" i="81" s="1"/>
  <c r="L81" i="81" s="1"/>
  <c r="L106" i="81" s="1"/>
  <c r="K17" i="81"/>
  <c r="K28" i="75"/>
  <c r="L24" i="81" l="1"/>
  <c r="L15" i="81"/>
  <c r="L67" i="81" s="1"/>
  <c r="K32" i="87" l="1"/>
  <c r="K22" i="87" s="1"/>
  <c r="K14" i="87" s="1"/>
  <c r="L29" i="81"/>
  <c r="L31" i="81"/>
  <c r="L26" i="81"/>
  <c r="L27" i="81" s="1"/>
  <c r="L32" i="81"/>
  <c r="L72" i="81" a="1"/>
  <c r="L72" i="81" s="1"/>
  <c r="M77" i="81" s="1"/>
  <c r="L14" i="81"/>
  <c r="L66" i="81" l="1"/>
  <c r="L17" i="81"/>
  <c r="L28" i="75"/>
  <c r="M24" i="81" l="1"/>
  <c r="M15" i="81"/>
  <c r="M67" i="81" s="1"/>
  <c r="L71" i="81" a="1"/>
  <c r="L71" i="81" s="1"/>
  <c r="M76" i="81" s="1"/>
  <c r="M79" i="81" s="1"/>
  <c r="M81" i="81" s="1"/>
  <c r="M106" i="81" s="1"/>
  <c r="L32" i="87" l="1"/>
  <c r="L22" i="87" s="1"/>
  <c r="L14" i="87" s="1"/>
  <c r="M29" i="81"/>
  <c r="M31" i="81"/>
  <c r="M26" i="81"/>
  <c r="M27" i="81" s="1"/>
  <c r="M32" i="81"/>
  <c r="M72" i="81" a="1"/>
  <c r="M72" i="81" s="1"/>
  <c r="N77" i="81" s="1"/>
  <c r="M14" i="81"/>
  <c r="M66" i="81" l="1"/>
  <c r="M17" i="81"/>
  <c r="M28" i="75"/>
  <c r="M71" i="81" l="1" a="1"/>
  <c r="M71" i="81" s="1"/>
  <c r="N76" i="81" s="1"/>
  <c r="N79" i="81" s="1"/>
  <c r="N81" i="81" s="1"/>
  <c r="N106" i="81" s="1"/>
  <c r="N15" i="81"/>
  <c r="N24" i="81"/>
  <c r="M32" i="87"/>
  <c r="N29" i="81" l="1"/>
  <c r="N31" i="81"/>
  <c r="N26" i="81"/>
  <c r="N27" i="81" s="1"/>
  <c r="N32" i="81"/>
  <c r="N67" i="81"/>
  <c r="N14" i="81"/>
  <c r="M22" i="87"/>
  <c r="M14" i="87" s="1"/>
  <c r="N28" i="75" l="1"/>
  <c r="N66" i="81"/>
  <c r="N17" i="81"/>
  <c r="N72" i="81" a="1"/>
  <c r="N72" i="81" s="1"/>
  <c r="O77" i="81" s="1"/>
  <c r="N71" i="81" l="1" a="1"/>
  <c r="N71" i="81" s="1"/>
  <c r="O76" i="81" s="1"/>
  <c r="O79" i="81" s="1"/>
  <c r="O81" i="81" s="1"/>
  <c r="O106" i="81" s="1"/>
  <c r="O24" i="81"/>
  <c r="O15" i="81"/>
  <c r="N32" i="87" l="1"/>
  <c r="N22" i="87" s="1"/>
  <c r="N14" i="87" s="1"/>
  <c r="O26" i="81"/>
  <c r="O27" i="81" s="1"/>
  <c r="O31" i="81"/>
  <c r="O29" i="81"/>
  <c r="O32" i="81"/>
  <c r="O14" i="81"/>
  <c r="O67" i="81"/>
  <c r="O72" i="81" l="1" a="1"/>
  <c r="O72" i="81" s="1"/>
  <c r="P77" i="81" s="1"/>
  <c r="O28" i="75"/>
  <c r="O17" i="81"/>
  <c r="O66" i="81"/>
  <c r="O71" i="81" l="1" a="1"/>
  <c r="O71" i="81" s="1"/>
  <c r="P76" i="81" s="1"/>
  <c r="P79" i="81" s="1"/>
  <c r="P81" i="81" s="1"/>
  <c r="P15" i="81"/>
  <c r="P24" i="81"/>
  <c r="O32" i="87"/>
  <c r="P31" i="81" l="1"/>
  <c r="P26" i="81"/>
  <c r="P27" i="81" s="1"/>
  <c r="P28" i="75" s="1"/>
  <c r="P32" i="81"/>
  <c r="P29" i="81"/>
  <c r="P67" i="81"/>
  <c r="P14" i="81"/>
  <c r="O22" i="87"/>
  <c r="O14" i="87" s="1"/>
  <c r="P17" i="81" l="1"/>
  <c r="P66" i="81"/>
  <c r="P72" i="81" a="1"/>
  <c r="P72" i="81" s="1"/>
  <c r="Q77" i="81" s="1"/>
  <c r="Q14" i="81" l="1"/>
  <c r="P32" i="87"/>
  <c r="P22" i="87" s="1"/>
  <c r="P14" i="87" s="1"/>
  <c r="Q15" i="81"/>
  <c r="Q24" i="81"/>
  <c r="P71" i="81" a="1"/>
  <c r="P71" i="81" s="1"/>
  <c r="Q76" i="81" s="1"/>
  <c r="Q79" i="81" s="1"/>
  <c r="Q81" i="81" s="1"/>
  <c r="R15" i="81" l="1"/>
  <c r="R24" i="81"/>
  <c r="R26" i="81" s="1"/>
  <c r="R27" i="81" s="1"/>
  <c r="R28" i="75" s="1"/>
  <c r="Q66" i="81"/>
  <c r="Q26" i="81"/>
  <c r="Q27" i="81" s="1"/>
  <c r="Q32" i="81"/>
  <c r="Q29" i="81"/>
  <c r="Q31" i="81"/>
  <c r="R67" i="81"/>
  <c r="Q17" i="81"/>
  <c r="Q67" i="81"/>
  <c r="R29" i="81" l="1"/>
  <c r="R31" i="81"/>
  <c r="R32" i="81"/>
  <c r="R14" i="81"/>
  <c r="Q71" i="81" a="1"/>
  <c r="Q71" i="81" s="1"/>
  <c r="R76" i="81" s="1"/>
  <c r="Q32" i="87"/>
  <c r="Q22" i="87" s="1"/>
  <c r="Q14" i="87" s="1"/>
  <c r="Q72" i="81" a="1"/>
  <c r="Q72" i="81" s="1"/>
  <c r="R77" i="81" s="1"/>
  <c r="R72" i="81" a="1"/>
  <c r="R72" i="81" s="1"/>
  <c r="S77" i="81" s="1"/>
  <c r="Q28" i="75"/>
  <c r="R79" i="81" l="1"/>
  <c r="R81" i="81" s="1"/>
  <c r="R32" i="87"/>
  <c r="R22" i="87" s="1"/>
  <c r="R14" i="87" s="1"/>
  <c r="S24" i="81"/>
  <c r="S15" i="81"/>
  <c r="S67" i="81" s="1"/>
  <c r="S72" i="81" s="1" a="1"/>
  <c r="S72" i="81" s="1"/>
  <c r="T77" i="81" s="1"/>
  <c r="R66" i="81"/>
  <c r="R17" i="81"/>
  <c r="S14" i="81" l="1"/>
  <c r="S29" i="81"/>
  <c r="S32" i="81"/>
  <c r="S31" i="81"/>
  <c r="S26" i="81"/>
  <c r="S27" i="81" s="1"/>
  <c r="S28" i="75" s="1"/>
  <c r="R71" i="81" a="1"/>
  <c r="R71" i="81" s="1"/>
  <c r="S76" i="81" s="1"/>
  <c r="S79" i="81" s="1"/>
  <c r="S81" i="81" s="1"/>
  <c r="T24" i="81"/>
  <c r="T15" i="81"/>
  <c r="T67" i="81" s="1"/>
  <c r="T72" i="81" s="1" a="1"/>
  <c r="T72" i="81" s="1"/>
  <c r="U77" i="81" s="1"/>
  <c r="S66" i="81"/>
  <c r="S71" i="81" s="1" a="1"/>
  <c r="S71" i="81" s="1"/>
  <c r="T76" i="81" s="1"/>
  <c r="T79" i="81" s="1"/>
  <c r="T81" i="81" s="1"/>
  <c r="S17" i="81"/>
  <c r="T14" i="81" l="1"/>
  <c r="T26" i="81"/>
  <c r="T27" i="81" s="1"/>
  <c r="T28" i="75" s="1"/>
  <c r="T32" i="81"/>
  <c r="T31" i="81"/>
  <c r="T29" i="81"/>
  <c r="S32" i="87"/>
  <c r="S22" i="87" s="1"/>
  <c r="S14" i="87" s="1"/>
  <c r="U24" i="81" l="1"/>
  <c r="U15" i="81"/>
  <c r="U67" i="81" s="1"/>
  <c r="U72" i="81" s="1" a="1"/>
  <c r="U72" i="81" s="1"/>
  <c r="V77" i="81" s="1"/>
  <c r="T66" i="81"/>
  <c r="T17" i="81"/>
  <c r="U14" i="81" l="1"/>
  <c r="T71" i="81" a="1"/>
  <c r="T71" i="81" s="1"/>
  <c r="U76" i="81" s="1"/>
  <c r="U79" i="81" s="1"/>
  <c r="U81" i="81" s="1"/>
  <c r="U26" i="81"/>
  <c r="U27" i="81" s="1"/>
  <c r="U28" i="75" s="1"/>
  <c r="U31" i="81"/>
  <c r="U32" i="81"/>
  <c r="U29" i="81"/>
  <c r="T32" i="87"/>
  <c r="T22" i="87" s="1"/>
  <c r="T14" i="87" s="1"/>
  <c r="I31" i="87"/>
  <c r="V24" i="81" l="1"/>
  <c r="V15" i="81"/>
  <c r="V67" i="81" s="1"/>
  <c r="U66" i="81"/>
  <c r="U17" i="81"/>
  <c r="I21" i="87"/>
  <c r="I13" i="87" s="1"/>
  <c r="K24" i="68" l="1"/>
  <c r="V14" i="81"/>
  <c r="V31" i="81"/>
  <c r="V32" i="81"/>
  <c r="V29" i="81"/>
  <c r="V26" i="81"/>
  <c r="V27" i="81" s="1"/>
  <c r="V28" i="75" s="1"/>
  <c r="U71" i="81" a="1"/>
  <c r="U71" i="81" s="1"/>
  <c r="V76" i="81" s="1"/>
  <c r="V79" i="81" s="1"/>
  <c r="V81" i="81" s="1"/>
  <c r="V72" i="81" a="1"/>
  <c r="V72" i="81" s="1"/>
  <c r="W77" i="81" s="1"/>
  <c r="U32" i="87"/>
  <c r="U22" i="87" s="1"/>
  <c r="U14" i="87" s="1"/>
  <c r="K30" i="73" a="1"/>
  <c r="K30" i="73" s="1"/>
  <c r="K30" i="72" a="1"/>
  <c r="K30" i="72" s="1"/>
  <c r="K32" i="68"/>
  <c r="K29" i="68"/>
  <c r="K30" i="82" a="1"/>
  <c r="K30" i="82" s="1"/>
  <c r="K31" i="68"/>
  <c r="K26" i="68"/>
  <c r="K27" i="68" s="1"/>
  <c r="K30" i="81" a="1"/>
  <c r="K30" i="81" s="1"/>
  <c r="K35" i="81" s="1"/>
  <c r="J31" i="87" l="1"/>
  <c r="J21" i="87" s="1"/>
  <c r="J13" i="87" s="1"/>
  <c r="W15" i="81"/>
  <c r="W67" i="81" s="1"/>
  <c r="W24" i="81"/>
  <c r="W14" i="81"/>
  <c r="V66" i="81"/>
  <c r="V17" i="81"/>
  <c r="K98" i="75"/>
  <c r="L24" i="68"/>
  <c r="K31" i="87"/>
  <c r="K99" i="75"/>
  <c r="K35" i="68"/>
  <c r="K14" i="75"/>
  <c r="V71" i="81" l="1" a="1"/>
  <c r="V71" i="81" s="1"/>
  <c r="W76" i="81" s="1"/>
  <c r="W79" i="81" s="1"/>
  <c r="W81" i="81" s="1"/>
  <c r="W66" i="81"/>
  <c r="W17" i="81"/>
  <c r="W72" i="81" a="1"/>
  <c r="W72" i="81" s="1"/>
  <c r="X77" i="81" s="1"/>
  <c r="W29" i="81"/>
  <c r="W32" i="81"/>
  <c r="W31" i="81"/>
  <c r="W26" i="81"/>
  <c r="W27" i="81" s="1"/>
  <c r="W28" i="75" s="1"/>
  <c r="V32" i="87"/>
  <c r="V22" i="87" s="1"/>
  <c r="V14" i="87" s="1"/>
  <c r="K21" i="87"/>
  <c r="K13" i="87" s="1"/>
  <c r="L31" i="68"/>
  <c r="L29" i="68"/>
  <c r="L30" i="82" a="1"/>
  <c r="L30" i="82" s="1"/>
  <c r="L32" i="68"/>
  <c r="L26" i="68"/>
  <c r="L30" i="73" a="1"/>
  <c r="L30" i="73" s="1"/>
  <c r="L30" i="81" a="1"/>
  <c r="L30" i="81" s="1"/>
  <c r="L35" i="81" s="1"/>
  <c r="L30" i="72" a="1"/>
  <c r="L30" i="72" s="1"/>
  <c r="K16" i="75"/>
  <c r="W71" i="81" l="1" a="1"/>
  <c r="W71" i="81" s="1"/>
  <c r="X76" i="81" s="1"/>
  <c r="X79" i="81" s="1"/>
  <c r="X81" i="81" s="1"/>
  <c r="W32" i="87"/>
  <c r="W22" i="87" s="1"/>
  <c r="W14" i="87" s="1"/>
  <c r="X15" i="81"/>
  <c r="X24" i="81"/>
  <c r="M24" i="68"/>
  <c r="L27" i="68"/>
  <c r="L98" i="75"/>
  <c r="K92" i="75"/>
  <c r="X14" i="81" l="1"/>
  <c r="X66" i="81" s="1"/>
  <c r="Y14" i="81"/>
  <c r="Y66" i="81" s="1"/>
  <c r="X67" i="81"/>
  <c r="X17" i="81"/>
  <c r="X32" i="87"/>
  <c r="X22" i="87" s="1"/>
  <c r="X14" i="87" s="1"/>
  <c r="Y24" i="81"/>
  <c r="Y15" i="81"/>
  <c r="X31" i="81"/>
  <c r="X29" i="81"/>
  <c r="X32" i="81"/>
  <c r="X26" i="81"/>
  <c r="X27" i="81" s="1"/>
  <c r="X28" i="75" s="1"/>
  <c r="L14" i="75"/>
  <c r="L99" i="75"/>
  <c r="L35" i="68"/>
  <c r="L31" i="87"/>
  <c r="L21" i="87" s="1"/>
  <c r="L13" i="87" s="1"/>
  <c r="M31" i="68"/>
  <c r="M30" i="81" a="1"/>
  <c r="M30" i="81" s="1"/>
  <c r="M35" i="81" s="1"/>
  <c r="M30" i="82" a="1"/>
  <c r="M30" i="82" s="1"/>
  <c r="M30" i="72" a="1"/>
  <c r="M30" i="72" s="1"/>
  <c r="M30" i="73" a="1"/>
  <c r="M30" i="73" s="1"/>
  <c r="M29" i="68"/>
  <c r="M32" i="68"/>
  <c r="M26" i="68"/>
  <c r="Z14" i="81" l="1"/>
  <c r="Y71" i="81" a="1"/>
  <c r="Y71" i="81" s="1"/>
  <c r="Z76" i="81" s="1"/>
  <c r="X71" i="81" a="1"/>
  <c r="X71" i="81" s="1"/>
  <c r="Y76" i="81" s="1"/>
  <c r="Y32" i="81"/>
  <c r="Y26" i="81"/>
  <c r="Y27" i="81" s="1"/>
  <c r="Y28" i="75" s="1"/>
  <c r="Y29" i="81"/>
  <c r="Y31" i="81"/>
  <c r="Y17" i="81"/>
  <c r="Y67" i="81"/>
  <c r="Y72" i="81" s="1" a="1"/>
  <c r="Y72" i="81" s="1"/>
  <c r="Z77" i="81" s="1"/>
  <c r="Y32" i="87"/>
  <c r="Y22" i="87" s="1"/>
  <c r="Y14" i="87" s="1"/>
  <c r="Z15" i="81"/>
  <c r="Z24" i="81"/>
  <c r="X72" i="81" a="1"/>
  <c r="X72" i="81" s="1"/>
  <c r="Y77" i="81" s="1"/>
  <c r="N24" i="68"/>
  <c r="M27" i="68"/>
  <c r="M98" i="75"/>
  <c r="L16" i="75"/>
  <c r="L92" i="75" s="1"/>
  <c r="M31" i="87"/>
  <c r="Z79" i="81" l="1"/>
  <c r="Z81" i="81" s="1"/>
  <c r="AA14" i="81"/>
  <c r="AA66" i="81" s="1"/>
  <c r="Y79" i="81"/>
  <c r="Y81" i="81" s="1"/>
  <c r="Z66" i="81"/>
  <c r="Z17" i="81"/>
  <c r="Z67" i="81"/>
  <c r="Z72" i="81" s="1" a="1"/>
  <c r="Z72" i="81" s="1"/>
  <c r="AA77" i="81" s="1"/>
  <c r="Z32" i="87"/>
  <c r="Z22" i="87" s="1"/>
  <c r="Z14" i="87" s="1"/>
  <c r="AA15" i="81"/>
  <c r="AA24" i="81"/>
  <c r="Z32" i="81"/>
  <c r="Z26" i="81"/>
  <c r="Z27" i="81" s="1"/>
  <c r="Z28" i="75" s="1"/>
  <c r="Z29" i="81"/>
  <c r="Z31" i="81"/>
  <c r="M14" i="75"/>
  <c r="M99" i="75"/>
  <c r="M35" i="68"/>
  <c r="M21" i="87"/>
  <c r="M13" i="87" s="1"/>
  <c r="N30" i="82" a="1"/>
  <c r="N30" i="82" s="1"/>
  <c r="N30" i="72" a="1"/>
  <c r="N30" i="72" s="1"/>
  <c r="N30" i="73" a="1"/>
  <c r="N30" i="73" s="1"/>
  <c r="N31" i="68"/>
  <c r="N26" i="68"/>
  <c r="N29" i="68"/>
  <c r="N32" i="68"/>
  <c r="N30" i="81" a="1"/>
  <c r="N30" i="81" s="1"/>
  <c r="N35" i="81" s="1"/>
  <c r="O24" i="68" l="1"/>
  <c r="O26" i="68" s="1"/>
  <c r="AA71" i="81" a="1"/>
  <c r="AA71" i="81" s="1"/>
  <c r="AB76" i="81" s="1"/>
  <c r="Z71" i="81" a="1"/>
  <c r="Z71" i="81" s="1"/>
  <c r="AA76" i="81" s="1"/>
  <c r="AA79" i="81" s="1"/>
  <c r="AA81" i="81" s="1"/>
  <c r="AA32" i="81"/>
  <c r="AA31" i="81"/>
  <c r="AA26" i="81"/>
  <c r="AA27" i="81" s="1"/>
  <c r="AA28" i="75" s="1"/>
  <c r="AA29" i="81"/>
  <c r="AA17" i="81"/>
  <c r="AA67" i="81"/>
  <c r="AA72" i="81" s="1" a="1"/>
  <c r="AA72" i="81" s="1"/>
  <c r="AB77" i="81" s="1"/>
  <c r="AA32" i="87"/>
  <c r="AA22" i="87" s="1"/>
  <c r="AA14" i="87" s="1"/>
  <c r="AB15" i="81"/>
  <c r="AB24" i="81"/>
  <c r="O30" i="72" a="1"/>
  <c r="O30" i="72" s="1"/>
  <c r="O32" i="68"/>
  <c r="O31" i="68"/>
  <c r="O30" i="73" a="1"/>
  <c r="O30" i="73" s="1"/>
  <c r="O30" i="81" a="1"/>
  <c r="O30" i="81" s="1"/>
  <c r="O35" i="81" s="1"/>
  <c r="M16" i="75"/>
  <c r="M92" i="75" s="1"/>
  <c r="N27" i="68"/>
  <c r="N98" i="75"/>
  <c r="AB79" i="81" l="1"/>
  <c r="AB81" i="81" s="1"/>
  <c r="O30" i="82" a="1"/>
  <c r="O30" i="82" s="1"/>
  <c r="O29" i="68"/>
  <c r="AB14" i="81"/>
  <c r="AB17" i="81" s="1"/>
  <c r="C10" i="47" s="1"/>
  <c r="AB32" i="87"/>
  <c r="AB22" i="87" s="1"/>
  <c r="AB14" i="87" s="1"/>
  <c r="AC24" i="81"/>
  <c r="AC15" i="81"/>
  <c r="AB67" i="81"/>
  <c r="AB72" i="81" s="1" a="1"/>
  <c r="AB72" i="81" s="1"/>
  <c r="AC77" i="81" s="1"/>
  <c r="AB31" i="81"/>
  <c r="AB29" i="81"/>
  <c r="AB32" i="81"/>
  <c r="AB26" i="81"/>
  <c r="AB27" i="81" s="1"/>
  <c r="AB28" i="75" s="1"/>
  <c r="N99" i="75"/>
  <c r="N35" i="68"/>
  <c r="N14" i="75"/>
  <c r="N31" i="87"/>
  <c r="N21" i="87" s="1"/>
  <c r="N13" i="87" s="1"/>
  <c r="O27" i="68"/>
  <c r="O98" i="75"/>
  <c r="AB66" i="81" l="1"/>
  <c r="AC14" i="81"/>
  <c r="AC66" i="81" s="1"/>
  <c r="K63" i="81"/>
  <c r="K83" i="81" s="1"/>
  <c r="D32" i="62"/>
  <c r="D10" i="47"/>
  <c r="A4" i="81" s="1"/>
  <c r="F10" i="47"/>
  <c r="J63" i="81"/>
  <c r="J83" i="81" s="1"/>
  <c r="I63" i="81"/>
  <c r="I83" i="81" s="1"/>
  <c r="L63" i="81"/>
  <c r="L83" i="81" s="1"/>
  <c r="M63" i="81"/>
  <c r="M83" i="81" s="1"/>
  <c r="AC29" i="81"/>
  <c r="AC31" i="81"/>
  <c r="AC26" i="81"/>
  <c r="AC27" i="81" s="1"/>
  <c r="AC28" i="75" s="1"/>
  <c r="AC32" i="81"/>
  <c r="AC67" i="81"/>
  <c r="AC72" i="81" s="1" a="1"/>
  <c r="AC72" i="81" s="1"/>
  <c r="AD77" i="81" s="1"/>
  <c r="AC32" i="87"/>
  <c r="AC22" i="87" s="1"/>
  <c r="AC14" i="87" s="1"/>
  <c r="AD15" i="81"/>
  <c r="AD24" i="81"/>
  <c r="P24" i="68"/>
  <c r="O99" i="75"/>
  <c r="O14" i="75"/>
  <c r="O35" i="68"/>
  <c r="N16" i="75"/>
  <c r="N92" i="75" s="1"/>
  <c r="N63" i="81"/>
  <c r="N83" i="81" s="1"/>
  <c r="O31" i="87"/>
  <c r="AC17" i="81" l="1"/>
  <c r="AB71" i="81" a="1"/>
  <c r="AB71" i="81" s="1"/>
  <c r="AC76" i="81" s="1"/>
  <c r="AC79" i="81" s="1"/>
  <c r="AC81" i="81" s="1"/>
  <c r="AC71" i="81" a="1"/>
  <c r="AC71" i="81" s="1"/>
  <c r="AD76" i="81" s="1"/>
  <c r="AD79" i="81" s="1"/>
  <c r="AD81" i="81" s="1"/>
  <c r="AD14" i="81"/>
  <c r="AD66" i="81" s="1"/>
  <c r="AD67" i="81"/>
  <c r="AD72" i="81" s="1" a="1"/>
  <c r="AD72" i="81" s="1"/>
  <c r="AE77" i="81" s="1"/>
  <c r="AD32" i="87"/>
  <c r="AD22" i="87" s="1"/>
  <c r="AD14" i="87" s="1"/>
  <c r="AE15" i="81"/>
  <c r="AE24" i="81"/>
  <c r="M86" i="81"/>
  <c r="M105" i="81" s="1"/>
  <c r="M107" i="81"/>
  <c r="J107" i="81"/>
  <c r="J86" i="81"/>
  <c r="J105" i="81" s="1"/>
  <c r="AD29" i="81"/>
  <c r="AD32" i="81"/>
  <c r="AD26" i="81"/>
  <c r="AD31" i="81"/>
  <c r="L86" i="81"/>
  <c r="L105" i="81" s="1"/>
  <c r="L107" i="81"/>
  <c r="I107" i="81"/>
  <c r="I86" i="81"/>
  <c r="I105" i="81" s="1"/>
  <c r="K107" i="81"/>
  <c r="K86" i="81"/>
  <c r="K105" i="81" s="1"/>
  <c r="O21" i="87"/>
  <c r="O13" i="87" s="1"/>
  <c r="N107" i="81"/>
  <c r="N86" i="81"/>
  <c r="N105" i="81" s="1"/>
  <c r="O63" i="81"/>
  <c r="O83" i="81" s="1"/>
  <c r="O16" i="75"/>
  <c r="O92" i="75" s="1"/>
  <c r="P30" i="82" a="1"/>
  <c r="P30" i="82" s="1"/>
  <c r="P30" i="81" a="1"/>
  <c r="P30" i="81" s="1"/>
  <c r="P35" i="81" s="1"/>
  <c r="P30" i="73" a="1"/>
  <c r="P30" i="73" s="1"/>
  <c r="P30" i="72" a="1"/>
  <c r="P30" i="72" s="1"/>
  <c r="P29" i="68"/>
  <c r="P32" i="68"/>
  <c r="P31" i="68"/>
  <c r="P26" i="68"/>
  <c r="AD17" i="81" l="1"/>
  <c r="Q24" i="68"/>
  <c r="P31" i="87"/>
  <c r="AE14" i="81"/>
  <c r="AD71" i="81" a="1"/>
  <c r="AD71" i="81" s="1"/>
  <c r="AE76" i="81" s="1"/>
  <c r="AE79" i="81" s="1"/>
  <c r="AE81" i="81" s="1"/>
  <c r="AE32" i="81"/>
  <c r="AE26" i="81"/>
  <c r="AE27" i="81" s="1"/>
  <c r="AE28" i="75" s="1"/>
  <c r="AE29" i="81"/>
  <c r="AE31" i="81"/>
  <c r="AE32" i="87"/>
  <c r="AE22" i="87" s="1"/>
  <c r="AE14" i="87" s="1"/>
  <c r="AF24" i="81"/>
  <c r="AF15" i="81"/>
  <c r="L116" i="81" a="1"/>
  <c r="L116" i="81" s="1"/>
  <c r="L109" i="81" a="1"/>
  <c r="L109" i="81" s="1"/>
  <c r="L110" i="81" a="1"/>
  <c r="L110" i="81" s="1"/>
  <c r="L112" i="81" a="1"/>
  <c r="L112" i="81" s="1"/>
  <c r="L111" i="81" a="1"/>
  <c r="L111" i="81" s="1"/>
  <c r="L115" i="81" a="1"/>
  <c r="L115" i="81" s="1"/>
  <c r="L114" i="81" a="1"/>
  <c r="L114" i="81" s="1"/>
  <c r="L113" i="81" a="1"/>
  <c r="L113" i="81" s="1"/>
  <c r="K113" i="81" a="1"/>
  <c r="K113" i="81" s="1"/>
  <c r="K115" i="81" a="1"/>
  <c r="K115" i="81" s="1"/>
  <c r="K114" i="81" a="1"/>
  <c r="K114" i="81" s="1"/>
  <c r="K116" i="81" a="1"/>
  <c r="K116" i="81" s="1"/>
  <c r="K111" i="81" a="1"/>
  <c r="K111" i="81" s="1"/>
  <c r="K112" i="81" a="1"/>
  <c r="K112" i="81" s="1"/>
  <c r="K110" i="81" a="1"/>
  <c r="K110" i="81" s="1"/>
  <c r="K109" i="81" a="1"/>
  <c r="K109" i="81" s="1"/>
  <c r="AD27" i="81"/>
  <c r="AD28" i="75" s="1"/>
  <c r="AE67" i="81"/>
  <c r="AE72" i="81" s="1" a="1"/>
  <c r="AE72" i="81" s="1"/>
  <c r="AF77" i="81" s="1"/>
  <c r="AE17" i="81"/>
  <c r="I109" i="81" a="1"/>
  <c r="I109" i="81" s="1"/>
  <c r="I111" i="81" a="1"/>
  <c r="I111" i="81" s="1"/>
  <c r="I114" i="81" a="1"/>
  <c r="I114" i="81" s="1"/>
  <c r="I112" i="81" a="1"/>
  <c r="I112" i="81" s="1"/>
  <c r="I113" i="81" a="1"/>
  <c r="I113" i="81" s="1"/>
  <c r="I116" i="81" a="1"/>
  <c r="I116" i="81" s="1"/>
  <c r="I110" i="81" a="1"/>
  <c r="I110" i="81" s="1"/>
  <c r="I115" i="81" a="1"/>
  <c r="I115" i="81" s="1"/>
  <c r="J115" i="81" a="1"/>
  <c r="J115" i="81" s="1"/>
  <c r="J116" i="81" a="1"/>
  <c r="J116" i="81" s="1"/>
  <c r="J110" i="81" a="1"/>
  <c r="J110" i="81" s="1"/>
  <c r="J113" i="81" a="1"/>
  <c r="J113" i="81" s="1"/>
  <c r="J111" i="81" a="1"/>
  <c r="J111" i="81" s="1"/>
  <c r="J114" i="81" a="1"/>
  <c r="J114" i="81" s="1"/>
  <c r="J112" i="81" a="1"/>
  <c r="J112" i="81" s="1"/>
  <c r="J109" i="81" a="1"/>
  <c r="J109" i="81" s="1"/>
  <c r="M113" i="81" a="1"/>
  <c r="M113" i="81" s="1"/>
  <c r="M115" i="81" a="1"/>
  <c r="M115" i="81" s="1"/>
  <c r="M112" i="81" a="1"/>
  <c r="M112" i="81" s="1"/>
  <c r="M111" i="81" a="1"/>
  <c r="M111" i="81" s="1"/>
  <c r="M116" i="81" a="1"/>
  <c r="M116" i="81" s="1"/>
  <c r="M114" i="81" a="1"/>
  <c r="M114" i="81" s="1"/>
  <c r="M110" i="81" a="1"/>
  <c r="M110" i="81" s="1"/>
  <c r="M109" i="81" a="1"/>
  <c r="M109" i="81" s="1"/>
  <c r="P21" i="87"/>
  <c r="P13" i="87" s="1"/>
  <c r="P27" i="68"/>
  <c r="P98" i="75"/>
  <c r="O86" i="81"/>
  <c r="O105" i="81" s="1"/>
  <c r="O107" i="81"/>
  <c r="Q30" i="81" a="1"/>
  <c r="Q30" i="81" s="1"/>
  <c r="Q35" i="81" s="1"/>
  <c r="Q26" i="68"/>
  <c r="Q30" i="82" a="1"/>
  <c r="Q30" i="82" s="1"/>
  <c r="Q31" i="68"/>
  <c r="Q32" i="68"/>
  <c r="Q30" i="72" a="1"/>
  <c r="Q30" i="72" s="1"/>
  <c r="Q29" i="68"/>
  <c r="Q30" i="73" a="1"/>
  <c r="Q30" i="73" s="1"/>
  <c r="N112" i="81" a="1"/>
  <c r="N112" i="81" s="1"/>
  <c r="N110" i="81" a="1"/>
  <c r="N110" i="81" s="1"/>
  <c r="N114" i="81" a="1"/>
  <c r="N114" i="81" s="1"/>
  <c r="N111" i="81" a="1"/>
  <c r="N111" i="81" s="1"/>
  <c r="N116" i="81" a="1"/>
  <c r="N116" i="81" s="1"/>
  <c r="N109" i="81" a="1"/>
  <c r="N109" i="81" s="1"/>
  <c r="N113" i="81" a="1"/>
  <c r="N113" i="81" s="1"/>
  <c r="N115" i="81" a="1"/>
  <c r="N115" i="81" s="1"/>
  <c r="AE66" i="81" l="1"/>
  <c r="AF14" i="81"/>
  <c r="AF66" i="81" s="1"/>
  <c r="AG14" i="81"/>
  <c r="AG66" i="81" s="1"/>
  <c r="AG24" i="81"/>
  <c r="AG15" i="81"/>
  <c r="AF17" i="81"/>
  <c r="AF67" i="81"/>
  <c r="AF72" i="81" s="1" a="1"/>
  <c r="AF72" i="81" s="1"/>
  <c r="AG77" i="81" s="1"/>
  <c r="AF29" i="81"/>
  <c r="AF31" i="81"/>
  <c r="AF26" i="81"/>
  <c r="AF32" i="81"/>
  <c r="O116" i="81" a="1"/>
  <c r="O116" i="81" s="1"/>
  <c r="O110" i="81" a="1"/>
  <c r="O110" i="81" s="1"/>
  <c r="O113" i="81" a="1"/>
  <c r="O113" i="81" s="1"/>
  <c r="O114" i="81" a="1"/>
  <c r="O114" i="81" s="1"/>
  <c r="O109" i="81" a="1"/>
  <c r="O109" i="81" s="1"/>
  <c r="O115" i="81" a="1"/>
  <c r="O115" i="81" s="1"/>
  <c r="O111" i="81" a="1"/>
  <c r="O111" i="81" s="1"/>
  <c r="O112" i="81" a="1"/>
  <c r="O112" i="81" s="1"/>
  <c r="R24" i="68"/>
  <c r="Q31" i="87"/>
  <c r="Q98" i="75"/>
  <c r="Q27" i="68"/>
  <c r="P35" i="68"/>
  <c r="P14" i="75"/>
  <c r="P99" i="75"/>
  <c r="C53" i="62" l="1"/>
  <c r="AE71" i="81" a="1"/>
  <c r="AE71" i="81" s="1"/>
  <c r="AF76" i="81" s="1"/>
  <c r="AF79" i="81" s="1"/>
  <c r="AF81" i="81" s="1"/>
  <c r="AG71" i="81" a="1"/>
  <c r="AG71" i="81" s="1"/>
  <c r="AF71" i="81" a="1"/>
  <c r="AF71" i="81" s="1"/>
  <c r="AG76" i="81" s="1"/>
  <c r="AG79" i="81" s="1"/>
  <c r="AG81" i="81" s="1"/>
  <c r="AF27" i="81"/>
  <c r="AF28" i="75" s="1"/>
  <c r="AG67" i="81"/>
  <c r="AG72" i="81" s="1" a="1"/>
  <c r="AG72" i="81" s="1"/>
  <c r="AG17" i="81"/>
  <c r="G89" i="81" s="1" a="1"/>
  <c r="G89" i="81" s="1"/>
  <c r="G91" i="81" s="1"/>
  <c r="C32" i="62" s="1"/>
  <c r="C54" i="62"/>
  <c r="D53" i="62" s="1"/>
  <c r="C4" i="81" s="1"/>
  <c r="AG26" i="81"/>
  <c r="AG27" i="81" s="1"/>
  <c r="AG28" i="75" s="1"/>
  <c r="AG32" i="81"/>
  <c r="AG31" i="81"/>
  <c r="AG29" i="81"/>
  <c r="Q99" i="75"/>
  <c r="Q35" i="68"/>
  <c r="Q14" i="75"/>
  <c r="Q21" i="87"/>
  <c r="Q13" i="87" s="1"/>
  <c r="P63" i="81"/>
  <c r="P83" i="81" s="1"/>
  <c r="P16" i="75"/>
  <c r="P92" i="75" s="1"/>
  <c r="R29" i="68"/>
  <c r="R26" i="68"/>
  <c r="R30" i="72" a="1"/>
  <c r="R30" i="72" s="1"/>
  <c r="R30" i="73" a="1"/>
  <c r="R30" i="73" s="1"/>
  <c r="R31" i="68"/>
  <c r="R30" i="82" a="1"/>
  <c r="R30" i="82" s="1"/>
  <c r="R32" i="68"/>
  <c r="R30" i="81" a="1"/>
  <c r="R30" i="81" s="1"/>
  <c r="R35" i="81" s="1"/>
  <c r="F28" i="75" l="1"/>
  <c r="S24" i="68"/>
  <c r="S30" i="81" s="1" a="1"/>
  <c r="S30" i="81" s="1"/>
  <c r="S35" i="81" s="1"/>
  <c r="F27" i="81"/>
  <c r="P107" i="81"/>
  <c r="P86" i="81"/>
  <c r="P105" i="81" s="1"/>
  <c r="R31" i="87"/>
  <c r="R98" i="75"/>
  <c r="R27" i="68"/>
  <c r="Q16" i="75"/>
  <c r="Q92" i="75" s="1"/>
  <c r="Q63" i="81"/>
  <c r="Q83" i="81" s="1"/>
  <c r="S31" i="68"/>
  <c r="S30" i="73" a="1"/>
  <c r="S30" i="73" s="1"/>
  <c r="S26" i="68"/>
  <c r="S30" i="72" a="1"/>
  <c r="S30" i="72" s="1"/>
  <c r="S30" i="82" a="1"/>
  <c r="S30" i="82" s="1"/>
  <c r="S32" i="68"/>
  <c r="I35" i="87"/>
  <c r="S29" i="68" l="1"/>
  <c r="Q107" i="81"/>
  <c r="Q86" i="81"/>
  <c r="Q105" i="81" s="1"/>
  <c r="R35" i="68"/>
  <c r="R99" i="75"/>
  <c r="R14" i="75"/>
  <c r="P109" i="81" a="1"/>
  <c r="P109" i="81" s="1"/>
  <c r="P111" i="81" a="1"/>
  <c r="P111" i="81" s="1"/>
  <c r="P114" i="81" a="1"/>
  <c r="P114" i="81" s="1"/>
  <c r="P113" i="81" a="1"/>
  <c r="P113" i="81" s="1"/>
  <c r="P110" i="81" a="1"/>
  <c r="P110" i="81" s="1"/>
  <c r="P115" i="81" a="1"/>
  <c r="P115" i="81" s="1"/>
  <c r="P116" i="81" a="1"/>
  <c r="P116" i="81" s="1"/>
  <c r="P112" i="81" a="1"/>
  <c r="P112" i="81" s="1"/>
  <c r="S27" i="68"/>
  <c r="S98" i="75"/>
  <c r="R21" i="87"/>
  <c r="R13" i="87" s="1"/>
  <c r="J15" i="82"/>
  <c r="J14" i="82"/>
  <c r="Q113" i="81" l="1" a="1"/>
  <c r="Q113" i="81" s="1"/>
  <c r="Q111" i="81" a="1"/>
  <c r="Q111" i="81" s="1"/>
  <c r="Q112" i="81" a="1"/>
  <c r="Q112" i="81" s="1"/>
  <c r="Q110" i="81" a="1"/>
  <c r="Q110" i="81" s="1"/>
  <c r="Q109" i="81" a="1"/>
  <c r="Q109" i="81" s="1"/>
  <c r="Q115" i="81" a="1"/>
  <c r="Q115" i="81" s="1"/>
  <c r="Q114" i="81" a="1"/>
  <c r="Q114" i="81" s="1"/>
  <c r="Q116" i="81" a="1"/>
  <c r="Q116" i="81" s="1"/>
  <c r="R16" i="75"/>
  <c r="R92" i="75" s="1"/>
  <c r="R63" i="81"/>
  <c r="R83" i="81" s="1"/>
  <c r="T24" i="68"/>
  <c r="S31" i="87"/>
  <c r="S35" i="68"/>
  <c r="S14" i="75"/>
  <c r="S99" i="75"/>
  <c r="I25" i="87"/>
  <c r="I17" i="87" s="1"/>
  <c r="J66" i="82"/>
  <c r="J17" i="82"/>
  <c r="J67" i="82"/>
  <c r="K24" i="82" l="1"/>
  <c r="K31" i="82" s="1"/>
  <c r="R86" i="81"/>
  <c r="R105" i="81" s="1"/>
  <c r="R107" i="81"/>
  <c r="S63" i="81"/>
  <c r="S83" i="81" s="1"/>
  <c r="S16" i="75"/>
  <c r="S92" i="75" s="1"/>
  <c r="T29" i="68"/>
  <c r="T30" i="73" a="1"/>
  <c r="T30" i="73" s="1"/>
  <c r="T31" i="68"/>
  <c r="T30" i="81" a="1"/>
  <c r="T30" i="81" s="1"/>
  <c r="T35" i="81" s="1"/>
  <c r="T30" i="82" a="1"/>
  <c r="T30" i="82" s="1"/>
  <c r="T26" i="68"/>
  <c r="T32" i="68"/>
  <c r="T30" i="72" a="1"/>
  <c r="T30" i="72" s="1"/>
  <c r="J35" i="87"/>
  <c r="J35" i="82"/>
  <c r="J70" i="75"/>
  <c r="J72" i="82" a="1"/>
  <c r="J72" i="82" s="1"/>
  <c r="K77" i="82" s="1"/>
  <c r="J71" i="82" a="1"/>
  <c r="J71" i="82" s="1"/>
  <c r="K76" i="82" s="1"/>
  <c r="K32" i="82" l="1"/>
  <c r="K26" i="82"/>
  <c r="K27" i="82" s="1"/>
  <c r="K29" i="82"/>
  <c r="R112" i="81" a="1"/>
  <c r="R112" i="81" s="1"/>
  <c r="R115" i="81" a="1"/>
  <c r="R115" i="81" s="1"/>
  <c r="R114" i="81" a="1"/>
  <c r="R114" i="81" s="1"/>
  <c r="R113" i="81" a="1"/>
  <c r="R113" i="81" s="1"/>
  <c r="R110" i="81" a="1"/>
  <c r="R110" i="81" s="1"/>
  <c r="R109" i="81" a="1"/>
  <c r="R109" i="81" s="1"/>
  <c r="R111" i="81" a="1"/>
  <c r="R111" i="81" s="1"/>
  <c r="R116" i="81" a="1"/>
  <c r="R116" i="81" s="1"/>
  <c r="T27" i="68"/>
  <c r="T98" i="75"/>
  <c r="S86" i="81"/>
  <c r="S105" i="81" s="1"/>
  <c r="S107" i="81"/>
  <c r="S21" i="87"/>
  <c r="S13" i="87" s="1"/>
  <c r="K79" i="82"/>
  <c r="K81" i="82" s="1"/>
  <c r="K106" i="82" s="1"/>
  <c r="K14" i="82"/>
  <c r="K15" i="82"/>
  <c r="K67" i="82" s="1"/>
  <c r="K72" i="82" s="1" a="1"/>
  <c r="K72" i="82" s="1"/>
  <c r="L77" i="82" s="1"/>
  <c r="U24" i="68" l="1"/>
  <c r="U30" i="82" s="1" a="1"/>
  <c r="U30" i="82" s="1"/>
  <c r="S114" i="81" a="1"/>
  <c r="S114" i="81" s="1"/>
  <c r="S113" i="81" a="1"/>
  <c r="S113" i="81" s="1"/>
  <c r="S112" i="81" a="1"/>
  <c r="S112" i="81" s="1"/>
  <c r="S110" i="81" a="1"/>
  <c r="S110" i="81" s="1"/>
  <c r="S109" i="81" a="1"/>
  <c r="S109" i="81" s="1"/>
  <c r="S111" i="81" a="1"/>
  <c r="S111" i="81" s="1"/>
  <c r="S116" i="81" a="1"/>
  <c r="S116" i="81" s="1"/>
  <c r="S115" i="81" a="1"/>
  <c r="S115" i="81" s="1"/>
  <c r="T99" i="75"/>
  <c r="T35" i="68"/>
  <c r="T14" i="75"/>
  <c r="K35" i="82"/>
  <c r="K70" i="75"/>
  <c r="K66" i="82"/>
  <c r="K71" i="82" s="1" a="1"/>
  <c r="K71" i="82" s="1"/>
  <c r="L76" i="82" s="1"/>
  <c r="L79" i="82" s="1"/>
  <c r="L81" i="82" s="1"/>
  <c r="L106" i="82" s="1"/>
  <c r="K17" i="82"/>
  <c r="J25" i="87"/>
  <c r="J17" i="87" s="1"/>
  <c r="U31" i="68" l="1"/>
  <c r="U30" i="72" a="1"/>
  <c r="U30" i="72" s="1"/>
  <c r="U30" i="81" a="1"/>
  <c r="U30" i="81" s="1"/>
  <c r="U35" i="81" s="1"/>
  <c r="U32" i="68"/>
  <c r="U26" i="68"/>
  <c r="U27" i="68" s="1"/>
  <c r="U29" i="68"/>
  <c r="U30" i="73" a="1"/>
  <c r="U30" i="73" s="1"/>
  <c r="L24" i="82"/>
  <c r="L31" i="82" s="1"/>
  <c r="T63" i="81"/>
  <c r="T83" i="81" s="1"/>
  <c r="T16" i="75"/>
  <c r="T92" i="75" s="1"/>
  <c r="K35" i="87"/>
  <c r="L29" i="82" l="1"/>
  <c r="L32" i="82"/>
  <c r="L26" i="82"/>
  <c r="L27" i="82" s="1"/>
  <c r="T86" i="81"/>
  <c r="T105" i="81" s="1"/>
  <c r="T107" i="81"/>
  <c r="L14" i="82"/>
  <c r="L15" i="82"/>
  <c r="L67" i="82" s="1"/>
  <c r="T115" i="81" l="1" a="1"/>
  <c r="T115" i="81" s="1"/>
  <c r="T114" i="81" a="1"/>
  <c r="T114" i="81" s="1"/>
  <c r="T112" i="81" a="1"/>
  <c r="T112" i="81" s="1"/>
  <c r="T111" i="81" a="1"/>
  <c r="T111" i="81" s="1"/>
  <c r="T113" i="81" a="1"/>
  <c r="T113" i="81" s="1"/>
  <c r="T109" i="81" a="1"/>
  <c r="T109" i="81" s="1"/>
  <c r="T116" i="81" a="1"/>
  <c r="T116" i="81" s="1"/>
  <c r="T110" i="81" a="1"/>
  <c r="T110" i="81" s="1"/>
  <c r="L72" i="82" a="1"/>
  <c r="L72" i="82" s="1"/>
  <c r="M77" i="82" s="1"/>
  <c r="L66" i="82"/>
  <c r="L17" i="82"/>
  <c r="L70" i="75"/>
  <c r="L35" i="82"/>
  <c r="K25" i="87"/>
  <c r="K17" i="87" s="1"/>
  <c r="M24" i="82" l="1"/>
  <c r="M29" i="82" s="1"/>
  <c r="L35" i="87"/>
  <c r="L71" i="82" a="1"/>
  <c r="L71" i="82" s="1"/>
  <c r="M76" i="82" s="1"/>
  <c r="M79" i="82" s="1"/>
  <c r="M81" i="82" s="1"/>
  <c r="M106" i="82" s="1"/>
  <c r="M31" i="82" l="1"/>
  <c r="M26" i="82"/>
  <c r="M27" i="82" s="1"/>
  <c r="M32" i="82"/>
  <c r="M14" i="82"/>
  <c r="M15" i="82"/>
  <c r="M67" i="82" s="1"/>
  <c r="M72" i="82" s="1" a="1"/>
  <c r="M72" i="82" s="1"/>
  <c r="N77" i="82" s="1"/>
  <c r="M70" i="75" l="1"/>
  <c r="M35" i="82"/>
  <c r="L25" i="87"/>
  <c r="L17" i="87" s="1"/>
  <c r="M66" i="82"/>
  <c r="M17" i="82"/>
  <c r="N24" i="82" l="1"/>
  <c r="N26" i="82" s="1"/>
  <c r="N27" i="82" s="1"/>
  <c r="M71" i="82" a="1"/>
  <c r="M71" i="82" s="1"/>
  <c r="N76" i="82" s="1"/>
  <c r="N79" i="82" s="1"/>
  <c r="N81" i="82" s="1"/>
  <c r="N106" i="82" s="1"/>
  <c r="M35" i="87"/>
  <c r="N32" i="82" l="1"/>
  <c r="N29" i="82"/>
  <c r="N31" i="82"/>
  <c r="N15" i="82"/>
  <c r="N67" i="82" s="1"/>
  <c r="N72" i="82" s="1" a="1"/>
  <c r="N72" i="82" s="1"/>
  <c r="O77" i="82" s="1"/>
  <c r="N14" i="82"/>
  <c r="M25" i="87" l="1"/>
  <c r="M17" i="87" s="1"/>
  <c r="N17" i="82"/>
  <c r="N66" i="82"/>
  <c r="N70" i="75"/>
  <c r="N35" i="82"/>
  <c r="O24" i="82" l="1"/>
  <c r="O29" i="82" s="1"/>
  <c r="N71" i="82" a="1"/>
  <c r="N71" i="82" s="1"/>
  <c r="O76" i="82" s="1"/>
  <c r="O79" i="82" s="1"/>
  <c r="O81" i="82" s="1"/>
  <c r="O106" i="82" s="1"/>
  <c r="N35" i="87"/>
  <c r="O32" i="82" l="1"/>
  <c r="O26" i="82"/>
  <c r="O27" i="82" s="1"/>
  <c r="O31" i="82"/>
  <c r="O14" i="82"/>
  <c r="O15" i="82"/>
  <c r="O67" i="82" s="1"/>
  <c r="O72" i="82" s="1" a="1"/>
  <c r="O72" i="82" s="1"/>
  <c r="P77" i="82" s="1"/>
  <c r="O35" i="82" l="1"/>
  <c r="O70" i="75"/>
  <c r="N25" i="87"/>
  <c r="N17" i="87" s="1"/>
  <c r="O66" i="82"/>
  <c r="O17" i="82"/>
  <c r="P24" i="82" l="1"/>
  <c r="P32" i="82" s="1"/>
  <c r="O35" i="87"/>
  <c r="O71" i="82" a="1"/>
  <c r="O71" i="82" s="1"/>
  <c r="P76" i="82" s="1"/>
  <c r="P79" i="82" s="1"/>
  <c r="P81" i="82" s="1"/>
  <c r="P106" i="82" s="1"/>
  <c r="P31" i="82" l="1"/>
  <c r="P29" i="82"/>
  <c r="P26" i="82"/>
  <c r="P27" i="82" s="1"/>
  <c r="P14" i="82"/>
  <c r="P15" i="82"/>
  <c r="P67" i="82" l="1"/>
  <c r="O25" i="87"/>
  <c r="O17" i="87" s="1"/>
  <c r="P66" i="82"/>
  <c r="P17" i="82"/>
  <c r="Q24" i="82" l="1"/>
  <c r="Q29" i="82" s="1"/>
  <c r="Q15" i="82"/>
  <c r="P35" i="87"/>
  <c r="P25" i="87" s="1"/>
  <c r="P17" i="87" s="1"/>
  <c r="P70" i="75"/>
  <c r="P35" i="82"/>
  <c r="P71" i="82" a="1"/>
  <c r="P71" i="82" s="1"/>
  <c r="Q76" i="82" s="1"/>
  <c r="P72" i="82" a="1"/>
  <c r="P72" i="82" s="1"/>
  <c r="Q77" i="82" s="1"/>
  <c r="Q31" i="82" l="1"/>
  <c r="Q32" i="82"/>
  <c r="Q26" i="82"/>
  <c r="Q27" i="82" s="1"/>
  <c r="R15" i="82"/>
  <c r="R67" i="82" s="1"/>
  <c r="R24" i="82"/>
  <c r="Q79" i="82"/>
  <c r="Q81" i="82" s="1"/>
  <c r="Q106" i="82" s="1"/>
  <c r="Q14" i="82"/>
  <c r="R14" i="82"/>
  <c r="Q67" i="82"/>
  <c r="I34" i="87"/>
  <c r="R26" i="82" l="1"/>
  <c r="R27" i="82" s="1"/>
  <c r="R31" i="82"/>
  <c r="R32" i="82"/>
  <c r="R29" i="82"/>
  <c r="Q35" i="87"/>
  <c r="R72" i="82" a="1"/>
  <c r="R72" i="82" s="1"/>
  <c r="S77" i="82" s="1"/>
  <c r="Q72" i="82" a="1"/>
  <c r="Q72" i="82" s="1"/>
  <c r="R77" i="82" s="1"/>
  <c r="R66" i="82"/>
  <c r="R17" i="82"/>
  <c r="Q17" i="82"/>
  <c r="Q66" i="82"/>
  <c r="J15" i="73"/>
  <c r="J67" i="73" s="1"/>
  <c r="J72" i="73" s="1" a="1"/>
  <c r="J72" i="73" s="1"/>
  <c r="K77" i="73" s="1"/>
  <c r="J56" i="75"/>
  <c r="J14" i="73"/>
  <c r="R70" i="75" l="1"/>
  <c r="R35" i="82"/>
  <c r="Q25" i="87"/>
  <c r="Q17" i="87" s="1"/>
  <c r="I24" i="87"/>
  <c r="I16" i="87" s="1"/>
  <c r="R71" i="82" a="1"/>
  <c r="R71" i="82" s="1"/>
  <c r="S76" i="82" s="1"/>
  <c r="S79" i="82" s="1"/>
  <c r="S81" i="82" s="1"/>
  <c r="Q71" i="82" a="1"/>
  <c r="Q71" i="82" s="1"/>
  <c r="R76" i="82" s="1"/>
  <c r="R79" i="82" s="1"/>
  <c r="R81" i="82" s="1"/>
  <c r="Q70" i="75"/>
  <c r="Q35" i="82"/>
  <c r="J35" i="73"/>
  <c r="J66" i="73"/>
  <c r="J17" i="73"/>
  <c r="S24" i="82" l="1"/>
  <c r="S15" i="82"/>
  <c r="K24" i="73"/>
  <c r="K26" i="73" s="1"/>
  <c r="K27" i="73" s="1"/>
  <c r="R106" i="82"/>
  <c r="S106" i="82"/>
  <c r="J71" i="73" a="1"/>
  <c r="J71" i="73" s="1"/>
  <c r="K76" i="73" s="1"/>
  <c r="K79" i="73" s="1"/>
  <c r="K81" i="73" s="1"/>
  <c r="K29" i="73" l="1"/>
  <c r="K32" i="73"/>
  <c r="K31" i="73"/>
  <c r="S67" i="82"/>
  <c r="S31" i="82"/>
  <c r="S29" i="82"/>
  <c r="S32" i="82"/>
  <c r="S26" i="82"/>
  <c r="S14" i="82"/>
  <c r="R35" i="87"/>
  <c r="K106" i="73"/>
  <c r="S17" i="82" l="1"/>
  <c r="S66" i="82"/>
  <c r="R25" i="87"/>
  <c r="R17" i="87" s="1"/>
  <c r="S27" i="82"/>
  <c r="S72" i="82" a="1"/>
  <c r="S72" i="82" s="1"/>
  <c r="T77" i="82" s="1"/>
  <c r="I33" i="87"/>
  <c r="I23" i="87" s="1"/>
  <c r="I15" i="87" s="1"/>
  <c r="J14" i="72"/>
  <c r="J15" i="72"/>
  <c r="J67" i="72" s="1"/>
  <c r="J72" i="72" s="1" a="1"/>
  <c r="J72" i="72" s="1"/>
  <c r="K77" i="72" s="1"/>
  <c r="K24" i="72" l="1"/>
  <c r="T15" i="82"/>
  <c r="T24" i="82"/>
  <c r="S71" i="82" a="1"/>
  <c r="S71" i="82" s="1"/>
  <c r="T76" i="82" s="1"/>
  <c r="T79" i="82" s="1"/>
  <c r="T81" i="82" s="1"/>
  <c r="T106" i="82" s="1"/>
  <c r="S70" i="75"/>
  <c r="S35" i="82"/>
  <c r="K31" i="72"/>
  <c r="K26" i="72"/>
  <c r="K27" i="72" s="1"/>
  <c r="K32" i="72"/>
  <c r="K29" i="72"/>
  <c r="J17" i="72"/>
  <c r="J66" i="72"/>
  <c r="J71" i="72" s="1" a="1"/>
  <c r="J71" i="72" s="1"/>
  <c r="K76" i="72" s="1"/>
  <c r="K79" i="72" s="1"/>
  <c r="K81" i="72" s="1"/>
  <c r="T14" i="82" l="1"/>
  <c r="S35" i="87"/>
  <c r="T29" i="82"/>
  <c r="T31" i="82"/>
  <c r="T32" i="82"/>
  <c r="T26" i="82"/>
  <c r="T67" i="82"/>
  <c r="K106" i="72"/>
  <c r="J42" i="75"/>
  <c r="J35" i="72"/>
  <c r="K15" i="72"/>
  <c r="J34" i="87"/>
  <c r="K15" i="73"/>
  <c r="K67" i="73" s="1"/>
  <c r="T27" i="82" l="1"/>
  <c r="S25" i="87"/>
  <c r="S17" i="87" s="1"/>
  <c r="T72" i="82" a="1"/>
  <c r="T72" i="82" s="1"/>
  <c r="U77" i="82" s="1"/>
  <c r="T66" i="82"/>
  <c r="T17" i="82"/>
  <c r="J33" i="87"/>
  <c r="J23" i="87" s="1"/>
  <c r="J15" i="87" s="1"/>
  <c r="K14" i="73"/>
  <c r="K17" i="73" s="1"/>
  <c r="K72" i="73" a="1"/>
  <c r="K72" i="73" s="1"/>
  <c r="L77" i="73" s="1"/>
  <c r="J24" i="87"/>
  <c r="J16" i="87" s="1"/>
  <c r="K42" i="75"/>
  <c r="K67" i="72"/>
  <c r="K14" i="72"/>
  <c r="L24" i="72" l="1"/>
  <c r="L31" i="72" s="1"/>
  <c r="T71" i="82" a="1"/>
  <c r="T71" i="82" s="1"/>
  <c r="U76" i="82" s="1"/>
  <c r="U79" i="82" s="1"/>
  <c r="U81" i="82" s="1"/>
  <c r="U106" i="82" s="1"/>
  <c r="U24" i="82"/>
  <c r="U15" i="82"/>
  <c r="T70" i="75"/>
  <c r="T35" i="82"/>
  <c r="L24" i="73"/>
  <c r="L31" i="73" s="1"/>
  <c r="K66" i="73"/>
  <c r="K71" i="73" s="1" a="1"/>
  <c r="K71" i="73" s="1"/>
  <c r="L76" i="73" s="1"/>
  <c r="L79" i="73" s="1"/>
  <c r="L81" i="73" s="1"/>
  <c r="L106" i="73" s="1"/>
  <c r="K35" i="72"/>
  <c r="K35" i="73"/>
  <c r="K56" i="75"/>
  <c r="K72" i="72" a="1"/>
  <c r="K72" i="72" s="1"/>
  <c r="L77" i="72" s="1"/>
  <c r="K66" i="72"/>
  <c r="K17" i="72"/>
  <c r="L15" i="72"/>
  <c r="L29" i="72" l="1"/>
  <c r="L32" i="72"/>
  <c r="L26" i="72"/>
  <c r="L27" i="72" s="1"/>
  <c r="L26" i="73"/>
  <c r="L27" i="73" s="1"/>
  <c r="L29" i="73"/>
  <c r="L32" i="73"/>
  <c r="U14" i="82"/>
  <c r="T35" i="87"/>
  <c r="U29" i="82"/>
  <c r="U32" i="82"/>
  <c r="U31" i="82"/>
  <c r="U26" i="82"/>
  <c r="U67" i="82"/>
  <c r="K33" i="87"/>
  <c r="K23" i="87" s="1"/>
  <c r="K15" i="87" s="1"/>
  <c r="K71" i="72" a="1"/>
  <c r="K71" i="72" s="1"/>
  <c r="L76" i="72" s="1"/>
  <c r="L79" i="72" s="1"/>
  <c r="L81" i="72" s="1"/>
  <c r="L14" i="72"/>
  <c r="L67" i="72"/>
  <c r="L15" i="73"/>
  <c r="K34" i="87"/>
  <c r="M24" i="72" l="1"/>
  <c r="M26" i="72" s="1"/>
  <c r="M27" i="72" s="1"/>
  <c r="U27" i="82"/>
  <c r="T25" i="87"/>
  <c r="T17" i="87" s="1"/>
  <c r="U72" i="82" a="1"/>
  <c r="U72" i="82" s="1"/>
  <c r="V77" i="82" s="1"/>
  <c r="U66" i="82"/>
  <c r="U17" i="82"/>
  <c r="L72" i="72" a="1"/>
  <c r="L72" i="72" s="1"/>
  <c r="M77" i="72" s="1"/>
  <c r="L66" i="72"/>
  <c r="L17" i="72"/>
  <c r="L14" i="73"/>
  <c r="K24" i="87"/>
  <c r="K16" i="87" s="1"/>
  <c r="L106" i="72"/>
  <c r="L67" i="73"/>
  <c r="M29" i="72" l="1"/>
  <c r="M31" i="72"/>
  <c r="M32" i="72"/>
  <c r="U71" i="82" a="1"/>
  <c r="U71" i="82" s="1"/>
  <c r="V76" i="82" s="1"/>
  <c r="V79" i="82" s="1"/>
  <c r="V81" i="82" s="1"/>
  <c r="V106" i="82" s="1"/>
  <c r="V24" i="82"/>
  <c r="V15" i="82"/>
  <c r="U70" i="75"/>
  <c r="U35" i="82"/>
  <c r="M24" i="73"/>
  <c r="M31" i="73" s="1"/>
  <c r="L72" i="73" a="1"/>
  <c r="L72" i="73" s="1"/>
  <c r="M77" i="73" s="1"/>
  <c r="M15" i="72"/>
  <c r="L17" i="73"/>
  <c r="L66" i="73"/>
  <c r="L71" i="72" a="1"/>
  <c r="L71" i="72" s="1"/>
  <c r="M76" i="72" s="1"/>
  <c r="M79" i="72" s="1"/>
  <c r="M81" i="72" s="1"/>
  <c r="L35" i="72"/>
  <c r="L42" i="75"/>
  <c r="M29" i="73" l="1"/>
  <c r="M32" i="73"/>
  <c r="M26" i="73"/>
  <c r="M27" i="73" s="1"/>
  <c r="V29" i="82"/>
  <c r="V31" i="82"/>
  <c r="V26" i="82"/>
  <c r="V32" i="82"/>
  <c r="V67" i="82"/>
  <c r="V14" i="82"/>
  <c r="U35" i="87"/>
  <c r="L33" i="87"/>
  <c r="L71" i="73" a="1"/>
  <c r="L71" i="73" s="1"/>
  <c r="M76" i="73" s="1"/>
  <c r="M79" i="73" s="1"/>
  <c r="M81" i="73" s="1"/>
  <c r="M15" i="73"/>
  <c r="L34" i="87"/>
  <c r="M106" i="72"/>
  <c r="M14" i="72"/>
  <c r="L23" i="87"/>
  <c r="L15" i="87" s="1"/>
  <c r="L56" i="75"/>
  <c r="L35" i="73"/>
  <c r="M67" i="72"/>
  <c r="N24" i="72" l="1"/>
  <c r="N26" i="72" s="1"/>
  <c r="N27" i="72" s="1"/>
  <c r="U25" i="87"/>
  <c r="U17" i="87" s="1"/>
  <c r="V27" i="82"/>
  <c r="V70" i="75" s="1"/>
  <c r="V72" i="82" a="1"/>
  <c r="V72" i="82" s="1"/>
  <c r="W77" i="82" s="1"/>
  <c r="V66" i="82"/>
  <c r="V17" i="82"/>
  <c r="M67" i="73"/>
  <c r="M17" i="72"/>
  <c r="M66" i="72"/>
  <c r="M72" i="72" a="1"/>
  <c r="M72" i="72" s="1"/>
  <c r="N77" i="72" s="1"/>
  <c r="M106" i="73"/>
  <c r="M14" i="73"/>
  <c r="L24" i="87"/>
  <c r="L16" i="87" s="1"/>
  <c r="N32" i="72" l="1"/>
  <c r="N31" i="72"/>
  <c r="N29" i="72"/>
  <c r="V71" i="82" a="1"/>
  <c r="V71" i="82" s="1"/>
  <c r="W76" i="82" s="1"/>
  <c r="W79" i="82" s="1"/>
  <c r="W81" i="82" s="1"/>
  <c r="W106" i="82" s="1"/>
  <c r="W15" i="82"/>
  <c r="W24" i="82"/>
  <c r="N24" i="73"/>
  <c r="N31" i="73" s="1"/>
  <c r="M35" i="72"/>
  <c r="M42" i="75"/>
  <c r="N15" i="72"/>
  <c r="M33" i="87"/>
  <c r="M71" i="72" a="1"/>
  <c r="M71" i="72" s="1"/>
  <c r="N76" i="72" s="1"/>
  <c r="N79" i="72" s="1"/>
  <c r="N81" i="72" s="1"/>
  <c r="M72" i="73" a="1"/>
  <c r="M72" i="73" s="1"/>
  <c r="N77" i="73" s="1"/>
  <c r="M17" i="73"/>
  <c r="M66" i="73"/>
  <c r="N29" i="73" l="1"/>
  <c r="N32" i="73"/>
  <c r="N26" i="73"/>
  <c r="N27" i="73" s="1"/>
  <c r="W14" i="82"/>
  <c r="V35" i="87"/>
  <c r="W29" i="82"/>
  <c r="W26" i="82"/>
  <c r="W32" i="82"/>
  <c r="W31" i="82"/>
  <c r="W67" i="82"/>
  <c r="M71" i="73" a="1"/>
  <c r="M71" i="73" s="1"/>
  <c r="N76" i="73" s="1"/>
  <c r="N79" i="73" s="1"/>
  <c r="N81" i="73" s="1"/>
  <c r="N106" i="72"/>
  <c r="N14" i="72"/>
  <c r="M23" i="87"/>
  <c r="M15" i="87" s="1"/>
  <c r="N67" i="72"/>
  <c r="N15" i="73"/>
  <c r="M34" i="87"/>
  <c r="M56" i="75"/>
  <c r="M35" i="73"/>
  <c r="O24" i="72" l="1"/>
  <c r="O29" i="72" s="1"/>
  <c r="W27" i="82"/>
  <c r="W70" i="75" s="1"/>
  <c r="W72" i="82" a="1"/>
  <c r="W72" i="82" s="1"/>
  <c r="X77" i="82" s="1"/>
  <c r="V25" i="87"/>
  <c r="V17" i="87" s="1"/>
  <c r="W17" i="82"/>
  <c r="W66" i="82"/>
  <c r="N66" i="72"/>
  <c r="N17" i="72"/>
  <c r="N106" i="73"/>
  <c r="N72" i="72" a="1"/>
  <c r="N72" i="72" s="1"/>
  <c r="O77" i="72" s="1"/>
  <c r="N67" i="73"/>
  <c r="N14" i="73"/>
  <c r="M24" i="87"/>
  <c r="M16" i="87" s="1"/>
  <c r="O26" i="72" l="1"/>
  <c r="O27" i="72" s="1"/>
  <c r="O32" i="72"/>
  <c r="O31" i="72"/>
  <c r="W71" i="82" a="1"/>
  <c r="W71" i="82" s="1"/>
  <c r="X76" i="82" s="1"/>
  <c r="X79" i="82" s="1"/>
  <c r="X81" i="82" s="1"/>
  <c r="X106" i="82" s="1"/>
  <c r="X24" i="82"/>
  <c r="X15" i="82"/>
  <c r="X67" i="82" s="1"/>
  <c r="X72" i="82" s="1" a="1"/>
  <c r="X72" i="82" s="1"/>
  <c r="Y77" i="82" s="1"/>
  <c r="O24" i="73"/>
  <c r="O29" i="73" s="1"/>
  <c r="N72" i="73" a="1"/>
  <c r="N72" i="73" s="1"/>
  <c r="O77" i="73" s="1"/>
  <c r="N66" i="73"/>
  <c r="N17" i="73"/>
  <c r="O15" i="72"/>
  <c r="N33" i="87"/>
  <c r="N35" i="72"/>
  <c r="N42" i="75"/>
  <c r="N71" i="72" a="1"/>
  <c r="N71" i="72" s="1"/>
  <c r="O76" i="72" s="1"/>
  <c r="O79" i="72" s="1"/>
  <c r="O81" i="72" s="1"/>
  <c r="O26" i="73" l="1"/>
  <c r="O27" i="73" s="1"/>
  <c r="O31" i="73"/>
  <c r="O32" i="73"/>
  <c r="X14" i="82"/>
  <c r="W35" i="87"/>
  <c r="X29" i="82"/>
  <c r="X31" i="82"/>
  <c r="X26" i="82"/>
  <c r="X27" i="82" s="1"/>
  <c r="X70" i="75" s="1"/>
  <c r="X32" i="82"/>
  <c r="O15" i="73"/>
  <c r="N34" i="87"/>
  <c r="N35" i="73"/>
  <c r="N56" i="75"/>
  <c r="O106" i="72"/>
  <c r="O14" i="72"/>
  <c r="N23" i="87"/>
  <c r="N15" i="87" s="1"/>
  <c r="O67" i="72"/>
  <c r="N71" i="73" a="1"/>
  <c r="N71" i="73" s="1"/>
  <c r="O76" i="73" s="1"/>
  <c r="O79" i="73" s="1"/>
  <c r="O81" i="73" s="1"/>
  <c r="P24" i="72" l="1"/>
  <c r="P31" i="72" s="1"/>
  <c r="W25" i="87"/>
  <c r="W17" i="87" s="1"/>
  <c r="X66" i="82"/>
  <c r="X17" i="82"/>
  <c r="O106" i="73"/>
  <c r="O14" i="73"/>
  <c r="N24" i="87"/>
  <c r="N16" i="87" s="1"/>
  <c r="O67" i="73"/>
  <c r="O72" i="72" a="1"/>
  <c r="O72" i="72" s="1"/>
  <c r="P77" i="72" s="1"/>
  <c r="O17" i="72"/>
  <c r="O66" i="72"/>
  <c r="P29" i="72" l="1"/>
  <c r="P32" i="72"/>
  <c r="P26" i="72"/>
  <c r="P27" i="72" s="1"/>
  <c r="X71" i="82" a="1"/>
  <c r="X71" i="82" s="1"/>
  <c r="Y76" i="82" s="1"/>
  <c r="Y79" i="82" s="1"/>
  <c r="Y81" i="82" s="1"/>
  <c r="Y106" i="82" s="1"/>
  <c r="Y15" i="82"/>
  <c r="Y67" i="82" s="1"/>
  <c r="Y72" i="82" s="1" a="1"/>
  <c r="Y72" i="82" s="1"/>
  <c r="Z77" i="82" s="1"/>
  <c r="Y24" i="82"/>
  <c r="P24" i="73"/>
  <c r="P29" i="73" s="1"/>
  <c r="O72" i="73" a="1"/>
  <c r="O72" i="73" s="1"/>
  <c r="P77" i="73" s="1"/>
  <c r="O42" i="75"/>
  <c r="O35" i="72"/>
  <c r="P15" i="72"/>
  <c r="P67" i="72" s="1"/>
  <c r="P72" i="72" s="1" a="1"/>
  <c r="P72" i="72" s="1"/>
  <c r="Q77" i="72" s="1"/>
  <c r="O66" i="73"/>
  <c r="O17" i="73"/>
  <c r="O71" i="72" a="1"/>
  <c r="O71" i="72" s="1"/>
  <c r="P76" i="72" s="1"/>
  <c r="P79" i="72" s="1"/>
  <c r="P81" i="72" s="1"/>
  <c r="P31" i="73" l="1"/>
  <c r="P26" i="73"/>
  <c r="P27" i="73" s="1"/>
  <c r="P32" i="73"/>
  <c r="Y14" i="82"/>
  <c r="X35" i="87"/>
  <c r="Y32" i="82"/>
  <c r="Y26" i="82"/>
  <c r="Y27" i="82" s="1"/>
  <c r="Y70" i="75" s="1"/>
  <c r="Y31" i="82"/>
  <c r="Y29" i="82"/>
  <c r="O33" i="87"/>
  <c r="O23" i="87" s="1"/>
  <c r="O15" i="87" s="1"/>
  <c r="P106" i="72"/>
  <c r="P15" i="73"/>
  <c r="O34" i="87"/>
  <c r="P14" i="72"/>
  <c r="O71" i="73" a="1"/>
  <c r="O71" i="73" s="1"/>
  <c r="P76" i="73" s="1"/>
  <c r="P79" i="73" s="1"/>
  <c r="P81" i="73" s="1"/>
  <c r="O56" i="75"/>
  <c r="O35" i="73"/>
  <c r="Q24" i="72" l="1"/>
  <c r="Q31" i="72" s="1"/>
  <c r="X25" i="87"/>
  <c r="X17" i="87" s="1"/>
  <c r="Y66" i="82"/>
  <c r="Y17" i="82"/>
  <c r="Q14" i="72"/>
  <c r="Q66" i="72" s="1"/>
  <c r="P33" i="87"/>
  <c r="P66" i="72"/>
  <c r="P17" i="72"/>
  <c r="P14" i="73"/>
  <c r="O24" i="87"/>
  <c r="O16" i="87" s="1"/>
  <c r="P106" i="73"/>
  <c r="P67" i="73"/>
  <c r="Q32" i="72" l="1"/>
  <c r="Q26" i="72"/>
  <c r="Q27" i="72" s="1"/>
  <c r="Q29" i="72"/>
  <c r="Y71" i="82" a="1"/>
  <c r="Y71" i="82" s="1"/>
  <c r="Z76" i="82" s="1"/>
  <c r="Z79" i="82" s="1"/>
  <c r="Z81" i="82" s="1"/>
  <c r="Z106" i="82" s="1"/>
  <c r="Z15" i="82"/>
  <c r="Z67" i="82" s="1"/>
  <c r="Z72" i="82" s="1" a="1"/>
  <c r="Z72" i="82" s="1"/>
  <c r="AA77" i="82" s="1"/>
  <c r="Z24" i="82"/>
  <c r="Q24" i="73"/>
  <c r="Q26" i="73" s="1"/>
  <c r="Q27" i="73" s="1"/>
  <c r="P23" i="87"/>
  <c r="P15" i="87" s="1"/>
  <c r="P35" i="73"/>
  <c r="P56" i="75"/>
  <c r="Q15" i="72"/>
  <c r="P72" i="73" a="1"/>
  <c r="P72" i="73" s="1"/>
  <c r="Q77" i="73" s="1"/>
  <c r="P66" i="73"/>
  <c r="P17" i="73"/>
  <c r="Q71" i="72" a="1"/>
  <c r="Q71" i="72" s="1"/>
  <c r="R76" i="72" s="1"/>
  <c r="P71" i="72" a="1"/>
  <c r="P71" i="72" s="1"/>
  <c r="Q76" i="72" s="1"/>
  <c r="Q79" i="72" s="1"/>
  <c r="Q81" i="72" s="1"/>
  <c r="P35" i="72"/>
  <c r="P42" i="75"/>
  <c r="Q32" i="73" l="1"/>
  <c r="Q31" i="73"/>
  <c r="Q29" i="73"/>
  <c r="Z14" i="82"/>
  <c r="Y35" i="87"/>
  <c r="Z26" i="82"/>
  <c r="Z27" i="82" s="1"/>
  <c r="Z70" i="75" s="1"/>
  <c r="Z32" i="82"/>
  <c r="Z31" i="82"/>
  <c r="Z29" i="82"/>
  <c r="R24" i="72"/>
  <c r="R31" i="72" s="1"/>
  <c r="Q33" i="87"/>
  <c r="Q23" i="87" s="1"/>
  <c r="Q15" i="87" s="1"/>
  <c r="P71" i="73" a="1"/>
  <c r="P71" i="73" s="1"/>
  <c r="Q76" i="73" s="1"/>
  <c r="Q79" i="73" s="1"/>
  <c r="Q81" i="73" s="1"/>
  <c r="Q17" i="72"/>
  <c r="Q67" i="72"/>
  <c r="Q106" i="72"/>
  <c r="Q15" i="73"/>
  <c r="Q67" i="73" s="1"/>
  <c r="Q72" i="73" s="1" a="1"/>
  <c r="Q72" i="73" s="1"/>
  <c r="R77" i="73" s="1"/>
  <c r="P34" i="87"/>
  <c r="R15" i="72"/>
  <c r="S24" i="72" l="1"/>
  <c r="Y25" i="87"/>
  <c r="Y17" i="87" s="1"/>
  <c r="Z66" i="82"/>
  <c r="Z17" i="82"/>
  <c r="R26" i="72"/>
  <c r="R27" i="72" s="1"/>
  <c r="R32" i="72"/>
  <c r="R29" i="72"/>
  <c r="R14" i="72"/>
  <c r="R17" i="72" s="1"/>
  <c r="S14" i="72"/>
  <c r="S66" i="72" s="1"/>
  <c r="S31" i="72"/>
  <c r="S32" i="72"/>
  <c r="S29" i="72"/>
  <c r="S26" i="72"/>
  <c r="S27" i="72" s="1"/>
  <c r="R33" i="87"/>
  <c r="R23" i="87" s="1"/>
  <c r="R15" i="87" s="1"/>
  <c r="R67" i="72"/>
  <c r="Q72" i="72" a="1"/>
  <c r="Q72" i="72" s="1"/>
  <c r="R77" i="72" s="1"/>
  <c r="R79" i="72" s="1"/>
  <c r="R81" i="72" s="1"/>
  <c r="Q106" i="73"/>
  <c r="Q14" i="73"/>
  <c r="S15" i="72"/>
  <c r="Q35" i="72"/>
  <c r="Q42" i="75"/>
  <c r="Z71" i="82" l="1" a="1"/>
  <c r="Z71" i="82" s="1"/>
  <c r="AA76" i="82" s="1"/>
  <c r="AA79" i="82" s="1"/>
  <c r="AA81" i="82" s="1"/>
  <c r="AA106" i="82" s="1"/>
  <c r="AA15" i="82"/>
  <c r="AA67" i="82" s="1"/>
  <c r="AA72" i="82" s="1" a="1"/>
  <c r="AA72" i="82" s="1"/>
  <c r="AB77" i="82" s="1"/>
  <c r="AA24" i="82"/>
  <c r="T24" i="72"/>
  <c r="T29" i="72" s="1"/>
  <c r="R66" i="72"/>
  <c r="S33" i="87"/>
  <c r="Q17" i="73"/>
  <c r="Q66" i="73"/>
  <c r="S17" i="72"/>
  <c r="S67" i="72"/>
  <c r="P24" i="87"/>
  <c r="P16" i="87" s="1"/>
  <c r="Q56" i="75"/>
  <c r="Q35" i="73"/>
  <c r="R42" i="75"/>
  <c r="R35" i="72"/>
  <c r="R106" i="72"/>
  <c r="S23" i="87"/>
  <c r="U24" i="72" s="1"/>
  <c r="T15" i="72"/>
  <c r="R72" i="72" a="1"/>
  <c r="R72" i="72" s="1"/>
  <c r="S77" i="72" s="1"/>
  <c r="S15" i="87" l="1"/>
  <c r="T26" i="72"/>
  <c r="T27" i="72" s="1"/>
  <c r="T31" i="72"/>
  <c r="T32" i="72"/>
  <c r="AA14" i="82"/>
  <c r="Z35" i="87"/>
  <c r="AA29" i="82"/>
  <c r="AA31" i="82"/>
  <c r="AA32" i="82"/>
  <c r="AA26" i="82"/>
  <c r="AA27" i="82" s="1"/>
  <c r="AA70" i="75" s="1"/>
  <c r="R24" i="73"/>
  <c r="R31" i="73" s="1"/>
  <c r="Q34" i="87"/>
  <c r="S71" i="72" a="1"/>
  <c r="S71" i="72" s="1"/>
  <c r="T76" i="72" s="1"/>
  <c r="R71" i="72" a="1"/>
  <c r="R71" i="72" s="1"/>
  <c r="S76" i="72" s="1"/>
  <c r="S79" i="72" s="1"/>
  <c r="S81" i="72" s="1"/>
  <c r="S106" i="72" s="1"/>
  <c r="T14" i="72"/>
  <c r="T33" i="87"/>
  <c r="T23" i="87" s="1"/>
  <c r="V24" i="72" s="1"/>
  <c r="U26" i="72"/>
  <c r="U27" i="72" s="1"/>
  <c r="U29" i="72"/>
  <c r="U32" i="72"/>
  <c r="U31" i="72"/>
  <c r="R15" i="73"/>
  <c r="R67" i="73" s="1"/>
  <c r="R72" i="73" s="1" a="1"/>
  <c r="R72" i="73" s="1"/>
  <c r="S77" i="73" s="1"/>
  <c r="Q71" i="73" a="1"/>
  <c r="Q71" i="73" s="1"/>
  <c r="R76" i="73" s="1"/>
  <c r="R79" i="73" s="1"/>
  <c r="R81" i="73" s="1"/>
  <c r="S42" i="75"/>
  <c r="S35" i="72"/>
  <c r="S72" i="72" a="1"/>
  <c r="S72" i="72" s="1"/>
  <c r="T77" i="72" s="1"/>
  <c r="U15" i="72"/>
  <c r="T67" i="72"/>
  <c r="T15" i="87" l="1"/>
  <c r="R29" i="73"/>
  <c r="R26" i="73"/>
  <c r="R27" i="73" s="1"/>
  <c r="R32" i="73"/>
  <c r="Z25" i="87"/>
  <c r="Z17" i="87" s="1"/>
  <c r="AA17" i="82"/>
  <c r="AA66" i="82"/>
  <c r="U14" i="72"/>
  <c r="U66" i="72" s="1"/>
  <c r="T79" i="72"/>
  <c r="T81" i="72" s="1"/>
  <c r="T66" i="72"/>
  <c r="T17" i="72"/>
  <c r="V26" i="72"/>
  <c r="V27" i="72" s="1"/>
  <c r="V29" i="72"/>
  <c r="V32" i="72"/>
  <c r="V31" i="72"/>
  <c r="U33" i="87"/>
  <c r="U23" i="87" s="1"/>
  <c r="U67" i="72"/>
  <c r="R106" i="73"/>
  <c r="R14" i="73"/>
  <c r="T106" i="72"/>
  <c r="T35" i="72"/>
  <c r="T42" i="75"/>
  <c r="T72" i="72" a="1"/>
  <c r="T72" i="72" s="1"/>
  <c r="U77" i="72" s="1"/>
  <c r="V15" i="72"/>
  <c r="U15" i="87" l="1"/>
  <c r="U17" i="72"/>
  <c r="AA71" i="82" a="1"/>
  <c r="AA71" i="82" s="1"/>
  <c r="AB76" i="82" s="1"/>
  <c r="AB79" i="82" s="1"/>
  <c r="AB81" i="82" s="1"/>
  <c r="AB106" i="82" s="1"/>
  <c r="AB15" i="82"/>
  <c r="AB67" i="82" s="1"/>
  <c r="AB72" i="82" s="1" a="1"/>
  <c r="AB72" i="82" s="1"/>
  <c r="AC77" i="82" s="1"/>
  <c r="AB24" i="82"/>
  <c r="W24" i="72"/>
  <c r="W29" i="72" s="1"/>
  <c r="U71" i="72" a="1"/>
  <c r="U71" i="72" s="1"/>
  <c r="V76" i="72" s="1"/>
  <c r="T71" i="72" a="1"/>
  <c r="T71" i="72" s="1"/>
  <c r="U76" i="72" s="1"/>
  <c r="U79" i="72" s="1"/>
  <c r="U81" i="72" s="1"/>
  <c r="U106" i="72" s="1"/>
  <c r="V14" i="72"/>
  <c r="V33" i="87"/>
  <c r="R17" i="73"/>
  <c r="R66" i="73"/>
  <c r="Q24" i="87"/>
  <c r="Q16" i="87" s="1"/>
  <c r="V67" i="72"/>
  <c r="W15" i="72"/>
  <c r="U72" i="72" a="1"/>
  <c r="U72" i="72" s="1"/>
  <c r="V77" i="72" s="1"/>
  <c r="R56" i="75"/>
  <c r="R35" i="73"/>
  <c r="U35" i="72"/>
  <c r="U42" i="75"/>
  <c r="V79" i="72" l="1"/>
  <c r="V81" i="72" s="1"/>
  <c r="AB14" i="82"/>
  <c r="AA35" i="87"/>
  <c r="AB29" i="82"/>
  <c r="AB31" i="82"/>
  <c r="AB32" i="82"/>
  <c r="AB26" i="82"/>
  <c r="AB27" i="82" s="1"/>
  <c r="AB70" i="75" s="1"/>
  <c r="W31" i="72"/>
  <c r="W32" i="72"/>
  <c r="W26" i="72"/>
  <c r="W27" i="72" s="1"/>
  <c r="S24" i="73"/>
  <c r="S31" i="73" s="1"/>
  <c r="R34" i="87"/>
  <c r="V66" i="72"/>
  <c r="V17" i="72"/>
  <c r="W14" i="72"/>
  <c r="W66" i="72" s="1"/>
  <c r="V23" i="87"/>
  <c r="V15" i="87" s="1"/>
  <c r="W67" i="72"/>
  <c r="S15" i="73"/>
  <c r="S67" i="73" s="1"/>
  <c r="S72" i="73" s="1" a="1"/>
  <c r="S72" i="73" s="1"/>
  <c r="T77" i="73" s="1"/>
  <c r="V42" i="75"/>
  <c r="V72" i="72" a="1"/>
  <c r="V72" i="72" s="1"/>
  <c r="W77" i="72" s="1"/>
  <c r="R71" i="73" a="1"/>
  <c r="R71" i="73" s="1"/>
  <c r="S76" i="73" s="1"/>
  <c r="S79" i="73" s="1"/>
  <c r="S81" i="73" s="1"/>
  <c r="V106" i="72"/>
  <c r="S26" i="73" l="1"/>
  <c r="S27" i="73" s="1"/>
  <c r="S29" i="73"/>
  <c r="S32" i="73"/>
  <c r="AA25" i="87"/>
  <c r="AA17" i="87" s="1"/>
  <c r="AB17" i="82"/>
  <c r="C13" i="47" s="1"/>
  <c r="AB66" i="82"/>
  <c r="AB71" i="82" s="1" a="1"/>
  <c r="AB71" i="82" s="1"/>
  <c r="AC76" i="82" s="1"/>
  <c r="AC79" i="82" s="1"/>
  <c r="AC81" i="82" s="1"/>
  <c r="AC106" i="82" s="1"/>
  <c r="X24" i="72"/>
  <c r="W17" i="72"/>
  <c r="X15" i="72"/>
  <c r="W71" i="72" a="1"/>
  <c r="W71" i="72" s="1"/>
  <c r="X76" i="72" s="1"/>
  <c r="V71" i="72" a="1"/>
  <c r="V71" i="72" s="1"/>
  <c r="W76" i="72" s="1"/>
  <c r="W79" i="72" s="1"/>
  <c r="W81" i="72" s="1"/>
  <c r="W106" i="72" s="1"/>
  <c r="X29" i="72"/>
  <c r="X31" i="72"/>
  <c r="X32" i="72"/>
  <c r="X26" i="72"/>
  <c r="X27" i="72" s="1"/>
  <c r="W33" i="87"/>
  <c r="W42" i="75"/>
  <c r="X67" i="72"/>
  <c r="S14" i="73"/>
  <c r="S106" i="73"/>
  <c r="W72" i="72" a="1"/>
  <c r="W72" i="72" s="1"/>
  <c r="X77" i="72" s="1"/>
  <c r="AC15" i="82" l="1"/>
  <c r="AC67" i="82" s="1"/>
  <c r="AC72" i="82" s="1" a="1"/>
  <c r="AC72" i="82" s="1"/>
  <c r="AD77" i="82" s="1"/>
  <c r="AC24" i="82"/>
  <c r="Q63" i="82"/>
  <c r="Q83" i="82" s="1"/>
  <c r="J63" i="82"/>
  <c r="J83" i="82" s="1"/>
  <c r="K63" i="82"/>
  <c r="K83" i="82" s="1"/>
  <c r="S63" i="82"/>
  <c r="S83" i="82" s="1"/>
  <c r="F13" i="47"/>
  <c r="R63" i="82"/>
  <c r="R83" i="82" s="1"/>
  <c r="D13" i="47"/>
  <c r="A4" i="82" s="1"/>
  <c r="D35" i="62"/>
  <c r="O63" i="82"/>
  <c r="O83" i="82" s="1"/>
  <c r="P63" i="82"/>
  <c r="P83" i="82" s="1"/>
  <c r="M63" i="82"/>
  <c r="M83" i="82" s="1"/>
  <c r="I63" i="82"/>
  <c r="I83" i="82" s="1"/>
  <c r="T63" i="82"/>
  <c r="T83" i="82" s="1"/>
  <c r="N63" i="82"/>
  <c r="N83" i="82" s="1"/>
  <c r="L63" i="82"/>
  <c r="L83" i="82" s="1"/>
  <c r="X79" i="72"/>
  <c r="X81" i="72" s="1"/>
  <c r="X106" i="72" s="1"/>
  <c r="X14" i="72"/>
  <c r="W23" i="87"/>
  <c r="W15" i="87" s="1"/>
  <c r="R24" i="87"/>
  <c r="R16" i="87" s="1"/>
  <c r="S56" i="75"/>
  <c r="S35" i="73"/>
  <c r="S17" i="73"/>
  <c r="S66" i="73"/>
  <c r="X72" i="72" a="1"/>
  <c r="X72" i="72" s="1"/>
  <c r="Y77" i="72" s="1"/>
  <c r="X42" i="75"/>
  <c r="L107" i="82" l="1"/>
  <c r="L86" i="82"/>
  <c r="L105" i="82" s="1"/>
  <c r="M86" i="82"/>
  <c r="M105" i="82" s="1"/>
  <c r="M107" i="82"/>
  <c r="R86" i="82"/>
  <c r="R105" i="82" s="1"/>
  <c r="R107" i="82"/>
  <c r="I86" i="82"/>
  <c r="I105" i="82" s="1"/>
  <c r="I107" i="82"/>
  <c r="S86" i="82"/>
  <c r="S105" i="82" s="1"/>
  <c r="S107" i="82"/>
  <c r="K86" i="82"/>
  <c r="K105" i="82" s="1"/>
  <c r="K107" i="82"/>
  <c r="N86" i="82"/>
  <c r="N105" i="82" s="1"/>
  <c r="N107" i="82"/>
  <c r="P86" i="82"/>
  <c r="P105" i="82" s="1"/>
  <c r="P107" i="82"/>
  <c r="J107" i="82"/>
  <c r="J86" i="82"/>
  <c r="J105" i="82" s="1"/>
  <c r="AC14" i="82"/>
  <c r="AB35" i="87"/>
  <c r="AC29" i="82"/>
  <c r="AC32" i="82"/>
  <c r="AC31" i="82"/>
  <c r="AC26" i="82"/>
  <c r="AC27" i="82" s="1"/>
  <c r="AC70" i="75" s="1"/>
  <c r="T86" i="82"/>
  <c r="T105" i="82" s="1"/>
  <c r="T107" i="82"/>
  <c r="O107" i="82"/>
  <c r="O86" i="82"/>
  <c r="O105" i="82" s="1"/>
  <c r="Q107" i="82"/>
  <c r="Q86" i="82"/>
  <c r="Q105" i="82" s="1"/>
  <c r="T24" i="73"/>
  <c r="T26" i="73" s="1"/>
  <c r="T27" i="73" s="1"/>
  <c r="S34" i="87"/>
  <c r="Y14" i="72"/>
  <c r="Y66" i="72" s="1"/>
  <c r="X66" i="72"/>
  <c r="X17" i="72"/>
  <c r="Y24" i="72"/>
  <c r="Y15" i="72"/>
  <c r="X33" i="87"/>
  <c r="T15" i="73"/>
  <c r="T67" i="73" s="1"/>
  <c r="T72" i="73" s="1" a="1"/>
  <c r="T72" i="73" s="1"/>
  <c r="U77" i="73" s="1"/>
  <c r="S71" i="73" a="1"/>
  <c r="S71" i="73" s="1"/>
  <c r="T76" i="73" s="1"/>
  <c r="T79" i="73" s="1"/>
  <c r="T81" i="73" s="1"/>
  <c r="T31" i="73" l="1"/>
  <c r="T32" i="73"/>
  <c r="T29" i="73"/>
  <c r="N113" i="82" a="1"/>
  <c r="N113" i="82" s="1"/>
  <c r="N110" i="82" a="1"/>
  <c r="N110" i="82" s="1"/>
  <c r="N114" i="82" a="1"/>
  <c r="N114" i="82" s="1"/>
  <c r="N112" i="82" a="1"/>
  <c r="N112" i="82" s="1"/>
  <c r="N109" i="82" a="1"/>
  <c r="N109" i="82" s="1"/>
  <c r="N116" i="82" a="1"/>
  <c r="N116" i="82" s="1"/>
  <c r="N115" i="82" a="1"/>
  <c r="N115" i="82" s="1"/>
  <c r="N111" i="82" a="1"/>
  <c r="N111" i="82" s="1"/>
  <c r="AC17" i="82"/>
  <c r="AC66" i="82"/>
  <c r="AC71" i="82" s="1" a="1"/>
  <c r="AC71" i="82" s="1"/>
  <c r="AD76" i="82" s="1"/>
  <c r="AD79" i="82" s="1"/>
  <c r="AD81" i="82" s="1"/>
  <c r="AD106" i="82" s="1"/>
  <c r="I116" i="82" a="1"/>
  <c r="I116" i="82" s="1"/>
  <c r="I115" i="82" a="1"/>
  <c r="I115" i="82" s="1"/>
  <c r="I110" i="82" a="1"/>
  <c r="I110" i="82" s="1"/>
  <c r="I114" i="82" a="1"/>
  <c r="I114" i="82" s="1"/>
  <c r="I113" i="82" a="1"/>
  <c r="I113" i="82" s="1"/>
  <c r="I112" i="82" a="1"/>
  <c r="I112" i="82" s="1"/>
  <c r="I111" i="82" a="1"/>
  <c r="I111" i="82" s="1"/>
  <c r="I109" i="82" a="1"/>
  <c r="I109" i="82" s="1"/>
  <c r="J109" i="82" a="1"/>
  <c r="J109" i="82" s="1"/>
  <c r="J115" i="82" a="1"/>
  <c r="J115" i="82" s="1"/>
  <c r="J113" i="82" a="1"/>
  <c r="J113" i="82" s="1"/>
  <c r="J110" i="82" a="1"/>
  <c r="J110" i="82" s="1"/>
  <c r="J112" i="82" a="1"/>
  <c r="J112" i="82" s="1"/>
  <c r="J114" i="82" a="1"/>
  <c r="J114" i="82" s="1"/>
  <c r="J111" i="82" a="1"/>
  <c r="J111" i="82" s="1"/>
  <c r="J116" i="82" a="1"/>
  <c r="J116" i="82" s="1"/>
  <c r="Q110" i="82" a="1"/>
  <c r="Q110" i="82" s="1"/>
  <c r="Q114" i="82" a="1"/>
  <c r="Q114" i="82" s="1"/>
  <c r="Q112" i="82" a="1"/>
  <c r="Q112" i="82" s="1"/>
  <c r="Q113" i="82" a="1"/>
  <c r="Q113" i="82" s="1"/>
  <c r="Q111" i="82" a="1"/>
  <c r="Q111" i="82" s="1"/>
  <c r="Q116" i="82" a="1"/>
  <c r="Q116" i="82" s="1"/>
  <c r="Q109" i="82" a="1"/>
  <c r="Q109" i="82" s="1"/>
  <c r="Q115" i="82" a="1"/>
  <c r="Q115" i="82" s="1"/>
  <c r="O112" i="82" a="1"/>
  <c r="O112" i="82" s="1"/>
  <c r="O110" i="82" a="1"/>
  <c r="O110" i="82" s="1"/>
  <c r="O115" i="82" a="1"/>
  <c r="O115" i="82" s="1"/>
  <c r="O109" i="82" a="1"/>
  <c r="O109" i="82" s="1"/>
  <c r="O111" i="82" a="1"/>
  <c r="O111" i="82" s="1"/>
  <c r="O116" i="82" a="1"/>
  <c r="O116" i="82" s="1"/>
  <c r="O113" i="82" a="1"/>
  <c r="O113" i="82" s="1"/>
  <c r="O114" i="82" a="1"/>
  <c r="O114" i="82" s="1"/>
  <c r="S112" i="82" a="1"/>
  <c r="S112" i="82" s="1"/>
  <c r="S115" i="82" a="1"/>
  <c r="S115" i="82" s="1"/>
  <c r="S114" i="82" a="1"/>
  <c r="S114" i="82" s="1"/>
  <c r="S111" i="82" a="1"/>
  <c r="S111" i="82" s="1"/>
  <c r="S113" i="82" a="1"/>
  <c r="S113" i="82" s="1"/>
  <c r="S116" i="82" a="1"/>
  <c r="S116" i="82" s="1"/>
  <c r="S109" i="82" a="1"/>
  <c r="S109" i="82" s="1"/>
  <c r="S110" i="82" a="1"/>
  <c r="S110" i="82" s="1"/>
  <c r="M115" i="82" a="1"/>
  <c r="M115" i="82" s="1"/>
  <c r="M113" i="82" a="1"/>
  <c r="M113" i="82" s="1"/>
  <c r="M111" i="82" a="1"/>
  <c r="M111" i="82" s="1"/>
  <c r="M114" i="82" a="1"/>
  <c r="M114" i="82" s="1"/>
  <c r="M109" i="82" a="1"/>
  <c r="M109" i="82" s="1"/>
  <c r="M112" i="82" a="1"/>
  <c r="M112" i="82" s="1"/>
  <c r="M116" i="82" a="1"/>
  <c r="M116" i="82" s="1"/>
  <c r="M110" i="82" a="1"/>
  <c r="M110" i="82" s="1"/>
  <c r="T113" i="82" a="1"/>
  <c r="T113" i="82" s="1"/>
  <c r="T109" i="82" a="1"/>
  <c r="T109" i="82" s="1"/>
  <c r="T112" i="82" a="1"/>
  <c r="T112" i="82" s="1"/>
  <c r="T114" i="82" a="1"/>
  <c r="T114" i="82" s="1"/>
  <c r="T116" i="82" a="1"/>
  <c r="T116" i="82" s="1"/>
  <c r="T110" i="82" a="1"/>
  <c r="T110" i="82" s="1"/>
  <c r="T111" i="82" a="1"/>
  <c r="T111" i="82" s="1"/>
  <c r="T115" i="82" a="1"/>
  <c r="T115" i="82" s="1"/>
  <c r="R113" i="82" a="1"/>
  <c r="R113" i="82" s="1"/>
  <c r="R112" i="82" a="1"/>
  <c r="R112" i="82" s="1"/>
  <c r="R110" i="82" a="1"/>
  <c r="R110" i="82" s="1"/>
  <c r="R114" i="82" a="1"/>
  <c r="R114" i="82" s="1"/>
  <c r="R109" i="82" a="1"/>
  <c r="R109" i="82" s="1"/>
  <c r="R111" i="82" a="1"/>
  <c r="R111" i="82" s="1"/>
  <c r="R115" i="82" a="1"/>
  <c r="R115" i="82" s="1"/>
  <c r="R116" i="82" a="1"/>
  <c r="R116" i="82" s="1"/>
  <c r="L116" i="82" a="1"/>
  <c r="L116" i="82" s="1"/>
  <c r="L109" i="82" a="1"/>
  <c r="L109" i="82" s="1"/>
  <c r="L115" i="82" a="1"/>
  <c r="L115" i="82" s="1"/>
  <c r="L112" i="82" a="1"/>
  <c r="L112" i="82" s="1"/>
  <c r="L114" i="82" a="1"/>
  <c r="L114" i="82" s="1"/>
  <c r="L111" i="82" a="1"/>
  <c r="L111" i="82" s="1"/>
  <c r="L113" i="82" a="1"/>
  <c r="L113" i="82" s="1"/>
  <c r="L110" i="82" a="1"/>
  <c r="L110" i="82" s="1"/>
  <c r="P109" i="82" a="1"/>
  <c r="P109" i="82" s="1"/>
  <c r="P114" i="82" a="1"/>
  <c r="P114" i="82" s="1"/>
  <c r="P112" i="82" a="1"/>
  <c r="P112" i="82" s="1"/>
  <c r="P115" i="82" a="1"/>
  <c r="P115" i="82" s="1"/>
  <c r="P116" i="82" a="1"/>
  <c r="P116" i="82" s="1"/>
  <c r="P113" i="82" a="1"/>
  <c r="P113" i="82" s="1"/>
  <c r="P110" i="82" a="1"/>
  <c r="P110" i="82" s="1"/>
  <c r="P111" i="82" a="1"/>
  <c r="P111" i="82" s="1"/>
  <c r="K112" i="82" a="1"/>
  <c r="K112" i="82" s="1"/>
  <c r="K115" i="82" a="1"/>
  <c r="K115" i="82" s="1"/>
  <c r="K114" i="82" a="1"/>
  <c r="K114" i="82" s="1"/>
  <c r="K111" i="82" a="1"/>
  <c r="K111" i="82" s="1"/>
  <c r="K109" i="82" a="1"/>
  <c r="K109" i="82" s="1"/>
  <c r="K116" i="82" a="1"/>
  <c r="K116" i="82" s="1"/>
  <c r="K113" i="82" a="1"/>
  <c r="K113" i="82" s="1"/>
  <c r="K110" i="82" a="1"/>
  <c r="K110" i="82" s="1"/>
  <c r="AB25" i="87"/>
  <c r="AB17" i="87" s="1"/>
  <c r="X71" i="72" a="1"/>
  <c r="X71" i="72" s="1"/>
  <c r="Y76" i="72" s="1"/>
  <c r="Y79" i="72" s="1"/>
  <c r="Y81" i="72" s="1"/>
  <c r="Y106" i="72" s="1"/>
  <c r="Y71" i="72" a="1"/>
  <c r="Y71" i="72" s="1"/>
  <c r="Z76" i="72" s="1"/>
  <c r="Y67" i="72"/>
  <c r="Y72" i="72" s="1" a="1"/>
  <c r="Y72" i="72" s="1"/>
  <c r="Z77" i="72" s="1"/>
  <c r="Y17" i="72"/>
  <c r="X23" i="87"/>
  <c r="X15" i="87" s="1"/>
  <c r="Y29" i="72"/>
  <c r="Y26" i="72"/>
  <c r="Y27" i="72" s="1"/>
  <c r="Y42" i="75" s="1"/>
  <c r="Y31" i="72"/>
  <c r="Y32" i="72"/>
  <c r="T14" i="73"/>
  <c r="T106" i="73"/>
  <c r="Z79" i="72" l="1"/>
  <c r="Z81" i="72" s="1"/>
  <c r="Z106" i="72" s="1"/>
  <c r="AD24" i="82"/>
  <c r="AD15" i="82"/>
  <c r="AD67" i="82" s="1"/>
  <c r="AD72" i="82" s="1" a="1"/>
  <c r="AD72" i="82" s="1"/>
  <c r="AE77" i="82" s="1"/>
  <c r="Z14" i="72"/>
  <c r="Z24" i="72"/>
  <c r="Z15" i="72"/>
  <c r="T66" i="73"/>
  <c r="T17" i="73"/>
  <c r="T35" i="73"/>
  <c r="T56" i="75"/>
  <c r="S24" i="87"/>
  <c r="S16" i="87" s="1"/>
  <c r="AD14" i="82" l="1"/>
  <c r="AC35" i="87"/>
  <c r="AD29" i="82"/>
  <c r="AD32" i="82"/>
  <c r="AD26" i="82"/>
  <c r="AD27" i="82" s="1"/>
  <c r="AD70" i="75" s="1"/>
  <c r="AD31" i="82"/>
  <c r="U14" i="73"/>
  <c r="U66" i="73" s="1"/>
  <c r="U71" i="73" s="1" a="1"/>
  <c r="U71" i="73" s="1"/>
  <c r="V76" i="73" s="1"/>
  <c r="Z66" i="72"/>
  <c r="Y33" i="87"/>
  <c r="Y23" i="87" s="1"/>
  <c r="Y15" i="87" s="1"/>
  <c r="U24" i="73"/>
  <c r="T34" i="87"/>
  <c r="T24" i="87" s="1"/>
  <c r="V24" i="73" s="1"/>
  <c r="Z17" i="72"/>
  <c r="Z67" i="72"/>
  <c r="Z29" i="72"/>
  <c r="Z26" i="72"/>
  <c r="Z27" i="72" s="1"/>
  <c r="Z42" i="75" s="1"/>
  <c r="Z31" i="72"/>
  <c r="Z32" i="72"/>
  <c r="U15" i="73"/>
  <c r="T71" i="73" a="1"/>
  <c r="T71" i="73" s="1"/>
  <c r="U76" i="73" s="1"/>
  <c r="U79" i="73" s="1"/>
  <c r="U81" i="73" s="1"/>
  <c r="AA15" i="72" l="1"/>
  <c r="AA24" i="72"/>
  <c r="AA26" i="72" s="1"/>
  <c r="AA27" i="72" s="1"/>
  <c r="AA42" i="75" s="1"/>
  <c r="T16" i="87"/>
  <c r="Z33" i="87"/>
  <c r="AC25" i="87"/>
  <c r="AC17" i="87" s="1"/>
  <c r="AD66" i="82"/>
  <c r="AD71" i="82" s="1" a="1"/>
  <c r="AD71" i="82" s="1"/>
  <c r="AE76" i="82" s="1"/>
  <c r="AE79" i="82" s="1"/>
  <c r="AE81" i="82" s="1"/>
  <c r="AE106" i="82" s="1"/>
  <c r="AD17" i="82"/>
  <c r="V14" i="73"/>
  <c r="V66" i="73" s="1"/>
  <c r="V71" i="73" s="1" a="1"/>
  <c r="V71" i="73" s="1"/>
  <c r="W76" i="73" s="1"/>
  <c r="AA14" i="72"/>
  <c r="AA17" i="72" s="1"/>
  <c r="Z71" i="72" a="1"/>
  <c r="Z71" i="72" s="1"/>
  <c r="AA76" i="72" s="1"/>
  <c r="V29" i="73"/>
  <c r="V26" i="73"/>
  <c r="V27" i="73" s="1"/>
  <c r="V31" i="73"/>
  <c r="V32" i="73"/>
  <c r="U34" i="87"/>
  <c r="U24" i="87" s="1"/>
  <c r="U32" i="73"/>
  <c r="U26" i="73"/>
  <c r="U27" i="73" s="1"/>
  <c r="U29" i="73"/>
  <c r="U31" i="73"/>
  <c r="Z23" i="87"/>
  <c r="Z15" i="87" s="1"/>
  <c r="AA29" i="72"/>
  <c r="AA32" i="72"/>
  <c r="Z72" i="72" a="1"/>
  <c r="Z72" i="72" s="1"/>
  <c r="AA77" i="72" s="1"/>
  <c r="AA67" i="72"/>
  <c r="AA72" i="72" s="1" a="1"/>
  <c r="AA72" i="72" s="1"/>
  <c r="AB77" i="72" s="1"/>
  <c r="U106" i="73"/>
  <c r="U67" i="73"/>
  <c r="U17" i="73"/>
  <c r="V15" i="73"/>
  <c r="AA31" i="72" l="1"/>
  <c r="U16" i="87"/>
  <c r="AE15" i="82"/>
  <c r="AE67" i="82" s="1"/>
  <c r="AE72" i="82" s="1" a="1"/>
  <c r="AE72" i="82" s="1"/>
  <c r="AF77" i="82" s="1"/>
  <c r="AE24" i="82"/>
  <c r="W24" i="73"/>
  <c r="W26" i="73" s="1"/>
  <c r="W27" i="73" s="1"/>
  <c r="AA66" i="72"/>
  <c r="AA79" i="72"/>
  <c r="AA81" i="72" s="1"/>
  <c r="AA106" i="72" s="1"/>
  <c r="V34" i="87"/>
  <c r="V24" i="87" s="1"/>
  <c r="X24" i="73" s="1"/>
  <c r="AB24" i="72"/>
  <c r="AB15" i="72"/>
  <c r="U72" i="73" a="1"/>
  <c r="U72" i="73" s="1"/>
  <c r="V77" i="73" s="1"/>
  <c r="V79" i="73" s="1"/>
  <c r="V81" i="73" s="1"/>
  <c r="V67" i="73"/>
  <c r="V17" i="73"/>
  <c r="W15" i="73"/>
  <c r="U56" i="75"/>
  <c r="U35" i="73"/>
  <c r="V16" i="87" l="1"/>
  <c r="W29" i="73"/>
  <c r="W31" i="73"/>
  <c r="W32" i="73"/>
  <c r="AE14" i="82"/>
  <c r="AD35" i="87"/>
  <c r="AE26" i="82"/>
  <c r="AE27" i="82" s="1"/>
  <c r="AE70" i="75" s="1"/>
  <c r="AE32" i="82"/>
  <c r="AE29" i="82"/>
  <c r="AE31" i="82"/>
  <c r="AA33" i="87"/>
  <c r="AA23" i="87" s="1"/>
  <c r="AA15" i="87" s="1"/>
  <c r="AB14" i="72"/>
  <c r="X14" i="73"/>
  <c r="X66" i="73" s="1"/>
  <c r="W14" i="73"/>
  <c r="W17" i="73" s="1"/>
  <c r="AA71" i="72" a="1"/>
  <c r="AA71" i="72" s="1"/>
  <c r="AB76" i="72" s="1"/>
  <c r="AB79" i="72" s="1"/>
  <c r="AB81" i="72" s="1"/>
  <c r="AB106" i="72" s="1"/>
  <c r="X26" i="73"/>
  <c r="X27" i="73" s="1"/>
  <c r="X31" i="73"/>
  <c r="X32" i="73"/>
  <c r="X29" i="73"/>
  <c r="W34" i="87"/>
  <c r="W24" i="87" s="1"/>
  <c r="AB67" i="72"/>
  <c r="AB29" i="72"/>
  <c r="AB31" i="72"/>
  <c r="AB26" i="72"/>
  <c r="AB27" i="72" s="1"/>
  <c r="AB42" i="75" s="1"/>
  <c r="AB32" i="72"/>
  <c r="V56" i="75"/>
  <c r="X15" i="73"/>
  <c r="V106" i="73"/>
  <c r="V72" i="73" a="1"/>
  <c r="V72" i="73" s="1"/>
  <c r="W77" i="73" s="1"/>
  <c r="W79" i="73" s="1"/>
  <c r="W81" i="73" s="1"/>
  <c r="W67" i="73"/>
  <c r="W16" i="87" l="1"/>
  <c r="AD25" i="87"/>
  <c r="AD17" i="87" s="1"/>
  <c r="AE66" i="82"/>
  <c r="AE71" i="82" s="1" a="1"/>
  <c r="AE71" i="82" s="1"/>
  <c r="AF76" i="82" s="1"/>
  <c r="AF79" i="82" s="1"/>
  <c r="AF81" i="82" s="1"/>
  <c r="AF106" i="82" s="1"/>
  <c r="AE17" i="82"/>
  <c r="AC14" i="72"/>
  <c r="AC66" i="72" s="1"/>
  <c r="X34" i="87"/>
  <c r="X24" i="87" s="1"/>
  <c r="AB66" i="72"/>
  <c r="AB17" i="72"/>
  <c r="C11" i="47" s="1"/>
  <c r="J63" i="72" s="1"/>
  <c r="J83" i="72" s="1"/>
  <c r="Y24" i="73"/>
  <c r="Y32" i="73" s="1"/>
  <c r="W66" i="73"/>
  <c r="AB72" i="72" a="1"/>
  <c r="AB72" i="72" s="1"/>
  <c r="AC77" i="72" s="1"/>
  <c r="AC24" i="72"/>
  <c r="AC15" i="72"/>
  <c r="AB33" i="87"/>
  <c r="W106" i="73"/>
  <c r="X17" i="73"/>
  <c r="X67" i="73"/>
  <c r="W56" i="75"/>
  <c r="W72" i="73" a="1"/>
  <c r="W72" i="73" s="1"/>
  <c r="X77" i="73" s="1"/>
  <c r="Y15" i="73"/>
  <c r="X16" i="87" l="1"/>
  <c r="Y31" i="73"/>
  <c r="Y29" i="73"/>
  <c r="Y26" i="73"/>
  <c r="Y27" i="73" s="1"/>
  <c r="AF24" i="82"/>
  <c r="AF15" i="82"/>
  <c r="AF67" i="82" s="1"/>
  <c r="AF72" i="82" s="1" a="1"/>
  <c r="AF72" i="82" s="1"/>
  <c r="AG77" i="82" s="1"/>
  <c r="Z24" i="73"/>
  <c r="Z31" i="73" s="1"/>
  <c r="Z14" i="73"/>
  <c r="Z66" i="73" s="1"/>
  <c r="K63" i="72"/>
  <c r="K83" i="72" s="1"/>
  <c r="K86" i="72" s="1"/>
  <c r="K105" i="72" s="1"/>
  <c r="F11" i="47"/>
  <c r="S63" i="72"/>
  <c r="S83" i="72" s="1"/>
  <c r="S107" i="72" s="1"/>
  <c r="N63" i="72"/>
  <c r="N83" i="72" s="1"/>
  <c r="N86" i="72" s="1"/>
  <c r="N105" i="72" s="1"/>
  <c r="P63" i="72"/>
  <c r="P83" i="72" s="1"/>
  <c r="P86" i="72" s="1"/>
  <c r="P105" i="72" s="1"/>
  <c r="R63" i="72"/>
  <c r="R83" i="72" s="1"/>
  <c r="R107" i="72" s="1"/>
  <c r="L63" i="72"/>
  <c r="L83" i="72" s="1"/>
  <c r="L86" i="72" s="1"/>
  <c r="L105" i="72" s="1"/>
  <c r="M63" i="72"/>
  <c r="M83" i="72" s="1"/>
  <c r="M86" i="72" s="1"/>
  <c r="M105" i="72" s="1"/>
  <c r="T63" i="72"/>
  <c r="T83" i="72" s="1"/>
  <c r="T107" i="72" s="1"/>
  <c r="D11" i="47"/>
  <c r="A4" i="72" s="1"/>
  <c r="O63" i="72"/>
  <c r="O83" i="72" s="1"/>
  <c r="O107" i="72" s="1"/>
  <c r="Q63" i="72"/>
  <c r="Q83" i="72" s="1"/>
  <c r="Q107" i="72" s="1"/>
  <c r="D33" i="62"/>
  <c r="I63" i="72"/>
  <c r="I83" i="72" s="1"/>
  <c r="I86" i="72" s="1"/>
  <c r="I105" i="72" s="1"/>
  <c r="AC71" i="72" a="1"/>
  <c r="AC71" i="72" s="1"/>
  <c r="AD76" i="72" s="1"/>
  <c r="AB71" i="72" a="1"/>
  <c r="AB71" i="72" s="1"/>
  <c r="AC76" i="72" s="1"/>
  <c r="AC79" i="72" s="1"/>
  <c r="AC81" i="72" s="1"/>
  <c r="AC106" i="72" s="1"/>
  <c r="Y14" i="73"/>
  <c r="Y17" i="73" s="1"/>
  <c r="W71" i="73" a="1"/>
  <c r="W71" i="73" s="1"/>
  <c r="X76" i="73" s="1"/>
  <c r="X79" i="73" s="1"/>
  <c r="X81" i="73" s="1"/>
  <c r="X106" i="73" s="1"/>
  <c r="X71" i="73" a="1"/>
  <c r="X71" i="73" s="1"/>
  <c r="Y76" i="73" s="1"/>
  <c r="AC26" i="72"/>
  <c r="AC27" i="72" s="1"/>
  <c r="AC42" i="75" s="1"/>
  <c r="AC32" i="72"/>
  <c r="AC29" i="72"/>
  <c r="AC31" i="72"/>
  <c r="J107" i="72"/>
  <c r="J86" i="72"/>
  <c r="J105" i="72" s="1"/>
  <c r="AC17" i="72"/>
  <c r="AC67" i="72"/>
  <c r="AB23" i="87"/>
  <c r="AB15" i="87" s="1"/>
  <c r="Z15" i="73"/>
  <c r="Y67" i="73"/>
  <c r="X72" i="73" a="1"/>
  <c r="X72" i="73" s="1"/>
  <c r="Y77" i="73" s="1"/>
  <c r="X56" i="75"/>
  <c r="Z32" i="73" l="1"/>
  <c r="Z26" i="73"/>
  <c r="Z27" i="73" s="1"/>
  <c r="R86" i="72"/>
  <c r="R105" i="72" s="1"/>
  <c r="R110" i="72" s="1" a="1"/>
  <c r="R110" i="72" s="1"/>
  <c r="Z29" i="73"/>
  <c r="Y34" i="87"/>
  <c r="Y24" i="87" s="1"/>
  <c r="Y16" i="87" s="1"/>
  <c r="N107" i="72"/>
  <c r="N113" i="72" s="1" a="1"/>
  <c r="N113" i="72" s="1"/>
  <c r="Y79" i="73"/>
  <c r="Y81" i="73" s="1"/>
  <c r="Y106" i="73" s="1"/>
  <c r="AF14" i="82"/>
  <c r="AE35" i="87"/>
  <c r="AE25" i="87" s="1"/>
  <c r="AE17" i="87" s="1"/>
  <c r="K107" i="72"/>
  <c r="K113" i="72" s="1" a="1"/>
  <c r="K113" i="72" s="1"/>
  <c r="AF26" i="82"/>
  <c r="AF27" i="82" s="1"/>
  <c r="AF70" i="75" s="1"/>
  <c r="AF32" i="82"/>
  <c r="AF29" i="82"/>
  <c r="AF31" i="82"/>
  <c r="L107" i="72"/>
  <c r="L112" i="72" s="1" a="1"/>
  <c r="L112" i="72" s="1"/>
  <c r="P107" i="72"/>
  <c r="P112" i="72" s="1" a="1"/>
  <c r="P112" i="72" s="1"/>
  <c r="T86" i="72"/>
  <c r="T105" i="72" s="1"/>
  <c r="T115" i="72" s="1" a="1"/>
  <c r="T115" i="72" s="1"/>
  <c r="I107" i="72"/>
  <c r="I111" i="72" s="1" a="1"/>
  <c r="I111" i="72" s="1"/>
  <c r="Q86" i="72"/>
  <c r="Q105" i="72" s="1"/>
  <c r="Q109" i="72" s="1" a="1"/>
  <c r="Q109" i="72" s="1"/>
  <c r="M107" i="72"/>
  <c r="M111" i="72" s="1" a="1"/>
  <c r="M111" i="72" s="1"/>
  <c r="S86" i="72"/>
  <c r="S105" i="72" s="1"/>
  <c r="S109" i="72" s="1" a="1"/>
  <c r="S109" i="72" s="1"/>
  <c r="O86" i="72"/>
  <c r="O105" i="72" s="1"/>
  <c r="O111" i="72" s="1" a="1"/>
  <c r="O111" i="72" s="1"/>
  <c r="AD14" i="72"/>
  <c r="Y66" i="73"/>
  <c r="N114" i="72" a="1"/>
  <c r="N114" i="72" s="1"/>
  <c r="N116" i="72" a="1"/>
  <c r="N116" i="72" s="1"/>
  <c r="N115" i="72" a="1"/>
  <c r="N115" i="72" s="1"/>
  <c r="J110" i="72" a="1"/>
  <c r="J110" i="72" s="1"/>
  <c r="J111" i="72" a="1"/>
  <c r="J111" i="72" s="1"/>
  <c r="J115" i="72" a="1"/>
  <c r="J115" i="72" s="1"/>
  <c r="J109" i="72" a="1"/>
  <c r="J109" i="72" s="1"/>
  <c r="J116" i="72" a="1"/>
  <c r="J116" i="72" s="1"/>
  <c r="J114" i="72" a="1"/>
  <c r="J114" i="72" s="1"/>
  <c r="J113" i="72" a="1"/>
  <c r="J113" i="72" s="1"/>
  <c r="J112" i="72" a="1"/>
  <c r="J112" i="72" s="1"/>
  <c r="M116" i="72" a="1"/>
  <c r="M116" i="72" s="1"/>
  <c r="M115" i="72" a="1"/>
  <c r="M115" i="72" s="1"/>
  <c r="M114" i="72" a="1"/>
  <c r="M114" i="72" s="1"/>
  <c r="L115" i="72" a="1"/>
  <c r="L115" i="72" s="1"/>
  <c r="L114" i="72" a="1"/>
  <c r="L114" i="72" s="1"/>
  <c r="L116" i="72" a="1"/>
  <c r="L116" i="72" s="1"/>
  <c r="AC72" i="72" a="1"/>
  <c r="AC72" i="72" s="1"/>
  <c r="AD77" i="72" s="1"/>
  <c r="AD79" i="72" s="1"/>
  <c r="AD81" i="72" s="1"/>
  <c r="AD106" i="72" s="1"/>
  <c r="AD24" i="72"/>
  <c r="AD15" i="72"/>
  <c r="AC33" i="87"/>
  <c r="I116" i="72" a="1"/>
  <c r="I116" i="72" s="1"/>
  <c r="I114" i="72" a="1"/>
  <c r="I114" i="72" s="1"/>
  <c r="I115" i="72" a="1"/>
  <c r="I115" i="72" s="1"/>
  <c r="P115" i="72" a="1"/>
  <c r="P115" i="72" s="1"/>
  <c r="P116" i="72" a="1"/>
  <c r="P116" i="72" s="1"/>
  <c r="P114" i="72" a="1"/>
  <c r="P114" i="72" s="1"/>
  <c r="K114" i="72" a="1"/>
  <c r="K114" i="72" s="1"/>
  <c r="K115" i="72" a="1"/>
  <c r="K115" i="72" s="1"/>
  <c r="K116" i="72" a="1"/>
  <c r="K116" i="72" s="1"/>
  <c r="Z67" i="73"/>
  <c r="Z17" i="73"/>
  <c r="Y56" i="75"/>
  <c r="Y72" i="73" a="1"/>
  <c r="Y72" i="73" s="1"/>
  <c r="Z77" i="73" s="1"/>
  <c r="R112" i="72" l="1" a="1"/>
  <c r="R112" i="72" s="1"/>
  <c r="R116" i="72" a="1"/>
  <c r="R116" i="72" s="1"/>
  <c r="R111" i="72" a="1"/>
  <c r="R111" i="72" s="1"/>
  <c r="R109" i="72" a="1"/>
  <c r="R109" i="72" s="1"/>
  <c r="R113" i="72" a="1"/>
  <c r="R113" i="72" s="1"/>
  <c r="R115" i="72" a="1"/>
  <c r="R115" i="72" s="1"/>
  <c r="AA15" i="73"/>
  <c r="R114" i="72" a="1"/>
  <c r="R114" i="72" s="1"/>
  <c r="N109" i="72" a="1"/>
  <c r="N109" i="72" s="1"/>
  <c r="N111" i="72" a="1"/>
  <c r="N111" i="72" s="1"/>
  <c r="N110" i="72" a="1"/>
  <c r="N110" i="72" s="1"/>
  <c r="N112" i="72" a="1"/>
  <c r="N112" i="72" s="1"/>
  <c r="AA24" i="73"/>
  <c r="AA31" i="73" s="1"/>
  <c r="K111" i="72" a="1"/>
  <c r="K111" i="72" s="1"/>
  <c r="K110" i="72" a="1"/>
  <c r="K110" i="72" s="1"/>
  <c r="P109" i="72" a="1"/>
  <c r="P109" i="72" s="1"/>
  <c r="P110" i="72" a="1"/>
  <c r="P110" i="72" s="1"/>
  <c r="P111" i="72" a="1"/>
  <c r="P111" i="72" s="1"/>
  <c r="T111" i="72" a="1"/>
  <c r="T111" i="72" s="1"/>
  <c r="M110" i="72" a="1"/>
  <c r="M110" i="72" s="1"/>
  <c r="M109" i="72" a="1"/>
  <c r="M109" i="72" s="1"/>
  <c r="T112" i="72" a="1"/>
  <c r="T112" i="72" s="1"/>
  <c r="T110" i="72" a="1"/>
  <c r="T110" i="72" s="1"/>
  <c r="T116" i="72" a="1"/>
  <c r="T116" i="72" s="1"/>
  <c r="T109" i="72" a="1"/>
  <c r="T109" i="72" s="1"/>
  <c r="T113" i="72" a="1"/>
  <c r="T113" i="72" s="1"/>
  <c r="K109" i="72" a="1"/>
  <c r="K109" i="72" s="1"/>
  <c r="S110" i="72" a="1"/>
  <c r="S110" i="72" s="1"/>
  <c r="K112" i="72" a="1"/>
  <c r="K112" i="72" s="1"/>
  <c r="P113" i="72" a="1"/>
  <c r="P113" i="72" s="1"/>
  <c r="T114" i="72" a="1"/>
  <c r="T114" i="72" s="1"/>
  <c r="O112" i="72" a="1"/>
  <c r="O112" i="72" s="1"/>
  <c r="Q116" i="72" a="1"/>
  <c r="Q116" i="72" s="1"/>
  <c r="I109" i="72" a="1"/>
  <c r="I109" i="72" s="1"/>
  <c r="I113" i="72" a="1"/>
  <c r="I113" i="72" s="1"/>
  <c r="L111" i="72" a="1"/>
  <c r="L111" i="72" s="1"/>
  <c r="O109" i="72" a="1"/>
  <c r="O109" i="72" s="1"/>
  <c r="O110" i="72" a="1"/>
  <c r="O110" i="72" s="1"/>
  <c r="O116" i="72" a="1"/>
  <c r="O116" i="72" s="1"/>
  <c r="I112" i="72" a="1"/>
  <c r="I112" i="72" s="1"/>
  <c r="L109" i="72" a="1"/>
  <c r="L109" i="72" s="1"/>
  <c r="L113" i="72" a="1"/>
  <c r="L113" i="72" s="1"/>
  <c r="AG15" i="82"/>
  <c r="AG24" i="82"/>
  <c r="L110" i="72" a="1"/>
  <c r="L110" i="72" s="1"/>
  <c r="I110" i="72" a="1"/>
  <c r="I110" i="72" s="1"/>
  <c r="AG14" i="82"/>
  <c r="S116" i="72" a="1"/>
  <c r="S116" i="72" s="1"/>
  <c r="AF66" i="82"/>
  <c r="AF71" i="82" s="1" a="1"/>
  <c r="AF71" i="82" s="1"/>
  <c r="AG76" i="82" s="1"/>
  <c r="AG79" i="82" s="1"/>
  <c r="AG81" i="82" s="1"/>
  <c r="AG106" i="82" s="1"/>
  <c r="AF17" i="82"/>
  <c r="O114" i="72" a="1"/>
  <c r="O114" i="72" s="1"/>
  <c r="S111" i="72" a="1"/>
  <c r="S111" i="72" s="1"/>
  <c r="Q114" i="72" a="1"/>
  <c r="Q114" i="72" s="1"/>
  <c r="O113" i="72" a="1"/>
  <c r="O113" i="72" s="1"/>
  <c r="O115" i="72" a="1"/>
  <c r="O115" i="72" s="1"/>
  <c r="S115" i="72" a="1"/>
  <c r="S115" i="72" s="1"/>
  <c r="Q110" i="72" a="1"/>
  <c r="Q110" i="72" s="1"/>
  <c r="S113" i="72" a="1"/>
  <c r="S113" i="72" s="1"/>
  <c r="Q115" i="72" a="1"/>
  <c r="Q115" i="72" s="1"/>
  <c r="S112" i="72" a="1"/>
  <c r="S112" i="72" s="1"/>
  <c r="S114" i="72" a="1"/>
  <c r="S114" i="72" s="1"/>
  <c r="M113" i="72" a="1"/>
  <c r="M113" i="72" s="1"/>
  <c r="Q111" i="72" a="1"/>
  <c r="Q111" i="72" s="1"/>
  <c r="Q113" i="72" a="1"/>
  <c r="Q113" i="72" s="1"/>
  <c r="M112" i="72" a="1"/>
  <c r="M112" i="72" s="1"/>
  <c r="Q112" i="72" a="1"/>
  <c r="Q112" i="72" s="1"/>
  <c r="AD66" i="72"/>
  <c r="Y71" i="73" a="1"/>
  <c r="Y71" i="73" s="1"/>
  <c r="Z76" i="73" s="1"/>
  <c r="Z79" i="73" s="1"/>
  <c r="Z81" i="73" s="1"/>
  <c r="Z106" i="73" s="1"/>
  <c r="Z71" i="73" a="1"/>
  <c r="Z71" i="73" s="1"/>
  <c r="AA76" i="73" s="1"/>
  <c r="AD17" i="72"/>
  <c r="AD67" i="72"/>
  <c r="AC23" i="87"/>
  <c r="AC15" i="87" s="1"/>
  <c r="AD32" i="72"/>
  <c r="AD26" i="72"/>
  <c r="AD29" i="72"/>
  <c r="AD31" i="72"/>
  <c r="Z56" i="75"/>
  <c r="Z72" i="73" a="1"/>
  <c r="Z72" i="73" s="1"/>
  <c r="AA77" i="73" s="1"/>
  <c r="AA67" i="73"/>
  <c r="AA26" i="73" l="1"/>
  <c r="AA27" i="73" s="1"/>
  <c r="AA56" i="75" s="1"/>
  <c r="AA14" i="73"/>
  <c r="Z34" i="87"/>
  <c r="Z24" i="87" s="1"/>
  <c r="Z16" i="87" s="1"/>
  <c r="AA32" i="73"/>
  <c r="AA29" i="73"/>
  <c r="AG32" i="82"/>
  <c r="AG29" i="82"/>
  <c r="AG26" i="82"/>
  <c r="AG31" i="82"/>
  <c r="AG67" i="82"/>
  <c r="AG72" i="82" s="1" a="1"/>
  <c r="AG72" i="82" s="1"/>
  <c r="C66" i="62"/>
  <c r="AG66" i="82"/>
  <c r="AG71" i="82" s="1" a="1"/>
  <c r="AG71" i="82" s="1"/>
  <c r="AG17" i="82"/>
  <c r="G89" i="82" s="1" a="1"/>
  <c r="G89" i="82" s="1"/>
  <c r="G91" i="82" s="1"/>
  <c r="C35" i="62" s="1"/>
  <c r="C65" i="62"/>
  <c r="AD71" i="72" a="1"/>
  <c r="AD71" i="72" s="1"/>
  <c r="AE76" i="72" s="1"/>
  <c r="AA79" i="73"/>
  <c r="AA81" i="73" s="1"/>
  <c r="AA106" i="73" s="1"/>
  <c r="AD27" i="72"/>
  <c r="AD42" i="75" s="1"/>
  <c r="AE24" i="72"/>
  <c r="AE15" i="72"/>
  <c r="AD72" i="72" a="1"/>
  <c r="AD72" i="72" s="1"/>
  <c r="AE77" i="72" s="1"/>
  <c r="AA72" i="73" a="1"/>
  <c r="AA72" i="73" s="1"/>
  <c r="AB77" i="73" s="1"/>
  <c r="AB15" i="73" l="1"/>
  <c r="AB67" i="73" s="1"/>
  <c r="AB24" i="73"/>
  <c r="AA66" i="73"/>
  <c r="AA71" i="73" s="1" a="1"/>
  <c r="AA71" i="73" s="1"/>
  <c r="AB76" i="73" s="1"/>
  <c r="AB79" i="73" s="1"/>
  <c r="AB81" i="73" s="1"/>
  <c r="AB106" i="73" s="1"/>
  <c r="AA17" i="73"/>
  <c r="D65" i="62"/>
  <c r="C4" i="82" s="1"/>
  <c r="AG27" i="82"/>
  <c r="AG70" i="75" s="1"/>
  <c r="F70" i="75" s="1"/>
  <c r="F27" i="82"/>
  <c r="AE79" i="72"/>
  <c r="AE81" i="72" s="1"/>
  <c r="AE106" i="72" s="1"/>
  <c r="AE14" i="72"/>
  <c r="AE17" i="72" s="1"/>
  <c r="AD33" i="87"/>
  <c r="AD23" i="87" s="1"/>
  <c r="AD15" i="87" s="1"/>
  <c r="AE31" i="72"/>
  <c r="AE26" i="72"/>
  <c r="AE29" i="72"/>
  <c r="AE32" i="72"/>
  <c r="AE67" i="72"/>
  <c r="AB72" i="73" a="1"/>
  <c r="AB72" i="73" s="1"/>
  <c r="AC77" i="73" s="1"/>
  <c r="AB14" i="73" l="1"/>
  <c r="AA34" i="87"/>
  <c r="AB26" i="73"/>
  <c r="AB27" i="73" s="1"/>
  <c r="AB56" i="75" s="1"/>
  <c r="AB29" i="73"/>
  <c r="AB32" i="73"/>
  <c r="AB31" i="73"/>
  <c r="AF15" i="72"/>
  <c r="AF67" i="72" s="1"/>
  <c r="AF72" i="72" s="1" a="1"/>
  <c r="AF72" i="72" s="1"/>
  <c r="AG77" i="72" s="1"/>
  <c r="AF24" i="72"/>
  <c r="AF32" i="72" s="1"/>
  <c r="AE66" i="72"/>
  <c r="AE27" i="72"/>
  <c r="AE42" i="75" s="1"/>
  <c r="AE72" i="72" a="1"/>
  <c r="AE72" i="72" s="1"/>
  <c r="AF77" i="72" s="1"/>
  <c r="AF31" i="72" l="1"/>
  <c r="AA24" i="87"/>
  <c r="AA16" i="87" s="1"/>
  <c r="AF26" i="72"/>
  <c r="AF27" i="72" s="1"/>
  <c r="AF42" i="75" s="1"/>
  <c r="AF29" i="72"/>
  <c r="AB17" i="73"/>
  <c r="C12" i="47" s="1"/>
  <c r="AB66" i="73"/>
  <c r="AB71" i="73" s="1" a="1"/>
  <c r="AB71" i="73" s="1"/>
  <c r="AC76" i="73" s="1"/>
  <c r="AC79" i="73" s="1"/>
  <c r="AC81" i="73" s="1"/>
  <c r="AC106" i="73" s="1"/>
  <c r="AE71" i="72" a="1"/>
  <c r="AE71" i="72" s="1"/>
  <c r="AF76" i="72" s="1"/>
  <c r="AF79" i="72" s="1"/>
  <c r="AF81" i="72" s="1"/>
  <c r="AF106" i="72" s="1"/>
  <c r="AF14" i="72"/>
  <c r="AE33" i="87"/>
  <c r="AE23" i="87" s="1"/>
  <c r="AE15" i="87" s="1"/>
  <c r="L63" i="73" l="1"/>
  <c r="L83" i="73" s="1"/>
  <c r="F12" i="47"/>
  <c r="C88" i="85" s="1" a="1"/>
  <c r="D12" i="47"/>
  <c r="A4" i="73" s="1"/>
  <c r="K63" i="73"/>
  <c r="K83" i="73" s="1"/>
  <c r="N63" i="73"/>
  <c r="N83" i="73" s="1"/>
  <c r="T63" i="73"/>
  <c r="T83" i="73" s="1"/>
  <c r="I63" i="73"/>
  <c r="I83" i="73" s="1"/>
  <c r="P63" i="73"/>
  <c r="P83" i="73" s="1"/>
  <c r="R63" i="73"/>
  <c r="R83" i="73" s="1"/>
  <c r="Q63" i="73"/>
  <c r="Q83" i="73" s="1"/>
  <c r="J63" i="73"/>
  <c r="J83" i="73" s="1"/>
  <c r="S63" i="73"/>
  <c r="S83" i="73" s="1"/>
  <c r="D34" i="62"/>
  <c r="O63" i="73"/>
  <c r="O83" i="73" s="1"/>
  <c r="M63" i="73"/>
  <c r="M83" i="73" s="1"/>
  <c r="AC24" i="73"/>
  <c r="AC15" i="73"/>
  <c r="AC67" i="73" s="1"/>
  <c r="AG24" i="72"/>
  <c r="AG31" i="72" s="1"/>
  <c r="AG14" i="72"/>
  <c r="AG66" i="72" s="1"/>
  <c r="AG15" i="72"/>
  <c r="AG67" i="72" s="1"/>
  <c r="AG72" i="72" s="1" a="1"/>
  <c r="AG72" i="72" s="1"/>
  <c r="AF66" i="72"/>
  <c r="AF17" i="72"/>
  <c r="C58" i="62" l="1"/>
  <c r="AG17" i="72"/>
  <c r="C57" i="62"/>
  <c r="D57" i="62" s="1"/>
  <c r="C4" i="72" s="1"/>
  <c r="AG26" i="72"/>
  <c r="J86" i="73"/>
  <c r="J105" i="73" s="1"/>
  <c r="J107" i="73"/>
  <c r="R107" i="73"/>
  <c r="R86" i="73"/>
  <c r="R105" i="73" s="1"/>
  <c r="I86" i="73"/>
  <c r="I105" i="73" s="1"/>
  <c r="I107" i="73"/>
  <c r="K107" i="73"/>
  <c r="K86" i="73"/>
  <c r="K105" i="73" s="1"/>
  <c r="AC72" i="73" a="1"/>
  <c r="AC72" i="73" s="1"/>
  <c r="AD77" i="73" s="1"/>
  <c r="AG32" i="72"/>
  <c r="AG29" i="72"/>
  <c r="O107" i="73"/>
  <c r="O86" i="73"/>
  <c r="O105" i="73" s="1"/>
  <c r="T107" i="73"/>
  <c r="T86" i="73"/>
  <c r="T105" i="73" s="1"/>
  <c r="AC14" i="73"/>
  <c r="AB34" i="87"/>
  <c r="M107" i="73"/>
  <c r="M86" i="73"/>
  <c r="M105" i="73" s="1"/>
  <c r="P86" i="73"/>
  <c r="P105" i="73" s="1"/>
  <c r="P107" i="73"/>
  <c r="G98" i="85"/>
  <c r="J47" i="33" s="1"/>
  <c r="D96" i="85"/>
  <c r="G45" i="33" s="1"/>
  <c r="E98" i="85"/>
  <c r="H47" i="33" s="1"/>
  <c r="E97" i="85"/>
  <c r="H46" i="33" s="1"/>
  <c r="F98" i="85"/>
  <c r="I47" i="33" s="1"/>
  <c r="C88" i="85"/>
  <c r="F97" i="85"/>
  <c r="I46" i="33" s="1"/>
  <c r="G96" i="85"/>
  <c r="J45" i="33" s="1"/>
  <c r="D98" i="85"/>
  <c r="G47" i="33" s="1"/>
  <c r="D97" i="85"/>
  <c r="G46" i="33" s="1"/>
  <c r="F96" i="85"/>
  <c r="I45" i="33" s="1"/>
  <c r="E96" i="85"/>
  <c r="H45" i="33" s="1"/>
  <c r="G97" i="85"/>
  <c r="J46" i="33" s="1"/>
  <c r="AC31" i="73"/>
  <c r="AC26" i="73"/>
  <c r="AC27" i="73" s="1"/>
  <c r="AC56" i="75" s="1"/>
  <c r="AC29" i="73"/>
  <c r="AC32" i="73"/>
  <c r="S86" i="73"/>
  <c r="S105" i="73" s="1"/>
  <c r="S107" i="73"/>
  <c r="Q86" i="73"/>
  <c r="Q105" i="73" s="1"/>
  <c r="Q107" i="73"/>
  <c r="N107" i="73"/>
  <c r="N86" i="73"/>
  <c r="N105" i="73" s="1"/>
  <c r="L107" i="73"/>
  <c r="L86" i="73"/>
  <c r="L105" i="73" s="1"/>
  <c r="G89" i="72" a="1"/>
  <c r="G89" i="72" s="1"/>
  <c r="G91" i="72" s="1"/>
  <c r="C33" i="62" s="1"/>
  <c r="AG71" i="72" a="1"/>
  <c r="AG71" i="72" s="1"/>
  <c r="AF71" i="72" a="1"/>
  <c r="AF71" i="72" s="1"/>
  <c r="AG76" i="72" s="1"/>
  <c r="AG79" i="72" s="1"/>
  <c r="AG81" i="72" s="1"/>
  <c r="AG106" i="72" s="1"/>
  <c r="AG27" i="72"/>
  <c r="AG42" i="75" s="1"/>
  <c r="F42" i="75" s="1"/>
  <c r="F27" i="72"/>
  <c r="C96" i="85" l="1"/>
  <c r="F45" i="33" s="1"/>
  <c r="C98" i="85"/>
  <c r="F47" i="33" s="1"/>
  <c r="K88" i="85"/>
  <c r="C97" i="85"/>
  <c r="F46" i="33" s="1"/>
  <c r="I97" i="85"/>
  <c r="C90" i="85"/>
  <c r="F39" i="33" s="1"/>
  <c r="I98" i="85"/>
  <c r="I96" i="85"/>
  <c r="K112" i="73" a="1"/>
  <c r="K112" i="73" s="1"/>
  <c r="K109" i="73" a="1"/>
  <c r="K109" i="73" s="1"/>
  <c r="K116" i="73" a="1"/>
  <c r="K116" i="73" s="1"/>
  <c r="K115" i="73" a="1"/>
  <c r="K115" i="73" s="1"/>
  <c r="K114" i="73" a="1"/>
  <c r="K114" i="73" s="1"/>
  <c r="K111" i="73" a="1"/>
  <c r="K111" i="73" s="1"/>
  <c r="K113" i="73" a="1"/>
  <c r="K113" i="73" s="1"/>
  <c r="K110" i="73" a="1"/>
  <c r="K110" i="73" s="1"/>
  <c r="O114" i="73" a="1"/>
  <c r="O114" i="73" s="1"/>
  <c r="O113" i="73" a="1"/>
  <c r="O113" i="73" s="1"/>
  <c r="O112" i="73" a="1"/>
  <c r="O112" i="73" s="1"/>
  <c r="O111" i="73" a="1"/>
  <c r="O111" i="73" s="1"/>
  <c r="O115" i="73" a="1"/>
  <c r="O115" i="73" s="1"/>
  <c r="O109" i="73" a="1"/>
  <c r="O109" i="73" s="1"/>
  <c r="O116" i="73" a="1"/>
  <c r="O116" i="73" s="1"/>
  <c r="O110" i="73" a="1"/>
  <c r="O110" i="73" s="1"/>
  <c r="Q114" i="73" a="1"/>
  <c r="Q114" i="73" s="1"/>
  <c r="Q111" i="73" a="1"/>
  <c r="Q111" i="73" s="1"/>
  <c r="Q109" i="73" a="1"/>
  <c r="Q109" i="73" s="1"/>
  <c r="Q113" i="73" a="1"/>
  <c r="Q113" i="73" s="1"/>
  <c r="Q110" i="73" a="1"/>
  <c r="Q110" i="73" s="1"/>
  <c r="Q116" i="73" a="1"/>
  <c r="Q116" i="73" s="1"/>
  <c r="Q112" i="73" a="1"/>
  <c r="Q112" i="73" s="1"/>
  <c r="Q115" i="73" a="1"/>
  <c r="Q115" i="73" s="1"/>
  <c r="P111" i="73" a="1"/>
  <c r="P111" i="73" s="1"/>
  <c r="P110" i="73" a="1"/>
  <c r="P110" i="73" s="1"/>
  <c r="P113" i="73" a="1"/>
  <c r="P113" i="73" s="1"/>
  <c r="P109" i="73" a="1"/>
  <c r="P109" i="73" s="1"/>
  <c r="P115" i="73" a="1"/>
  <c r="P115" i="73" s="1"/>
  <c r="P112" i="73" a="1"/>
  <c r="P112" i="73" s="1"/>
  <c r="P114" i="73" a="1"/>
  <c r="P114" i="73" s="1"/>
  <c r="P116" i="73" a="1"/>
  <c r="P116" i="73" s="1"/>
  <c r="AB24" i="87"/>
  <c r="AB16" i="87" s="1"/>
  <c r="L111" i="73" a="1"/>
  <c r="L111" i="73" s="1"/>
  <c r="L110" i="73" a="1"/>
  <c r="L110" i="73" s="1"/>
  <c r="L112" i="73" a="1"/>
  <c r="L112" i="73" s="1"/>
  <c r="L113" i="73" a="1"/>
  <c r="L113" i="73" s="1"/>
  <c r="L114" i="73" a="1"/>
  <c r="L114" i="73" s="1"/>
  <c r="L109" i="73" a="1"/>
  <c r="L109" i="73" s="1"/>
  <c r="L115" i="73" a="1"/>
  <c r="L115" i="73" s="1"/>
  <c r="L116" i="73" a="1"/>
  <c r="L116" i="73" s="1"/>
  <c r="I111" i="73" a="1"/>
  <c r="I111" i="73" s="1"/>
  <c r="I112" i="73" a="1"/>
  <c r="I112" i="73" s="1"/>
  <c r="I109" i="73" a="1"/>
  <c r="I109" i="73" s="1"/>
  <c r="I115" i="73" a="1"/>
  <c r="I115" i="73" s="1"/>
  <c r="I114" i="73" a="1"/>
  <c r="I114" i="73" s="1"/>
  <c r="I113" i="73" a="1"/>
  <c r="I113" i="73" s="1"/>
  <c r="I110" i="73" a="1"/>
  <c r="I110" i="73" s="1"/>
  <c r="I116" i="73" a="1"/>
  <c r="I116" i="73" s="1"/>
  <c r="S109" i="73" a="1"/>
  <c r="S109" i="73" s="1"/>
  <c r="S114" i="73" a="1"/>
  <c r="S114" i="73" s="1"/>
  <c r="S111" i="73" a="1"/>
  <c r="S111" i="73" s="1"/>
  <c r="S113" i="73" a="1"/>
  <c r="S113" i="73" s="1"/>
  <c r="S116" i="73" a="1"/>
  <c r="S116" i="73" s="1"/>
  <c r="S110" i="73" a="1"/>
  <c r="S110" i="73" s="1"/>
  <c r="S112" i="73" a="1"/>
  <c r="S112" i="73" s="1"/>
  <c r="S115" i="73" a="1"/>
  <c r="S115" i="73" s="1"/>
  <c r="M112" i="73" a="1"/>
  <c r="M112" i="73" s="1"/>
  <c r="M116" i="73" a="1"/>
  <c r="M116" i="73" s="1"/>
  <c r="M110" i="73" a="1"/>
  <c r="M110" i="73" s="1"/>
  <c r="M113" i="73" a="1"/>
  <c r="M113" i="73" s="1"/>
  <c r="M115" i="73" a="1"/>
  <c r="M115" i="73" s="1"/>
  <c r="M114" i="73" a="1"/>
  <c r="M114" i="73" s="1"/>
  <c r="M111" i="73" a="1"/>
  <c r="M111" i="73" s="1"/>
  <c r="M109" i="73" a="1"/>
  <c r="M109" i="73" s="1"/>
  <c r="J115" i="73" a="1"/>
  <c r="J115" i="73" s="1"/>
  <c r="J116" i="73" a="1"/>
  <c r="J116" i="73" s="1"/>
  <c r="J113" i="73" a="1"/>
  <c r="J113" i="73" s="1"/>
  <c r="J114" i="73" a="1"/>
  <c r="J114" i="73" s="1"/>
  <c r="J109" i="73" a="1"/>
  <c r="J109" i="73" s="1"/>
  <c r="J111" i="73" a="1"/>
  <c r="J111" i="73" s="1"/>
  <c r="J110" i="73" a="1"/>
  <c r="J110" i="73" s="1"/>
  <c r="J112" i="73" a="1"/>
  <c r="J112" i="73" s="1"/>
  <c r="AC17" i="73"/>
  <c r="AC66" i="73"/>
  <c r="T109" i="73" a="1"/>
  <c r="T109" i="73" s="1"/>
  <c r="T112" i="73" a="1"/>
  <c r="T112" i="73" s="1"/>
  <c r="T110" i="73" a="1"/>
  <c r="T110" i="73" s="1"/>
  <c r="T114" i="73" a="1"/>
  <c r="T114" i="73" s="1"/>
  <c r="T113" i="73" a="1"/>
  <c r="T113" i="73" s="1"/>
  <c r="T115" i="73" a="1"/>
  <c r="T115" i="73" s="1"/>
  <c r="T111" i="73" a="1"/>
  <c r="T111" i="73" s="1"/>
  <c r="T116" i="73" a="1"/>
  <c r="T116" i="73" s="1"/>
  <c r="N115" i="73" a="1"/>
  <c r="N115" i="73" s="1"/>
  <c r="N111" i="73" a="1"/>
  <c r="N111" i="73" s="1"/>
  <c r="N116" i="73" a="1"/>
  <c r="N116" i="73" s="1"/>
  <c r="N109" i="73" a="1"/>
  <c r="N109" i="73" s="1"/>
  <c r="N114" i="73" a="1"/>
  <c r="N114" i="73" s="1"/>
  <c r="N110" i="73" a="1"/>
  <c r="N110" i="73" s="1"/>
  <c r="N112" i="73" a="1"/>
  <c r="N112" i="73" s="1"/>
  <c r="N113" i="73" a="1"/>
  <c r="N113" i="73" s="1"/>
  <c r="R114" i="73" a="1"/>
  <c r="R114" i="73" s="1"/>
  <c r="R115" i="73" a="1"/>
  <c r="R115" i="73" s="1"/>
  <c r="R109" i="73" a="1"/>
  <c r="R109" i="73" s="1"/>
  <c r="R110" i="73" a="1"/>
  <c r="R110" i="73" s="1"/>
  <c r="R113" i="73" a="1"/>
  <c r="R113" i="73" s="1"/>
  <c r="R112" i="73" a="1"/>
  <c r="R112" i="73" s="1"/>
  <c r="R116" i="73" a="1"/>
  <c r="R116" i="73" s="1"/>
  <c r="R111" i="73" a="1"/>
  <c r="R111" i="73" s="1"/>
  <c r="AC71" i="73" l="1" a="1"/>
  <c r="AC71" i="73" s="1"/>
  <c r="AD76" i="73" s="1"/>
  <c r="AD79" i="73" s="1"/>
  <c r="AD81" i="73" s="1"/>
  <c r="AD106" i="73" s="1"/>
  <c r="K96" i="85"/>
  <c r="L45" i="33" s="1"/>
  <c r="K97" i="85"/>
  <c r="L46" i="33" s="1"/>
  <c r="K98" i="85"/>
  <c r="L47" i="33" s="1"/>
  <c r="AD24" i="73"/>
  <c r="AD15" i="73"/>
  <c r="AD14" i="73" l="1"/>
  <c r="AC34" i="87"/>
  <c r="AD67" i="73"/>
  <c r="AD29" i="73"/>
  <c r="AD32" i="73"/>
  <c r="AD26" i="73"/>
  <c r="AD31" i="73"/>
  <c r="AD72" i="73" l="1" a="1"/>
  <c r="AD72" i="73" s="1"/>
  <c r="AE77" i="73" s="1"/>
  <c r="AC24" i="87"/>
  <c r="AC16" i="87" s="1"/>
  <c r="AD27" i="73"/>
  <c r="AD56" i="75" s="1"/>
  <c r="AD66" i="73"/>
  <c r="AD17" i="73"/>
  <c r="AD71" i="73" l="1" a="1"/>
  <c r="AD71" i="73" s="1"/>
  <c r="AE76" i="73" s="1"/>
  <c r="AE79" i="73" s="1"/>
  <c r="AE81" i="73" s="1"/>
  <c r="AE24" i="73"/>
  <c r="AE15" i="73"/>
  <c r="AE14" i="73" l="1"/>
  <c r="AD34" i="87"/>
  <c r="AE67" i="73"/>
  <c r="AE31" i="73"/>
  <c r="AE29" i="73"/>
  <c r="AE32" i="73"/>
  <c r="AE26" i="73"/>
  <c r="AE106" i="73"/>
  <c r="T31" i="87"/>
  <c r="T21" i="87" s="1"/>
  <c r="T13" i="87" s="1"/>
  <c r="U98" i="75"/>
  <c r="AE72" i="73" l="1" a="1"/>
  <c r="AE72" i="73" s="1"/>
  <c r="AF77" i="73" s="1"/>
  <c r="AE66" i="73"/>
  <c r="AE17" i="73"/>
  <c r="AE27" i="73"/>
  <c r="AE56" i="75" s="1"/>
  <c r="AD24" i="87"/>
  <c r="AD16" i="87" s="1"/>
  <c r="V24" i="68"/>
  <c r="V31" i="68" s="1"/>
  <c r="U99" i="75"/>
  <c r="U14" i="75"/>
  <c r="U35" i="68"/>
  <c r="U31" i="87"/>
  <c r="V30" i="82" l="1" a="1"/>
  <c r="V30" i="82" s="1"/>
  <c r="V35" i="82" s="1"/>
  <c r="V30" i="72" a="1"/>
  <c r="V30" i="72" s="1"/>
  <c r="V35" i="72" s="1"/>
  <c r="V32" i="68"/>
  <c r="V30" i="73" a="1"/>
  <c r="V30" i="73" s="1"/>
  <c r="V35" i="73" s="1"/>
  <c r="V26" i="68"/>
  <c r="V27" i="68" s="1"/>
  <c r="V29" i="68"/>
  <c r="AF24" i="73"/>
  <c r="AF15" i="73"/>
  <c r="AE71" i="73" a="1"/>
  <c r="AE71" i="73" s="1"/>
  <c r="AF76" i="73" s="1"/>
  <c r="AF79" i="73" s="1"/>
  <c r="AF81" i="73" s="1"/>
  <c r="V30" i="81" a="1"/>
  <c r="V30" i="81" s="1"/>
  <c r="V35" i="81" s="1"/>
  <c r="V98" i="75"/>
  <c r="U16" i="75"/>
  <c r="U63" i="72"/>
  <c r="U83" i="72" s="1"/>
  <c r="U63" i="82"/>
  <c r="U83" i="82" s="1"/>
  <c r="U63" i="81"/>
  <c r="U83" i="81" s="1"/>
  <c r="U63" i="73"/>
  <c r="U83" i="73" s="1"/>
  <c r="U21" i="87"/>
  <c r="U13" i="87" s="1"/>
  <c r="AF106" i="73" l="1"/>
  <c r="AF31" i="73"/>
  <c r="AF29" i="73"/>
  <c r="AF32" i="73"/>
  <c r="AF26" i="73"/>
  <c r="AF14" i="73"/>
  <c r="AE34" i="87"/>
  <c r="AE24" i="87" s="1"/>
  <c r="AE16" i="87" s="1"/>
  <c r="AF67" i="73"/>
  <c r="W24" i="68"/>
  <c r="W30" i="81" s="1" a="1"/>
  <c r="W30" i="81" s="1"/>
  <c r="W35" i="81" s="1"/>
  <c r="U107" i="73"/>
  <c r="U86" i="73"/>
  <c r="U105" i="73" s="1"/>
  <c r="U107" i="72"/>
  <c r="U86" i="72"/>
  <c r="U105" i="72" s="1"/>
  <c r="U107" i="81"/>
  <c r="U86" i="81"/>
  <c r="U105" i="81" s="1"/>
  <c r="U92" i="75"/>
  <c r="V14" i="75"/>
  <c r="V35" i="68"/>
  <c r="V99" i="75"/>
  <c r="U86" i="82"/>
  <c r="U105" i="82" s="1"/>
  <c r="U107" i="82"/>
  <c r="V31" i="87"/>
  <c r="AG24" i="73" l="1"/>
  <c r="AG15" i="73"/>
  <c r="AG14" i="73"/>
  <c r="AF27" i="73"/>
  <c r="AF56" i="75" s="1"/>
  <c r="AF72" i="73" a="1"/>
  <c r="AF72" i="73" s="1"/>
  <c r="AG77" i="73" s="1"/>
  <c r="AF17" i="73"/>
  <c r="AF66" i="73"/>
  <c r="C61" i="62"/>
  <c r="W26" i="68"/>
  <c r="W27" i="68" s="1"/>
  <c r="W31" i="68"/>
  <c r="W30" i="73" a="1"/>
  <c r="W30" i="73" s="1"/>
  <c r="W35" i="73" s="1"/>
  <c r="W29" i="68"/>
  <c r="W30" i="82" a="1"/>
  <c r="W30" i="82" s="1"/>
  <c r="W35" i="82" s="1"/>
  <c r="W30" i="72" a="1"/>
  <c r="W30" i="72" s="1"/>
  <c r="W35" i="72" s="1"/>
  <c r="W32" i="68"/>
  <c r="W98" i="75"/>
  <c r="U113" i="73" a="1"/>
  <c r="U113" i="73" s="1"/>
  <c r="U114" i="73" a="1"/>
  <c r="U114" i="73" s="1"/>
  <c r="U116" i="73" a="1"/>
  <c r="U116" i="73" s="1"/>
  <c r="U109" i="73" a="1"/>
  <c r="U109" i="73" s="1"/>
  <c r="U110" i="73" a="1"/>
  <c r="U110" i="73" s="1"/>
  <c r="U112" i="73" a="1"/>
  <c r="U112" i="73" s="1"/>
  <c r="U111" i="73" a="1"/>
  <c r="U111" i="73" s="1"/>
  <c r="U115" i="73" a="1"/>
  <c r="U115" i="73" s="1"/>
  <c r="V16" i="75"/>
  <c r="V63" i="73"/>
  <c r="V83" i="73" s="1"/>
  <c r="V63" i="81"/>
  <c r="V83" i="81" s="1"/>
  <c r="V63" i="82"/>
  <c r="V83" i="82" s="1"/>
  <c r="V63" i="72"/>
  <c r="V83" i="72" s="1"/>
  <c r="U109" i="81" a="1"/>
  <c r="U109" i="81" s="1"/>
  <c r="U110" i="81" a="1"/>
  <c r="U110" i="81" s="1"/>
  <c r="U114" i="81" a="1"/>
  <c r="U114" i="81" s="1"/>
  <c r="U115" i="81" a="1"/>
  <c r="U115" i="81" s="1"/>
  <c r="U113" i="81" a="1"/>
  <c r="U113" i="81" s="1"/>
  <c r="U116" i="81" a="1"/>
  <c r="U116" i="81" s="1"/>
  <c r="U111" i="81" a="1"/>
  <c r="U111" i="81" s="1"/>
  <c r="U112" i="81" a="1"/>
  <c r="U112" i="81" s="1"/>
  <c r="V21" i="87"/>
  <c r="V13" i="87" s="1"/>
  <c r="U113" i="82" a="1"/>
  <c r="U113" i="82" s="1"/>
  <c r="U116" i="82" a="1"/>
  <c r="U116" i="82" s="1"/>
  <c r="U115" i="82" a="1"/>
  <c r="U115" i="82" s="1"/>
  <c r="U112" i="82" a="1"/>
  <c r="U112" i="82" s="1"/>
  <c r="U114" i="82" a="1"/>
  <c r="U114" i="82" s="1"/>
  <c r="U110" i="82" a="1"/>
  <c r="U110" i="82" s="1"/>
  <c r="U109" i="82" a="1"/>
  <c r="U109" i="82" s="1"/>
  <c r="U111" i="82" a="1"/>
  <c r="U111" i="82" s="1"/>
  <c r="U116" i="72" a="1"/>
  <c r="U116" i="72" s="1"/>
  <c r="U110" i="72" a="1"/>
  <c r="U110" i="72" s="1"/>
  <c r="U113" i="72" a="1"/>
  <c r="U113" i="72" s="1"/>
  <c r="U111" i="72" a="1"/>
  <c r="U111" i="72" s="1"/>
  <c r="U109" i="72" a="1"/>
  <c r="U109" i="72" s="1"/>
  <c r="U112" i="72" a="1"/>
  <c r="U112" i="72" s="1"/>
  <c r="U115" i="72" a="1"/>
  <c r="U115" i="72" s="1"/>
  <c r="U114" i="72" a="1"/>
  <c r="U114" i="72" s="1"/>
  <c r="AG66" i="73" l="1"/>
  <c r="AG71" i="73" s="1" a="1"/>
  <c r="AG71" i="73" s="1"/>
  <c r="AG17" i="73"/>
  <c r="G89" i="73" s="1" a="1"/>
  <c r="G89" i="73" s="1"/>
  <c r="G91" i="73" s="1"/>
  <c r="C34" i="62" s="1"/>
  <c r="C38" i="62" s="1" a="1"/>
  <c r="C38" i="62" s="1"/>
  <c r="AG67" i="73"/>
  <c r="AG72" i="73" s="1" a="1"/>
  <c r="AG72" i="73" s="1"/>
  <c r="C62" i="62"/>
  <c r="D61" i="62" s="1"/>
  <c r="C4" i="73" s="1"/>
  <c r="AF71" i="73" a="1"/>
  <c r="AF71" i="73" s="1"/>
  <c r="AG76" i="73" s="1"/>
  <c r="AG79" i="73" s="1"/>
  <c r="AG81" i="73" s="1"/>
  <c r="AG29" i="73"/>
  <c r="AG31" i="73"/>
  <c r="AG26" i="73"/>
  <c r="AG32" i="73"/>
  <c r="X24" i="68"/>
  <c r="W31" i="87"/>
  <c r="V86" i="73"/>
  <c r="V105" i="73" s="1"/>
  <c r="V107" i="73"/>
  <c r="V92" i="75"/>
  <c r="V107" i="72"/>
  <c r="V86" i="72"/>
  <c r="V105" i="72" s="1"/>
  <c r="V107" i="82"/>
  <c r="V86" i="82"/>
  <c r="V105" i="82" s="1"/>
  <c r="W14" i="75"/>
  <c r="W99" i="75"/>
  <c r="W35" i="68"/>
  <c r="V86" i="81"/>
  <c r="V105" i="81" s="1"/>
  <c r="V107" i="81"/>
  <c r="X29" i="68" l="1"/>
  <c r="X26" i="68"/>
  <c r="X27" i="68" s="1"/>
  <c r="X30" i="72" a="1"/>
  <c r="X30" i="72" s="1"/>
  <c r="X35" i="72" s="1"/>
  <c r="AG27" i="73"/>
  <c r="AG56" i="75" s="1"/>
  <c r="F56" i="75" s="1"/>
  <c r="F27" i="73"/>
  <c r="X30" i="73" a="1"/>
  <c r="X30" i="73" s="1"/>
  <c r="X35" i="73" s="1"/>
  <c r="X31" i="68"/>
  <c r="AG106" i="73"/>
  <c r="X30" i="82" a="1"/>
  <c r="X30" i="82" s="1"/>
  <c r="X35" i="82" s="1"/>
  <c r="AB7" i="75"/>
  <c r="S7" i="75"/>
  <c r="O7" i="75"/>
  <c r="AD7" i="75"/>
  <c r="AG7" i="75"/>
  <c r="AC7" i="75"/>
  <c r="V7" i="75"/>
  <c r="K7" i="75"/>
  <c r="U7" i="75"/>
  <c r="AE7" i="75"/>
  <c r="L7" i="75"/>
  <c r="AA7" i="75"/>
  <c r="M7" i="75"/>
  <c r="J7" i="75"/>
  <c r="Q7" i="75"/>
  <c r="T7" i="75"/>
  <c r="Y7" i="75"/>
  <c r="N7" i="75"/>
  <c r="P7" i="75"/>
  <c r="Z7" i="75"/>
  <c r="H7" i="75"/>
  <c r="W7" i="75"/>
  <c r="R7" i="75"/>
  <c r="I7" i="75"/>
  <c r="X7" i="75"/>
  <c r="X44" i="75" s="1"/>
  <c r="AF7" i="75"/>
  <c r="X32" i="68"/>
  <c r="X30" i="81" a="1"/>
  <c r="X30" i="81" s="1"/>
  <c r="X35" i="81" s="1"/>
  <c r="V110" i="73" a="1"/>
  <c r="V110" i="73" s="1"/>
  <c r="V114" i="73" a="1"/>
  <c r="V114" i="73" s="1"/>
  <c r="V109" i="73" a="1"/>
  <c r="V109" i="73" s="1"/>
  <c r="V112" i="73" a="1"/>
  <c r="V112" i="73" s="1"/>
  <c r="V113" i="73" a="1"/>
  <c r="V113" i="73" s="1"/>
  <c r="V115" i="73" a="1"/>
  <c r="V115" i="73" s="1"/>
  <c r="V111" i="73" a="1"/>
  <c r="V111" i="73" s="1"/>
  <c r="V116" i="73" a="1"/>
  <c r="V116" i="73" s="1"/>
  <c r="X98" i="75"/>
  <c r="V109" i="81" a="1"/>
  <c r="V109" i="81" s="1"/>
  <c r="V115" i="81" a="1"/>
  <c r="V115" i="81" s="1"/>
  <c r="V116" i="81" a="1"/>
  <c r="V116" i="81" s="1"/>
  <c r="V112" i="81" a="1"/>
  <c r="V112" i="81" s="1"/>
  <c r="V110" i="81" a="1"/>
  <c r="V110" i="81" s="1"/>
  <c r="V111" i="81" a="1"/>
  <c r="V111" i="81" s="1"/>
  <c r="V113" i="81" a="1"/>
  <c r="V113" i="81" s="1"/>
  <c r="V114" i="81" a="1"/>
  <c r="V114" i="81" s="1"/>
  <c r="W63" i="82"/>
  <c r="W83" i="82" s="1"/>
  <c r="W16" i="75"/>
  <c r="W63" i="72"/>
  <c r="W83" i="72" s="1"/>
  <c r="W63" i="81"/>
  <c r="W83" i="81" s="1"/>
  <c r="W63" i="73"/>
  <c r="W83" i="73" s="1"/>
  <c r="V110" i="72" a="1"/>
  <c r="V110" i="72" s="1"/>
  <c r="V109" i="72" a="1"/>
  <c r="V109" i="72" s="1"/>
  <c r="V111" i="72" a="1"/>
  <c r="V111" i="72" s="1"/>
  <c r="V115" i="72" a="1"/>
  <c r="V115" i="72" s="1"/>
  <c r="V114" i="72" a="1"/>
  <c r="V114" i="72" s="1"/>
  <c r="V116" i="72" a="1"/>
  <c r="V116" i="72" s="1"/>
  <c r="V112" i="72" a="1"/>
  <c r="V112" i="72" s="1"/>
  <c r="V113" i="72" a="1"/>
  <c r="V113" i="72" s="1"/>
  <c r="V113" i="82" a="1"/>
  <c r="V113" i="82" s="1"/>
  <c r="V111" i="82" a="1"/>
  <c r="V111" i="82" s="1"/>
  <c r="V110" i="82" a="1"/>
  <c r="V110" i="82" s="1"/>
  <c r="V115" i="82" a="1"/>
  <c r="V115" i="82" s="1"/>
  <c r="V109" i="82" a="1"/>
  <c r="V109" i="82" s="1"/>
  <c r="V112" i="82" a="1"/>
  <c r="V112" i="82" s="1"/>
  <c r="V114" i="82" a="1"/>
  <c r="V114" i="82" s="1"/>
  <c r="V116" i="82" a="1"/>
  <c r="V116" i="82" s="1"/>
  <c r="W21" i="87"/>
  <c r="W13" i="87" s="1"/>
  <c r="X30" i="75" l="1"/>
  <c r="AA74" i="75"/>
  <c r="AA71" i="75"/>
  <c r="AA77" i="75"/>
  <c r="AA63" i="75"/>
  <c r="AA46" i="75"/>
  <c r="AA7" i="85"/>
  <c r="AA29" i="75"/>
  <c r="AA33" i="75"/>
  <c r="AA47" i="75"/>
  <c r="AA32" i="75"/>
  <c r="AA49" i="75"/>
  <c r="AA61" i="75"/>
  <c r="AA75" i="75"/>
  <c r="AA35" i="75"/>
  <c r="AA60" i="75"/>
  <c r="AA43" i="75"/>
  <c r="AA57" i="75"/>
  <c r="L33" i="75"/>
  <c r="L35" i="75"/>
  <c r="L61" i="75"/>
  <c r="L44" i="75"/>
  <c r="L34" i="75"/>
  <c r="L77" i="75"/>
  <c r="L30" i="75"/>
  <c r="L49" i="75"/>
  <c r="L63" i="75"/>
  <c r="L60" i="75"/>
  <c r="L32" i="75"/>
  <c r="L46" i="75"/>
  <c r="L43" i="75"/>
  <c r="L74" i="75"/>
  <c r="L57" i="75"/>
  <c r="L58" i="75"/>
  <c r="L47" i="75"/>
  <c r="L76" i="75"/>
  <c r="L29" i="75"/>
  <c r="L71" i="75"/>
  <c r="L62" i="75"/>
  <c r="L75" i="75"/>
  <c r="L72" i="75"/>
  <c r="L7" i="85"/>
  <c r="L48" i="75"/>
  <c r="AG57" i="75"/>
  <c r="AG7" i="85"/>
  <c r="AG46" i="75"/>
  <c r="AG61" i="75"/>
  <c r="AG35" i="75"/>
  <c r="AG43" i="75"/>
  <c r="AG49" i="75"/>
  <c r="AG29" i="75"/>
  <c r="AG32" i="75"/>
  <c r="AG75" i="75"/>
  <c r="AG71" i="75"/>
  <c r="AG74" i="75"/>
  <c r="AG77" i="75"/>
  <c r="AG47" i="75"/>
  <c r="AG63" i="75"/>
  <c r="AG33" i="75"/>
  <c r="O75" i="75"/>
  <c r="O43" i="75"/>
  <c r="O7" i="85"/>
  <c r="O57" i="75"/>
  <c r="O77" i="75"/>
  <c r="O34" i="75"/>
  <c r="O44" i="75"/>
  <c r="O46" i="75"/>
  <c r="O76" i="75"/>
  <c r="O60" i="75"/>
  <c r="O58" i="75"/>
  <c r="O61" i="75"/>
  <c r="O74" i="75"/>
  <c r="O48" i="75"/>
  <c r="O32" i="75"/>
  <c r="O62" i="75"/>
  <c r="O29" i="75"/>
  <c r="O71" i="75"/>
  <c r="O35" i="75"/>
  <c r="O47" i="75"/>
  <c r="O30" i="75"/>
  <c r="O63" i="75"/>
  <c r="O72" i="75"/>
  <c r="O49" i="75"/>
  <c r="O33" i="75"/>
  <c r="F23" i="75" a="1"/>
  <c r="F23" i="75" s="1"/>
  <c r="I9" i="33" s="1"/>
  <c r="H7" i="85"/>
  <c r="AD63" i="75"/>
  <c r="AD7" i="85"/>
  <c r="AD75" i="75"/>
  <c r="AD71" i="75"/>
  <c r="AD46" i="75"/>
  <c r="AD43" i="75"/>
  <c r="AD60" i="75"/>
  <c r="AD61" i="75"/>
  <c r="AD49" i="75"/>
  <c r="AD77" i="75"/>
  <c r="AD33" i="75"/>
  <c r="AD35" i="75"/>
  <c r="AD74" i="75"/>
  <c r="AD29" i="75"/>
  <c r="AD47" i="75"/>
  <c r="AD32" i="75"/>
  <c r="AD57" i="75"/>
  <c r="P71" i="75"/>
  <c r="P48" i="75"/>
  <c r="P63" i="75"/>
  <c r="P60" i="75"/>
  <c r="P43" i="75"/>
  <c r="P44" i="75"/>
  <c r="P62" i="75"/>
  <c r="P61" i="75"/>
  <c r="P49" i="75"/>
  <c r="P72" i="75"/>
  <c r="P35" i="75"/>
  <c r="P46" i="75"/>
  <c r="P76" i="75"/>
  <c r="P34" i="75"/>
  <c r="P57" i="75"/>
  <c r="P74" i="75"/>
  <c r="P58" i="75"/>
  <c r="P29" i="75"/>
  <c r="P77" i="75"/>
  <c r="P32" i="75"/>
  <c r="P75" i="75"/>
  <c r="P33" i="75"/>
  <c r="P47" i="75"/>
  <c r="P7" i="85"/>
  <c r="P30" i="75"/>
  <c r="AG60" i="75"/>
  <c r="N61" i="75"/>
  <c r="N77" i="75"/>
  <c r="N32" i="75"/>
  <c r="N30" i="75"/>
  <c r="N49" i="75"/>
  <c r="N72" i="75"/>
  <c r="N60" i="75"/>
  <c r="N74" i="75"/>
  <c r="N35" i="75"/>
  <c r="N34" i="75"/>
  <c r="N7" i="85"/>
  <c r="N46" i="75"/>
  <c r="N43" i="75"/>
  <c r="N44" i="75"/>
  <c r="N76" i="75"/>
  <c r="N48" i="75"/>
  <c r="N29" i="75"/>
  <c r="N75" i="75"/>
  <c r="N33" i="75"/>
  <c r="N71" i="75"/>
  <c r="N47" i="75"/>
  <c r="N63" i="75"/>
  <c r="N57" i="75"/>
  <c r="N58" i="75"/>
  <c r="N62" i="75"/>
  <c r="Q34" i="75"/>
  <c r="Q43" i="75"/>
  <c r="Q44" i="75"/>
  <c r="Q57" i="75"/>
  <c r="Q29" i="75"/>
  <c r="Q49" i="75"/>
  <c r="Q58" i="75"/>
  <c r="Q46" i="75"/>
  <c r="Q7" i="85"/>
  <c r="Q61" i="75"/>
  <c r="Q60" i="75"/>
  <c r="Q32" i="75"/>
  <c r="Q72" i="75"/>
  <c r="Q48" i="75"/>
  <c r="Q35" i="75"/>
  <c r="Q62" i="75"/>
  <c r="Q47" i="75"/>
  <c r="Q74" i="75"/>
  <c r="Q75" i="75"/>
  <c r="Q71" i="75"/>
  <c r="Q33" i="75"/>
  <c r="Q76" i="75"/>
  <c r="Q77" i="75"/>
  <c r="Q30" i="75"/>
  <c r="Q63" i="75"/>
  <c r="X58" i="75"/>
  <c r="AE61" i="75"/>
  <c r="AE47" i="75"/>
  <c r="AE33" i="75"/>
  <c r="AE32" i="75"/>
  <c r="AE46" i="75"/>
  <c r="AE63" i="75"/>
  <c r="AE77" i="75"/>
  <c r="AE43" i="75"/>
  <c r="AE75" i="75"/>
  <c r="AE49" i="75"/>
  <c r="AE71" i="75"/>
  <c r="AE7" i="85"/>
  <c r="AE29" i="75"/>
  <c r="AE35" i="75"/>
  <c r="AE74" i="75"/>
  <c r="AE60" i="75"/>
  <c r="AE57" i="75"/>
  <c r="K71" i="75"/>
  <c r="K76" i="75"/>
  <c r="K49" i="75"/>
  <c r="K63" i="75"/>
  <c r="K75" i="75"/>
  <c r="K30" i="75"/>
  <c r="K77" i="75"/>
  <c r="K47" i="75"/>
  <c r="K35" i="75"/>
  <c r="K33" i="75"/>
  <c r="K61" i="75"/>
  <c r="K34" i="75"/>
  <c r="K7" i="85"/>
  <c r="K32" i="75"/>
  <c r="K62" i="75"/>
  <c r="K74" i="75"/>
  <c r="K29" i="75"/>
  <c r="K46" i="75"/>
  <c r="K43" i="75"/>
  <c r="K58" i="75"/>
  <c r="K72" i="75"/>
  <c r="K57" i="75"/>
  <c r="K48" i="75"/>
  <c r="K60" i="75"/>
  <c r="K44" i="75"/>
  <c r="AC60" i="75"/>
  <c r="AC74" i="75"/>
  <c r="AC35" i="75"/>
  <c r="AC57" i="75"/>
  <c r="AC77" i="75"/>
  <c r="AC7" i="85"/>
  <c r="AC47" i="75"/>
  <c r="AC32" i="75"/>
  <c r="AC33" i="75"/>
  <c r="AC29" i="75"/>
  <c r="AC71" i="75"/>
  <c r="AC75" i="75"/>
  <c r="AC63" i="75"/>
  <c r="AC43" i="75"/>
  <c r="AC61" i="75"/>
  <c r="AC46" i="75"/>
  <c r="AC49" i="75"/>
  <c r="X77" i="75"/>
  <c r="X46" i="75"/>
  <c r="X33" i="75"/>
  <c r="X61" i="75"/>
  <c r="X57" i="75"/>
  <c r="X47" i="75"/>
  <c r="X35" i="75"/>
  <c r="X43" i="75"/>
  <c r="X60" i="75"/>
  <c r="X49" i="75"/>
  <c r="X32" i="75"/>
  <c r="X29" i="75"/>
  <c r="X63" i="75"/>
  <c r="X74" i="75"/>
  <c r="X71" i="75"/>
  <c r="X7" i="85"/>
  <c r="X75" i="75"/>
  <c r="S29" i="75"/>
  <c r="S43" i="75"/>
  <c r="S57" i="75"/>
  <c r="S49" i="75"/>
  <c r="S33" i="75"/>
  <c r="S47" i="75"/>
  <c r="S58" i="75"/>
  <c r="S71" i="75"/>
  <c r="S75" i="75"/>
  <c r="S61" i="75"/>
  <c r="S35" i="75"/>
  <c r="S34" i="75"/>
  <c r="S46" i="75"/>
  <c r="S44" i="75"/>
  <c r="S63" i="75"/>
  <c r="S60" i="75"/>
  <c r="S30" i="75"/>
  <c r="S74" i="75"/>
  <c r="S7" i="85"/>
  <c r="S76" i="75"/>
  <c r="S77" i="75"/>
  <c r="S48" i="75"/>
  <c r="S32" i="75"/>
  <c r="S72" i="75"/>
  <c r="S62" i="75"/>
  <c r="X72" i="75"/>
  <c r="J71" i="75"/>
  <c r="J60" i="75"/>
  <c r="J57" i="75"/>
  <c r="J61" i="75"/>
  <c r="J49" i="75"/>
  <c r="J63" i="75"/>
  <c r="J33" i="75"/>
  <c r="J29" i="75"/>
  <c r="J75" i="75"/>
  <c r="J7" i="85"/>
  <c r="J32" i="75"/>
  <c r="J72" i="75"/>
  <c r="J74" i="75"/>
  <c r="J43" i="75"/>
  <c r="J30" i="75"/>
  <c r="J48" i="75"/>
  <c r="J58" i="75"/>
  <c r="J62" i="75"/>
  <c r="J34" i="75"/>
  <c r="J44" i="75"/>
  <c r="J77" i="75"/>
  <c r="J76" i="75"/>
  <c r="J46" i="75"/>
  <c r="J35" i="75"/>
  <c r="J47" i="75"/>
  <c r="U30" i="75"/>
  <c r="U74" i="75"/>
  <c r="U72" i="75"/>
  <c r="U35" i="75"/>
  <c r="U60" i="75"/>
  <c r="U63" i="75"/>
  <c r="U7" i="85"/>
  <c r="U46" i="75"/>
  <c r="U61" i="75"/>
  <c r="U77" i="75"/>
  <c r="U44" i="75"/>
  <c r="U33" i="75"/>
  <c r="U29" i="75"/>
  <c r="U43" i="75"/>
  <c r="U47" i="75"/>
  <c r="U57" i="75"/>
  <c r="U58" i="75"/>
  <c r="U75" i="75"/>
  <c r="U32" i="75"/>
  <c r="U49" i="75"/>
  <c r="U71" i="75"/>
  <c r="U34" i="75"/>
  <c r="U48" i="75"/>
  <c r="U76" i="75"/>
  <c r="U62" i="75"/>
  <c r="V47" i="75"/>
  <c r="V57" i="75"/>
  <c r="V43" i="75"/>
  <c r="V71" i="75"/>
  <c r="V46" i="75"/>
  <c r="V60" i="75"/>
  <c r="V74" i="75"/>
  <c r="V7" i="85"/>
  <c r="V73" i="85" s="1"/>
  <c r="V77" i="75"/>
  <c r="V35" i="75"/>
  <c r="V49" i="75"/>
  <c r="V61" i="75"/>
  <c r="V32" i="75"/>
  <c r="V63" i="75"/>
  <c r="V33" i="75"/>
  <c r="V75" i="75"/>
  <c r="V29" i="75"/>
  <c r="V72" i="75"/>
  <c r="V58" i="75"/>
  <c r="V44" i="75"/>
  <c r="V30" i="75"/>
  <c r="V48" i="75"/>
  <c r="V76" i="75"/>
  <c r="V62" i="75"/>
  <c r="V34" i="75"/>
  <c r="AF63" i="75"/>
  <c r="AF74" i="75"/>
  <c r="AF33" i="75"/>
  <c r="AF77" i="75"/>
  <c r="AF29" i="75"/>
  <c r="AF46" i="75"/>
  <c r="AF75" i="75"/>
  <c r="AF7" i="85"/>
  <c r="AF43" i="75"/>
  <c r="AF49" i="75"/>
  <c r="AF71" i="75"/>
  <c r="AF35" i="75"/>
  <c r="AF47" i="75"/>
  <c r="AF61" i="75"/>
  <c r="AF32" i="75"/>
  <c r="AF60" i="75"/>
  <c r="AF57" i="75"/>
  <c r="I61" i="75"/>
  <c r="I57" i="75"/>
  <c r="I33" i="75"/>
  <c r="I77" i="75"/>
  <c r="I32" i="75"/>
  <c r="I63" i="75"/>
  <c r="I35" i="75"/>
  <c r="I44" i="75"/>
  <c r="I74" i="75"/>
  <c r="I47" i="75"/>
  <c r="I48" i="75"/>
  <c r="I62" i="75"/>
  <c r="I29" i="75"/>
  <c r="I43" i="75"/>
  <c r="I46" i="75"/>
  <c r="I72" i="75"/>
  <c r="I60" i="75"/>
  <c r="I76" i="75"/>
  <c r="I71" i="75"/>
  <c r="I75" i="75"/>
  <c r="I58" i="75"/>
  <c r="I30" i="75"/>
  <c r="I7" i="85"/>
  <c r="I49" i="75"/>
  <c r="I34" i="75"/>
  <c r="R34" i="75"/>
  <c r="R46" i="75"/>
  <c r="R62" i="75"/>
  <c r="R72" i="75"/>
  <c r="R30" i="75"/>
  <c r="R44" i="75"/>
  <c r="R60" i="75"/>
  <c r="R77" i="75"/>
  <c r="R75" i="75"/>
  <c r="R47" i="75"/>
  <c r="R74" i="75"/>
  <c r="R43" i="75"/>
  <c r="R32" i="75"/>
  <c r="R49" i="75"/>
  <c r="R57" i="75"/>
  <c r="R29" i="75"/>
  <c r="R58" i="75"/>
  <c r="R35" i="75"/>
  <c r="R48" i="75"/>
  <c r="R71" i="75"/>
  <c r="R33" i="75"/>
  <c r="R63" i="75"/>
  <c r="R61" i="75"/>
  <c r="R76" i="75"/>
  <c r="R7" i="85"/>
  <c r="W32" i="75"/>
  <c r="W47" i="75"/>
  <c r="W29" i="75"/>
  <c r="W77" i="75"/>
  <c r="W74" i="75"/>
  <c r="W7" i="85"/>
  <c r="W63" i="75"/>
  <c r="W35" i="75"/>
  <c r="W33" i="75"/>
  <c r="W49" i="75"/>
  <c r="W71" i="75"/>
  <c r="W46" i="75"/>
  <c r="W43" i="75"/>
  <c r="W57" i="75"/>
  <c r="W61" i="75"/>
  <c r="W75" i="75"/>
  <c r="W60" i="75"/>
  <c r="W30" i="75"/>
  <c r="W72" i="75"/>
  <c r="W44" i="75"/>
  <c r="W58" i="75"/>
  <c r="AB29" i="75"/>
  <c r="AB49" i="75"/>
  <c r="AB57" i="75"/>
  <c r="AB60" i="75"/>
  <c r="AB63" i="75"/>
  <c r="AB75" i="75"/>
  <c r="AB33" i="75"/>
  <c r="AB7" i="85"/>
  <c r="AB35" i="75"/>
  <c r="AB47" i="75"/>
  <c r="AB74" i="75"/>
  <c r="AB46" i="75"/>
  <c r="AB43" i="75"/>
  <c r="AB32" i="75"/>
  <c r="AB77" i="75"/>
  <c r="AB61" i="75"/>
  <c r="AB71" i="75"/>
  <c r="Z35" i="75"/>
  <c r="Z46" i="75"/>
  <c r="Z61" i="75"/>
  <c r="Z60" i="75"/>
  <c r="Z47" i="75"/>
  <c r="Z49" i="75"/>
  <c r="Z77" i="75"/>
  <c r="Z43" i="75"/>
  <c r="Z57" i="75"/>
  <c r="Z74" i="75"/>
  <c r="Z75" i="75"/>
  <c r="Z29" i="75"/>
  <c r="Z71" i="75"/>
  <c r="Z32" i="75"/>
  <c r="Z33" i="75"/>
  <c r="Z7" i="85"/>
  <c r="Z63" i="75"/>
  <c r="V44" i="85"/>
  <c r="Y63" i="75"/>
  <c r="Y46" i="75"/>
  <c r="Y60" i="75"/>
  <c r="Y43" i="75"/>
  <c r="Y71" i="75"/>
  <c r="Y7" i="85"/>
  <c r="Y57" i="75"/>
  <c r="Y74" i="75"/>
  <c r="Y32" i="75"/>
  <c r="Y47" i="75"/>
  <c r="Y75" i="75"/>
  <c r="Y35" i="75"/>
  <c r="Y49" i="75"/>
  <c r="Y33" i="75"/>
  <c r="Y77" i="75"/>
  <c r="Y29" i="75"/>
  <c r="Y61" i="75"/>
  <c r="T7" i="85"/>
  <c r="T60" i="75"/>
  <c r="T63" i="75"/>
  <c r="T58" i="75"/>
  <c r="T76" i="75"/>
  <c r="T33" i="75"/>
  <c r="T34" i="75"/>
  <c r="T57" i="75"/>
  <c r="T72" i="75"/>
  <c r="T74" i="75"/>
  <c r="T32" i="75"/>
  <c r="T48" i="75"/>
  <c r="T62" i="75"/>
  <c r="T35" i="75"/>
  <c r="T61" i="75"/>
  <c r="T75" i="75"/>
  <c r="T47" i="75"/>
  <c r="T29" i="75"/>
  <c r="T44" i="75"/>
  <c r="T30" i="75"/>
  <c r="T77" i="75"/>
  <c r="T46" i="75"/>
  <c r="T43" i="75"/>
  <c r="T71" i="75"/>
  <c r="T49" i="75"/>
  <c r="M74" i="75"/>
  <c r="M48" i="75"/>
  <c r="M30" i="75"/>
  <c r="M77" i="75"/>
  <c r="M62" i="75"/>
  <c r="M29" i="75"/>
  <c r="M32" i="75"/>
  <c r="M7" i="85"/>
  <c r="M35" i="75"/>
  <c r="M33" i="75"/>
  <c r="M61" i="75"/>
  <c r="M72" i="75"/>
  <c r="M76" i="75"/>
  <c r="M63" i="75"/>
  <c r="M75" i="75"/>
  <c r="M34" i="75"/>
  <c r="M46" i="75"/>
  <c r="M71" i="75"/>
  <c r="M47" i="75"/>
  <c r="M60" i="75"/>
  <c r="M43" i="75"/>
  <c r="M49" i="75"/>
  <c r="M57" i="75"/>
  <c r="M44" i="75"/>
  <c r="M58" i="75"/>
  <c r="Y24" i="68"/>
  <c r="Y31" i="68" s="1"/>
  <c r="Y30" i="72" a="1"/>
  <c r="Y30" i="72" s="1"/>
  <c r="Y35" i="72" s="1"/>
  <c r="Y44" i="75" s="1"/>
  <c r="W62" i="75"/>
  <c r="W107" i="73"/>
  <c r="W86" i="73"/>
  <c r="W105" i="73" s="1"/>
  <c r="W76" i="75"/>
  <c r="W86" i="82"/>
  <c r="W105" i="82" s="1"/>
  <c r="W107" i="82"/>
  <c r="W107" i="81"/>
  <c r="W34" i="75"/>
  <c r="W86" i="81"/>
  <c r="W105" i="81" s="1"/>
  <c r="X31" i="87"/>
  <c r="X99" i="75"/>
  <c r="X14" i="75"/>
  <c r="X35" i="68"/>
  <c r="W86" i="72"/>
  <c r="W105" i="72" s="1"/>
  <c r="W48" i="75"/>
  <c r="W107" i="72"/>
  <c r="W92" i="75"/>
  <c r="Y30" i="73" l="1" a="1"/>
  <c r="Y30" i="73" s="1"/>
  <c r="Y35" i="73" s="1"/>
  <c r="Y58" i="75" s="1"/>
  <c r="Y29" i="68"/>
  <c r="Y30" i="81" a="1"/>
  <c r="Y30" i="81" s="1"/>
  <c r="Y35" i="81" s="1"/>
  <c r="Y30" i="75" s="1"/>
  <c r="Y26" i="68"/>
  <c r="Y27" i="68" s="1"/>
  <c r="K36" i="75"/>
  <c r="R64" i="75"/>
  <c r="V49" i="85"/>
  <c r="V72" i="85"/>
  <c r="O78" i="75"/>
  <c r="V64" i="85"/>
  <c r="V65" i="85"/>
  <c r="V35" i="85"/>
  <c r="V50" i="85"/>
  <c r="V51" i="85"/>
  <c r="F35" i="75" a="1"/>
  <c r="F35" i="75" s="1"/>
  <c r="V37" i="85"/>
  <c r="V60" i="85"/>
  <c r="V77" i="85"/>
  <c r="U50" i="75"/>
  <c r="U40" i="85" s="1"/>
  <c r="Y30" i="82" a="1"/>
  <c r="Y30" i="82" s="1"/>
  <c r="Y35" i="82" s="1"/>
  <c r="Y72" i="75" s="1"/>
  <c r="R36" i="75"/>
  <c r="J78" i="75"/>
  <c r="O36" i="75"/>
  <c r="Q64" i="75"/>
  <c r="Q50" i="75"/>
  <c r="Q40" i="85" s="1"/>
  <c r="V46" i="85"/>
  <c r="V47" i="85"/>
  <c r="V32" i="85"/>
  <c r="V48" i="85"/>
  <c r="V33" i="85"/>
  <c r="V36" i="85"/>
  <c r="V50" i="75"/>
  <c r="V40" i="85" s="1"/>
  <c r="V34" i="85"/>
  <c r="V79" i="85"/>
  <c r="R78" i="75"/>
  <c r="J36" i="75"/>
  <c r="V74" i="85"/>
  <c r="F33" i="75" a="1"/>
  <c r="F33" i="75" s="1"/>
  <c r="V31" i="85"/>
  <c r="V76" i="85"/>
  <c r="K64" i="75"/>
  <c r="V75" i="85"/>
  <c r="N64" i="75"/>
  <c r="F75" i="75" a="1"/>
  <c r="F75" i="75" s="1"/>
  <c r="V78" i="85"/>
  <c r="V30" i="85"/>
  <c r="V63" i="85"/>
  <c r="V61" i="85"/>
  <c r="F71" i="75"/>
  <c r="S36" i="75"/>
  <c r="Q73" i="85"/>
  <c r="Q62" i="85"/>
  <c r="Q60" i="85"/>
  <c r="Q34" i="85"/>
  <c r="Q36" i="85"/>
  <c r="Q21" i="85"/>
  <c r="Q64" i="85"/>
  <c r="Q70" i="85"/>
  <c r="Q37" i="85"/>
  <c r="Q16" i="85"/>
  <c r="Q58" i="85"/>
  <c r="Q18" i="85"/>
  <c r="Q74" i="85"/>
  <c r="Q63" i="85"/>
  <c r="Q44" i="85"/>
  <c r="Q75" i="85"/>
  <c r="Q61" i="85"/>
  <c r="Q72" i="85"/>
  <c r="Q59" i="85"/>
  <c r="Q65" i="85"/>
  <c r="Q30" i="85"/>
  <c r="Q20" i="85"/>
  <c r="Q77" i="85"/>
  <c r="Q32" i="85"/>
  <c r="Q17" i="85"/>
  <c r="Q22" i="85"/>
  <c r="Q42" i="85"/>
  <c r="Q19" i="85"/>
  <c r="Q51" i="85"/>
  <c r="Q79" i="85"/>
  <c r="Q35" i="85"/>
  <c r="Q48" i="85"/>
  <c r="Q47" i="85"/>
  <c r="Q49" i="85"/>
  <c r="Q23" i="85"/>
  <c r="Q56" i="85"/>
  <c r="Q78" i="85"/>
  <c r="Q76" i="85"/>
  <c r="Q33" i="85"/>
  <c r="Q31" i="85"/>
  <c r="Q28" i="85"/>
  <c r="Q45" i="85"/>
  <c r="Q50" i="85"/>
  <c r="Q46" i="85"/>
  <c r="U64" i="75"/>
  <c r="N77" i="85"/>
  <c r="N51" i="85"/>
  <c r="N31" i="85"/>
  <c r="N62" i="85"/>
  <c r="N35" i="85"/>
  <c r="N34" i="85"/>
  <c r="N17" i="85"/>
  <c r="N56" i="85"/>
  <c r="N63" i="85"/>
  <c r="N61" i="85"/>
  <c r="N78" i="85"/>
  <c r="N33" i="85"/>
  <c r="N60" i="85"/>
  <c r="N75" i="85"/>
  <c r="N79" i="85"/>
  <c r="N72" i="85"/>
  <c r="N65" i="85"/>
  <c r="N16" i="85"/>
  <c r="N37" i="85"/>
  <c r="N59" i="85"/>
  <c r="N21" i="85"/>
  <c r="N18" i="85"/>
  <c r="N64" i="85"/>
  <c r="N28" i="85"/>
  <c r="N23" i="85"/>
  <c r="N58" i="85"/>
  <c r="N70" i="85"/>
  <c r="N36" i="85"/>
  <c r="N45" i="85"/>
  <c r="N50" i="85"/>
  <c r="N20" i="85"/>
  <c r="N32" i="85"/>
  <c r="N49" i="85"/>
  <c r="N30" i="85"/>
  <c r="N19" i="85"/>
  <c r="N22" i="85"/>
  <c r="N74" i="85"/>
  <c r="N44" i="85"/>
  <c r="N76" i="85"/>
  <c r="N46" i="85"/>
  <c r="N47" i="85"/>
  <c r="N73" i="85"/>
  <c r="N42" i="85"/>
  <c r="N48" i="85"/>
  <c r="F46" i="75"/>
  <c r="I50" i="75"/>
  <c r="I40" i="85" s="1"/>
  <c r="J18" i="85"/>
  <c r="J56" i="85"/>
  <c r="J72" i="85"/>
  <c r="J23" i="85"/>
  <c r="J60" i="85"/>
  <c r="J75" i="85"/>
  <c r="J77" i="85"/>
  <c r="J22" i="85"/>
  <c r="J64" i="85"/>
  <c r="J62" i="85"/>
  <c r="J63" i="85"/>
  <c r="J37" i="85"/>
  <c r="J33" i="85"/>
  <c r="J61" i="85"/>
  <c r="J19" i="85"/>
  <c r="J16" i="85"/>
  <c r="J58" i="85"/>
  <c r="J20" i="85"/>
  <c r="J32" i="85"/>
  <c r="J65" i="85"/>
  <c r="J42" i="85"/>
  <c r="J30" i="85"/>
  <c r="J34" i="85"/>
  <c r="J59" i="85"/>
  <c r="J73" i="85"/>
  <c r="J21" i="85"/>
  <c r="J36" i="85"/>
  <c r="J74" i="85"/>
  <c r="J31" i="85"/>
  <c r="J79" i="85"/>
  <c r="J70" i="85"/>
  <c r="J35" i="85"/>
  <c r="J48" i="85"/>
  <c r="J44" i="85"/>
  <c r="J17" i="85"/>
  <c r="J28" i="85"/>
  <c r="J49" i="85"/>
  <c r="J78" i="85"/>
  <c r="J47" i="85"/>
  <c r="J50" i="85"/>
  <c r="J45" i="85"/>
  <c r="J76" i="85"/>
  <c r="J51" i="85"/>
  <c r="J46" i="85"/>
  <c r="F43" i="75"/>
  <c r="S78" i="75"/>
  <c r="O64" i="75"/>
  <c r="T78" i="75"/>
  <c r="U78" i="75"/>
  <c r="F29" i="75" a="1"/>
  <c r="F29" i="75" s="1"/>
  <c r="S64" i="75"/>
  <c r="O50" i="75"/>
  <c r="O40" i="85" s="1"/>
  <c r="L64" i="75"/>
  <c r="I78" i="75"/>
  <c r="J50" i="75"/>
  <c r="J40" i="85" s="1"/>
  <c r="F57" i="75"/>
  <c r="F61" i="75"/>
  <c r="F60" i="75"/>
  <c r="I64" i="75"/>
  <c r="N50" i="75"/>
  <c r="N40" i="85" s="1"/>
  <c r="T36" i="75"/>
  <c r="X17" i="85"/>
  <c r="X19" i="85"/>
  <c r="X20" i="85"/>
  <c r="X22" i="85"/>
  <c r="X18" i="85"/>
  <c r="X21" i="85"/>
  <c r="X16" i="85"/>
  <c r="X23" i="85"/>
  <c r="L78" i="75"/>
  <c r="K50" i="75"/>
  <c r="K40" i="85" s="1"/>
  <c r="N78" i="75"/>
  <c r="L50" i="75"/>
  <c r="L40" i="85" s="1"/>
  <c r="H77" i="85"/>
  <c r="H30" i="85"/>
  <c r="H60" i="85"/>
  <c r="H75" i="85"/>
  <c r="H23" i="85"/>
  <c r="H62" i="85"/>
  <c r="H37" i="85"/>
  <c r="H64" i="85"/>
  <c r="H44" i="85"/>
  <c r="H58" i="85"/>
  <c r="H50" i="85"/>
  <c r="H31" i="85"/>
  <c r="H70" i="85"/>
  <c r="H22" i="85"/>
  <c r="H34" i="85"/>
  <c r="H63" i="85"/>
  <c r="H76" i="85"/>
  <c r="H28" i="85"/>
  <c r="H17" i="85"/>
  <c r="H78" i="85"/>
  <c r="H33" i="85"/>
  <c r="H74" i="85"/>
  <c r="H73" i="85"/>
  <c r="H19" i="85"/>
  <c r="H49" i="85"/>
  <c r="H61" i="85"/>
  <c r="H21" i="85"/>
  <c r="H65" i="85"/>
  <c r="H18" i="85"/>
  <c r="H56" i="85"/>
  <c r="H32" i="85"/>
  <c r="H72" i="85"/>
  <c r="H51" i="85"/>
  <c r="H46" i="85"/>
  <c r="H16" i="85"/>
  <c r="H42" i="85"/>
  <c r="H47" i="85"/>
  <c r="H45" i="85"/>
  <c r="H35" i="85"/>
  <c r="H59" i="85"/>
  <c r="H79" i="85"/>
  <c r="H20" i="85"/>
  <c r="H48" i="85"/>
  <c r="H36" i="85"/>
  <c r="R22" i="85"/>
  <c r="R44" i="85"/>
  <c r="R58" i="85"/>
  <c r="R31" i="85"/>
  <c r="R75" i="85"/>
  <c r="R45" i="85"/>
  <c r="R56" i="85"/>
  <c r="R61" i="85"/>
  <c r="R70" i="85"/>
  <c r="R50" i="85"/>
  <c r="R17" i="85"/>
  <c r="R16" i="85"/>
  <c r="R32" i="85"/>
  <c r="R49" i="85"/>
  <c r="R48" i="85"/>
  <c r="R72" i="85"/>
  <c r="R30" i="85"/>
  <c r="R59" i="85"/>
  <c r="R23" i="85"/>
  <c r="R64" i="85"/>
  <c r="R76" i="85"/>
  <c r="R65" i="85"/>
  <c r="R78" i="85"/>
  <c r="R74" i="85"/>
  <c r="R60" i="85"/>
  <c r="R33" i="85"/>
  <c r="R19" i="85"/>
  <c r="R18" i="85"/>
  <c r="R20" i="85"/>
  <c r="R28" i="85"/>
  <c r="R46" i="85"/>
  <c r="R35" i="85"/>
  <c r="R73" i="85"/>
  <c r="R21" i="85"/>
  <c r="R79" i="85"/>
  <c r="R77" i="85"/>
  <c r="R63" i="85"/>
  <c r="R34" i="85"/>
  <c r="R36" i="85"/>
  <c r="R42" i="85"/>
  <c r="R51" i="85"/>
  <c r="R47" i="85"/>
  <c r="R62" i="85"/>
  <c r="R37" i="85"/>
  <c r="AF20" i="85"/>
  <c r="AF21" i="85"/>
  <c r="AF23" i="85"/>
  <c r="AF22" i="85"/>
  <c r="AF17" i="85"/>
  <c r="AF19" i="85"/>
  <c r="AF18" i="85"/>
  <c r="AF16" i="85"/>
  <c r="U36" i="75"/>
  <c r="AG16" i="85"/>
  <c r="AG21" i="85"/>
  <c r="AG19" i="85"/>
  <c r="AG23" i="85"/>
  <c r="AG20" i="85"/>
  <c r="AG18" i="85"/>
  <c r="AG22" i="85"/>
  <c r="AG17" i="85"/>
  <c r="S50" i="75"/>
  <c r="S40" i="85" s="1"/>
  <c r="N36" i="75"/>
  <c r="J64" i="75"/>
  <c r="AC20" i="85"/>
  <c r="AC23" i="85"/>
  <c r="AC17" i="85"/>
  <c r="AC22" i="85"/>
  <c r="AC21" i="85"/>
  <c r="AC16" i="85"/>
  <c r="AC18" i="85"/>
  <c r="AC19" i="85"/>
  <c r="M50" i="75"/>
  <c r="M40" i="85" s="1"/>
  <c r="T50" i="75"/>
  <c r="T40" i="85" s="1"/>
  <c r="T64" i="75"/>
  <c r="I36" i="75"/>
  <c r="V20" i="85"/>
  <c r="V18" i="85"/>
  <c r="V21" i="85"/>
  <c r="V17" i="85"/>
  <c r="V22" i="85"/>
  <c r="V23" i="85"/>
  <c r="V19" i="85"/>
  <c r="V16" i="85"/>
  <c r="V28" i="85"/>
  <c r="V70" i="85"/>
  <c r="V56" i="85"/>
  <c r="V42" i="85"/>
  <c r="V58" i="85"/>
  <c r="P50" i="75"/>
  <c r="P40" i="85" s="1"/>
  <c r="Q78" i="75"/>
  <c r="F63" i="75"/>
  <c r="T16" i="85"/>
  <c r="T47" i="85"/>
  <c r="T35" i="85"/>
  <c r="T78" i="85"/>
  <c r="T30" i="85"/>
  <c r="T22" i="85"/>
  <c r="T56" i="85"/>
  <c r="T60" i="85"/>
  <c r="T61" i="85"/>
  <c r="T58" i="85"/>
  <c r="T77" i="85"/>
  <c r="T62" i="85"/>
  <c r="T64" i="85"/>
  <c r="T21" i="85"/>
  <c r="T19" i="85"/>
  <c r="T59" i="85"/>
  <c r="T33" i="85"/>
  <c r="T31" i="85"/>
  <c r="T20" i="85"/>
  <c r="T34" i="85"/>
  <c r="T17" i="85"/>
  <c r="T63" i="85"/>
  <c r="T72" i="85"/>
  <c r="T79" i="85"/>
  <c r="T65" i="85"/>
  <c r="T74" i="85"/>
  <c r="T36" i="85"/>
  <c r="T32" i="85"/>
  <c r="T37" i="85"/>
  <c r="T45" i="85"/>
  <c r="T73" i="85"/>
  <c r="T23" i="85"/>
  <c r="T51" i="85"/>
  <c r="T49" i="85"/>
  <c r="T50" i="85"/>
  <c r="T70" i="85"/>
  <c r="T28" i="85"/>
  <c r="T42" i="85"/>
  <c r="T44" i="85"/>
  <c r="T75" i="85"/>
  <c r="T18" i="85"/>
  <c r="T46" i="85"/>
  <c r="T48" i="85"/>
  <c r="T76" i="85"/>
  <c r="Z19" i="85"/>
  <c r="Z20" i="85"/>
  <c r="Z23" i="85"/>
  <c r="Z22" i="85"/>
  <c r="Z18" i="85"/>
  <c r="Z21" i="85"/>
  <c r="Z17" i="85"/>
  <c r="Z16" i="85"/>
  <c r="F49" i="75"/>
  <c r="F77" i="75"/>
  <c r="V78" i="75"/>
  <c r="V62" i="85"/>
  <c r="L21" i="85"/>
  <c r="L16" i="85"/>
  <c r="L18" i="85"/>
  <c r="L50" i="85"/>
  <c r="L74" i="85"/>
  <c r="L32" i="85"/>
  <c r="L42" i="85"/>
  <c r="L45" i="85"/>
  <c r="L37" i="85"/>
  <c r="L51" i="85"/>
  <c r="L36" i="85"/>
  <c r="L22" i="85"/>
  <c r="L30" i="85"/>
  <c r="L56" i="85"/>
  <c r="L35" i="85"/>
  <c r="L44" i="85"/>
  <c r="L48" i="85"/>
  <c r="L46" i="85"/>
  <c r="L17" i="85"/>
  <c r="L47" i="85"/>
  <c r="L75" i="85"/>
  <c r="L49" i="85"/>
  <c r="L76" i="85"/>
  <c r="L65" i="85"/>
  <c r="L61" i="85"/>
  <c r="L58" i="85"/>
  <c r="L20" i="85"/>
  <c r="L60" i="85"/>
  <c r="L63" i="85"/>
  <c r="L59" i="85"/>
  <c r="L19" i="85"/>
  <c r="L33" i="85"/>
  <c r="L23" i="85"/>
  <c r="L72" i="85"/>
  <c r="L34" i="85"/>
  <c r="L70" i="85"/>
  <c r="L64" i="85"/>
  <c r="L77" i="85"/>
  <c r="L28" i="85"/>
  <c r="L78" i="85"/>
  <c r="L62" i="85"/>
  <c r="L31" i="85"/>
  <c r="L73" i="85"/>
  <c r="L79" i="85"/>
  <c r="AB16" i="85"/>
  <c r="AB23" i="85"/>
  <c r="AB17" i="85"/>
  <c r="AB22" i="85"/>
  <c r="AB20" i="85"/>
  <c r="AB18" i="85"/>
  <c r="AB21" i="85"/>
  <c r="AB19" i="85"/>
  <c r="P36" i="75"/>
  <c r="U20" i="85"/>
  <c r="U23" i="85"/>
  <c r="U21" i="85"/>
  <c r="U19" i="85"/>
  <c r="U17" i="85"/>
  <c r="U22" i="85"/>
  <c r="U16" i="85"/>
  <c r="U18" i="85"/>
  <c r="U42" i="85"/>
  <c r="U56" i="85"/>
  <c r="U70" i="85"/>
  <c r="U28" i="85"/>
  <c r="U45" i="85"/>
  <c r="U59" i="85"/>
  <c r="U30" i="85"/>
  <c r="U60" i="85"/>
  <c r="U58" i="85"/>
  <c r="U44" i="85"/>
  <c r="U62" i="85"/>
  <c r="U72" i="85"/>
  <c r="U65" i="85"/>
  <c r="U64" i="85"/>
  <c r="U51" i="85"/>
  <c r="U34" i="85"/>
  <c r="U31" i="85"/>
  <c r="U61" i="85"/>
  <c r="U46" i="85"/>
  <c r="U32" i="85"/>
  <c r="U75" i="85"/>
  <c r="U74" i="85"/>
  <c r="U47" i="85"/>
  <c r="U33" i="85"/>
  <c r="U37" i="85"/>
  <c r="U36" i="85"/>
  <c r="U49" i="85"/>
  <c r="U79" i="85"/>
  <c r="U78" i="85"/>
  <c r="U73" i="85"/>
  <c r="U76" i="85"/>
  <c r="U63" i="85"/>
  <c r="U48" i="85"/>
  <c r="U50" i="85"/>
  <c r="U35" i="85"/>
  <c r="U77" i="85"/>
  <c r="M17" i="85"/>
  <c r="M77" i="85"/>
  <c r="M61" i="85"/>
  <c r="M36" i="85"/>
  <c r="M42" i="85"/>
  <c r="M19" i="85"/>
  <c r="M35" i="85"/>
  <c r="M31" i="85"/>
  <c r="M64" i="85"/>
  <c r="M20" i="85"/>
  <c r="M51" i="85"/>
  <c r="M37" i="85"/>
  <c r="M78" i="85"/>
  <c r="M65" i="85"/>
  <c r="M33" i="85"/>
  <c r="M28" i="85"/>
  <c r="M70" i="85"/>
  <c r="M63" i="85"/>
  <c r="M21" i="85"/>
  <c r="M30" i="85"/>
  <c r="M18" i="85"/>
  <c r="M44" i="85"/>
  <c r="M79" i="85"/>
  <c r="M45" i="85"/>
  <c r="M75" i="85"/>
  <c r="M49" i="85"/>
  <c r="M32" i="85"/>
  <c r="M46" i="85"/>
  <c r="M50" i="85"/>
  <c r="M58" i="85"/>
  <c r="M48" i="85"/>
  <c r="M34" i="85"/>
  <c r="M56" i="85"/>
  <c r="M60" i="85"/>
  <c r="M73" i="85"/>
  <c r="M23" i="85"/>
  <c r="M74" i="85"/>
  <c r="M59" i="85"/>
  <c r="M22" i="85"/>
  <c r="M76" i="85"/>
  <c r="M72" i="85"/>
  <c r="M16" i="85"/>
  <c r="M62" i="85"/>
  <c r="M47" i="85"/>
  <c r="W17" i="85"/>
  <c r="W19" i="85"/>
  <c r="W21" i="85"/>
  <c r="W16" i="85"/>
  <c r="W23" i="85"/>
  <c r="W22" i="85"/>
  <c r="W18" i="85"/>
  <c r="W20" i="85"/>
  <c r="F74" i="75" a="1"/>
  <c r="F74" i="75" s="1"/>
  <c r="M36" i="75"/>
  <c r="S17" i="85"/>
  <c r="S42" i="85"/>
  <c r="S34" i="85"/>
  <c r="S33" i="85"/>
  <c r="S31" i="85"/>
  <c r="S45" i="85"/>
  <c r="S19" i="85"/>
  <c r="S37" i="85"/>
  <c r="S50" i="85"/>
  <c r="S72" i="85"/>
  <c r="S49" i="85"/>
  <c r="S48" i="85"/>
  <c r="S46" i="85"/>
  <c r="S51" i="85"/>
  <c r="S77" i="85"/>
  <c r="S21" i="85"/>
  <c r="S44" i="85"/>
  <c r="S60" i="85"/>
  <c r="S70" i="85"/>
  <c r="S47" i="85"/>
  <c r="S79" i="85"/>
  <c r="S56" i="85"/>
  <c r="S23" i="85"/>
  <c r="S64" i="85"/>
  <c r="S28" i="85"/>
  <c r="S61" i="85"/>
  <c r="S63" i="85"/>
  <c r="S16" i="85"/>
  <c r="S18" i="85"/>
  <c r="S76" i="85"/>
  <c r="S30" i="85"/>
  <c r="S58" i="85"/>
  <c r="S20" i="85"/>
  <c r="S74" i="85"/>
  <c r="S62" i="85"/>
  <c r="S59" i="85"/>
  <c r="S75" i="85"/>
  <c r="S22" i="85"/>
  <c r="S65" i="85"/>
  <c r="S36" i="85"/>
  <c r="S35" i="85"/>
  <c r="S78" i="85"/>
  <c r="S73" i="85"/>
  <c r="S32" i="85"/>
  <c r="P78" i="75"/>
  <c r="Y17" i="85"/>
  <c r="Y19" i="85"/>
  <c r="Y23" i="85"/>
  <c r="Y22" i="85"/>
  <c r="Y18" i="85"/>
  <c r="Y16" i="85"/>
  <c r="Y20" i="85"/>
  <c r="Y21" i="85"/>
  <c r="F32" i="75" a="1"/>
  <c r="F32" i="75" s="1"/>
  <c r="K78" i="75"/>
  <c r="L36" i="75"/>
  <c r="F47" i="75"/>
  <c r="V36" i="75"/>
  <c r="AE23" i="85"/>
  <c r="AE21" i="85"/>
  <c r="AE22" i="85"/>
  <c r="AE16" i="85"/>
  <c r="AE17" i="85"/>
  <c r="AE20" i="85"/>
  <c r="AE18" i="85"/>
  <c r="AE19" i="85"/>
  <c r="M78" i="75"/>
  <c r="AA19" i="85"/>
  <c r="AA23" i="85"/>
  <c r="AA21" i="85"/>
  <c r="AA20" i="85"/>
  <c r="AA16" i="85"/>
  <c r="AA17" i="85"/>
  <c r="AA22" i="85"/>
  <c r="AA18" i="85"/>
  <c r="M64" i="75"/>
  <c r="K77" i="85"/>
  <c r="K51" i="85"/>
  <c r="K44" i="85"/>
  <c r="K75" i="85"/>
  <c r="K17" i="85"/>
  <c r="K49" i="85"/>
  <c r="K37" i="85"/>
  <c r="K58" i="85"/>
  <c r="K73" i="85"/>
  <c r="K46" i="85"/>
  <c r="K76" i="85"/>
  <c r="K70" i="85"/>
  <c r="K56" i="85"/>
  <c r="K59" i="85"/>
  <c r="K35" i="85"/>
  <c r="K45" i="85"/>
  <c r="K48" i="85"/>
  <c r="K16" i="85"/>
  <c r="K20" i="85"/>
  <c r="K60" i="85"/>
  <c r="K18" i="85"/>
  <c r="K63" i="85"/>
  <c r="K21" i="85"/>
  <c r="K62" i="85"/>
  <c r="K30" i="85"/>
  <c r="K42" i="85"/>
  <c r="K22" i="85"/>
  <c r="K74" i="85"/>
  <c r="K50" i="85"/>
  <c r="K28" i="85"/>
  <c r="K32" i="85"/>
  <c r="K23" i="85"/>
  <c r="K34" i="85"/>
  <c r="K47" i="85"/>
  <c r="K61" i="85"/>
  <c r="K78" i="85"/>
  <c r="K19" i="85"/>
  <c r="K64" i="85"/>
  <c r="K65" i="85"/>
  <c r="K36" i="85"/>
  <c r="K79" i="85"/>
  <c r="K72" i="85"/>
  <c r="K31" i="85"/>
  <c r="K33" i="85"/>
  <c r="R50" i="75"/>
  <c r="R40" i="85" s="1"/>
  <c r="O23" i="85"/>
  <c r="O61" i="85"/>
  <c r="O72" i="85"/>
  <c r="O30" i="85"/>
  <c r="O42" i="85"/>
  <c r="O17" i="85"/>
  <c r="O70" i="85"/>
  <c r="O59" i="85"/>
  <c r="O31" i="85"/>
  <c r="O48" i="85"/>
  <c r="O34" i="85"/>
  <c r="O36" i="85"/>
  <c r="O62" i="85"/>
  <c r="O73" i="85"/>
  <c r="O78" i="85"/>
  <c r="O37" i="85"/>
  <c r="O75" i="85"/>
  <c r="O22" i="85"/>
  <c r="O65" i="85"/>
  <c r="O58" i="85"/>
  <c r="O19" i="85"/>
  <c r="O18" i="85"/>
  <c r="O35" i="85"/>
  <c r="O47" i="85"/>
  <c r="O21" i="85"/>
  <c r="O46" i="85"/>
  <c r="O76" i="85"/>
  <c r="O45" i="85"/>
  <c r="O20" i="85"/>
  <c r="O33" i="85"/>
  <c r="O49" i="85"/>
  <c r="O63" i="85"/>
  <c r="O50" i="85"/>
  <c r="O60" i="85"/>
  <c r="O79" i="85"/>
  <c r="O56" i="85"/>
  <c r="O64" i="85"/>
  <c r="O16" i="85"/>
  <c r="O74" i="85"/>
  <c r="O32" i="85"/>
  <c r="O51" i="85"/>
  <c r="O44" i="85"/>
  <c r="O28" i="85"/>
  <c r="O77" i="85"/>
  <c r="Y32" i="68"/>
  <c r="I19" i="85"/>
  <c r="I44" i="85"/>
  <c r="I32" i="85"/>
  <c r="I35" i="85"/>
  <c r="I51" i="85"/>
  <c r="I33" i="85"/>
  <c r="I18" i="85"/>
  <c r="I63" i="85"/>
  <c r="I22" i="85"/>
  <c r="I72" i="85"/>
  <c r="I50" i="85"/>
  <c r="I48" i="85"/>
  <c r="I56" i="85"/>
  <c r="I61" i="85"/>
  <c r="I65" i="85"/>
  <c r="I17" i="85"/>
  <c r="I46" i="85"/>
  <c r="I79" i="85"/>
  <c r="I28" i="85"/>
  <c r="I62" i="85"/>
  <c r="I75" i="85"/>
  <c r="I64" i="85"/>
  <c r="I16" i="85"/>
  <c r="I70" i="85"/>
  <c r="I58" i="85"/>
  <c r="I30" i="85"/>
  <c r="I36" i="85"/>
  <c r="I42" i="85"/>
  <c r="I49" i="85"/>
  <c r="I47" i="85"/>
  <c r="I73" i="85"/>
  <c r="I34" i="85"/>
  <c r="I60" i="85"/>
  <c r="I76" i="85"/>
  <c r="I74" i="85"/>
  <c r="I77" i="85"/>
  <c r="I37" i="85"/>
  <c r="I23" i="85"/>
  <c r="I59" i="85"/>
  <c r="I20" i="85"/>
  <c r="I78" i="85"/>
  <c r="I31" i="85"/>
  <c r="I45" i="85"/>
  <c r="I21" i="85"/>
  <c r="V64" i="75"/>
  <c r="V45" i="85"/>
  <c r="Q36" i="75"/>
  <c r="P21" i="85"/>
  <c r="P45" i="85"/>
  <c r="P17" i="85"/>
  <c r="P63" i="85"/>
  <c r="P22" i="85"/>
  <c r="P16" i="85"/>
  <c r="P47" i="85"/>
  <c r="P72" i="85"/>
  <c r="P61" i="85"/>
  <c r="P78" i="85"/>
  <c r="P60" i="85"/>
  <c r="P36" i="85"/>
  <c r="P79" i="85"/>
  <c r="P44" i="85"/>
  <c r="P64" i="85"/>
  <c r="P70" i="85"/>
  <c r="P58" i="85"/>
  <c r="P35" i="85"/>
  <c r="P56" i="85"/>
  <c r="P28" i="85"/>
  <c r="P73" i="85"/>
  <c r="P31" i="85"/>
  <c r="P65" i="85"/>
  <c r="P77" i="85"/>
  <c r="P34" i="85"/>
  <c r="P59" i="85"/>
  <c r="P20" i="85"/>
  <c r="P75" i="85"/>
  <c r="P19" i="85"/>
  <c r="P48" i="85"/>
  <c r="P50" i="85"/>
  <c r="P32" i="85"/>
  <c r="P33" i="85"/>
  <c r="P42" i="85"/>
  <c r="P51" i="85"/>
  <c r="P49" i="85"/>
  <c r="P23" i="85"/>
  <c r="P30" i="85"/>
  <c r="P74" i="85"/>
  <c r="P76" i="85"/>
  <c r="P62" i="85"/>
  <c r="P37" i="85"/>
  <c r="P18" i="85"/>
  <c r="P46" i="85"/>
  <c r="P64" i="75"/>
  <c r="AD16" i="85"/>
  <c r="AD23" i="85"/>
  <c r="AD20" i="85"/>
  <c r="AD22" i="85"/>
  <c r="AD17" i="85"/>
  <c r="AD21" i="85"/>
  <c r="AD18" i="85"/>
  <c r="AD19" i="85"/>
  <c r="V59" i="85"/>
  <c r="W114" i="73" a="1"/>
  <c r="W114" i="73" s="1"/>
  <c r="W109" i="73" a="1"/>
  <c r="W109" i="73" s="1"/>
  <c r="W58" i="85" s="1"/>
  <c r="W112" i="73" a="1"/>
  <c r="W112" i="73" s="1"/>
  <c r="W61" i="85" s="1"/>
  <c r="W56" i="85"/>
  <c r="W111" i="73" a="1"/>
  <c r="W111" i="73" s="1"/>
  <c r="W60" i="85" s="1"/>
  <c r="W115" i="73" a="1"/>
  <c r="W115" i="73" s="1"/>
  <c r="W110" i="73" a="1"/>
  <c r="W110" i="73" s="1"/>
  <c r="W59" i="85" s="1"/>
  <c r="W113" i="73" a="1"/>
  <c r="W113" i="73" s="1"/>
  <c r="W62" i="85" s="1"/>
  <c r="W116" i="73" a="1"/>
  <c r="W116" i="73" s="1"/>
  <c r="W64" i="75"/>
  <c r="W113" i="81" a="1"/>
  <c r="W113" i="81" s="1"/>
  <c r="W34" i="85" s="1"/>
  <c r="W111" i="81" a="1"/>
  <c r="W111" i="81" s="1"/>
  <c r="W32" i="85" s="1"/>
  <c r="W109" i="81" a="1"/>
  <c r="W109" i="81" s="1"/>
  <c r="W30" i="85" s="1"/>
  <c r="W116" i="81" a="1"/>
  <c r="W116" i="81" s="1"/>
  <c r="W112" i="81" a="1"/>
  <c r="W112" i="81" s="1"/>
  <c r="W33" i="85" s="1"/>
  <c r="W114" i="81" a="1"/>
  <c r="W114" i="81" s="1"/>
  <c r="W28" i="85"/>
  <c r="W115" i="81" a="1"/>
  <c r="W115" i="81" s="1"/>
  <c r="W110" i="81" a="1"/>
  <c r="W110" i="81" s="1"/>
  <c r="W31" i="85" s="1"/>
  <c r="W36" i="75"/>
  <c r="X16" i="75"/>
  <c r="X63" i="81"/>
  <c r="X83" i="81" s="1"/>
  <c r="X63" i="72"/>
  <c r="X83" i="72" s="1"/>
  <c r="X63" i="73"/>
  <c r="X83" i="73" s="1"/>
  <c r="X63" i="82"/>
  <c r="X83" i="82" s="1"/>
  <c r="W78" i="75"/>
  <c r="Y98" i="75"/>
  <c r="W50" i="75"/>
  <c r="W110" i="72" a="1"/>
  <c r="W110" i="72" s="1"/>
  <c r="W45" i="85" s="1"/>
  <c r="W111" i="72" a="1"/>
  <c r="W111" i="72" s="1"/>
  <c r="W46" i="85" s="1"/>
  <c r="W109" i="72" a="1"/>
  <c r="W109" i="72" s="1"/>
  <c r="W44" i="85" s="1"/>
  <c r="W114" i="72" a="1"/>
  <c r="W114" i="72" s="1"/>
  <c r="W112" i="72" a="1"/>
  <c r="W112" i="72" s="1"/>
  <c r="W47" i="85" s="1"/>
  <c r="W115" i="72" a="1"/>
  <c r="W115" i="72" s="1"/>
  <c r="W42" i="85"/>
  <c r="W113" i="72" a="1"/>
  <c r="W113" i="72" s="1"/>
  <c r="W48" i="85" s="1"/>
  <c r="W116" i="72" a="1"/>
  <c r="W116" i="72" s="1"/>
  <c r="W109" i="82" a="1"/>
  <c r="W109" i="82" s="1"/>
  <c r="W72" i="85" s="1"/>
  <c r="W113" i="82" a="1"/>
  <c r="W113" i="82" s="1"/>
  <c r="W76" i="85" s="1"/>
  <c r="W70" i="85"/>
  <c r="W115" i="82" a="1"/>
  <c r="W115" i="82" s="1"/>
  <c r="W112" i="82" a="1"/>
  <c r="W112" i="82" s="1"/>
  <c r="W75" i="85" s="1"/>
  <c r="W111" i="82" a="1"/>
  <c r="W111" i="82" s="1"/>
  <c r="W74" i="85" s="1"/>
  <c r="W110" i="82" a="1"/>
  <c r="W110" i="82" s="1"/>
  <c r="W73" i="85" s="1"/>
  <c r="W114" i="82" a="1"/>
  <c r="W114" i="82" s="1"/>
  <c r="W116" i="82" a="1"/>
  <c r="W116" i="82" s="1"/>
  <c r="F66" i="75" l="1"/>
  <c r="G12" i="33" s="1"/>
  <c r="F52" i="75"/>
  <c r="G11" i="33" s="1"/>
  <c r="F38" i="75"/>
  <c r="G10" i="33" s="1"/>
  <c r="F80" i="75"/>
  <c r="G13" i="33" s="1"/>
  <c r="F23" i="85"/>
  <c r="F19" i="85"/>
  <c r="C94" i="85" s="1"/>
  <c r="F43" i="33" s="1"/>
  <c r="F21" i="85"/>
  <c r="F16" i="85"/>
  <c r="C91" i="85" s="1"/>
  <c r="F40" i="33" s="1"/>
  <c r="F18" i="85"/>
  <c r="C93" i="85" s="1"/>
  <c r="F42" i="33" s="1"/>
  <c r="F22" i="85"/>
  <c r="F20" i="85"/>
  <c r="C95" i="85" s="1"/>
  <c r="F44" i="33" s="1"/>
  <c r="F17" i="85"/>
  <c r="C92" i="85" s="1"/>
  <c r="F41" i="33" s="1"/>
  <c r="X21" i="87"/>
  <c r="X13" i="87" s="1"/>
  <c r="X62" i="75"/>
  <c r="X86" i="73"/>
  <c r="X105" i="73" s="1"/>
  <c r="X107" i="73"/>
  <c r="W40" i="85"/>
  <c r="X107" i="72"/>
  <c r="X86" i="72"/>
  <c r="X105" i="72" s="1"/>
  <c r="X48" i="75"/>
  <c r="X107" i="81"/>
  <c r="X34" i="75"/>
  <c r="X86" i="81"/>
  <c r="X105" i="81" s="1"/>
  <c r="W36" i="85"/>
  <c r="W35" i="85"/>
  <c r="W37" i="85"/>
  <c r="W78" i="85"/>
  <c r="W77" i="85"/>
  <c r="W79" i="85"/>
  <c r="X92" i="75"/>
  <c r="W65" i="85"/>
  <c r="W64" i="85"/>
  <c r="W63" i="85"/>
  <c r="W49" i="85"/>
  <c r="W50" i="85"/>
  <c r="W51" i="85"/>
  <c r="X76" i="75"/>
  <c r="X86" i="82"/>
  <c r="X105" i="82" s="1"/>
  <c r="X107" i="82"/>
  <c r="Y99" i="75"/>
  <c r="Y35" i="68"/>
  <c r="Y14" i="75"/>
  <c r="Z24" i="68" l="1"/>
  <c r="Y31" i="87"/>
  <c r="X112" i="72" a="1"/>
  <c r="X112" i="72" s="1"/>
  <c r="X47" i="85" s="1"/>
  <c r="X110" i="72" a="1"/>
  <c r="X110" i="72" s="1"/>
  <c r="X45" i="85" s="1"/>
  <c r="X109" i="72" a="1"/>
  <c r="X109" i="72" s="1"/>
  <c r="X44" i="85" s="1"/>
  <c r="X113" i="72" a="1"/>
  <c r="X113" i="72" s="1"/>
  <c r="X48" i="85" s="1"/>
  <c r="X114" i="72" a="1"/>
  <c r="X114" i="72" s="1"/>
  <c r="X116" i="72" a="1"/>
  <c r="X116" i="72" s="1"/>
  <c r="X42" i="85"/>
  <c r="X111" i="72" a="1"/>
  <c r="X111" i="72" s="1"/>
  <c r="X46" i="85" s="1"/>
  <c r="X115" i="72" a="1"/>
  <c r="X115" i="72" s="1"/>
  <c r="X110" i="82" a="1"/>
  <c r="X110" i="82" s="1"/>
  <c r="X73" i="85" s="1"/>
  <c r="X109" i="82" a="1"/>
  <c r="X109" i="82" s="1"/>
  <c r="X72" i="85" s="1"/>
  <c r="X112" i="82" a="1"/>
  <c r="X112" i="82" s="1"/>
  <c r="X75" i="85" s="1"/>
  <c r="X116" i="82" a="1"/>
  <c r="X116" i="82" s="1"/>
  <c r="X115" i="82" a="1"/>
  <c r="X115" i="82" s="1"/>
  <c r="X114" i="82" a="1"/>
  <c r="X114" i="82" s="1"/>
  <c r="X111" i="82" a="1"/>
  <c r="X111" i="82" s="1"/>
  <c r="X74" i="85" s="1"/>
  <c r="X70" i="85"/>
  <c r="X113" i="82" a="1"/>
  <c r="X113" i="82" s="1"/>
  <c r="X76" i="85" s="1"/>
  <c r="X36" i="75"/>
  <c r="X110" i="73" a="1"/>
  <c r="X110" i="73" s="1"/>
  <c r="X59" i="85" s="1"/>
  <c r="X112" i="73" a="1"/>
  <c r="X112" i="73" s="1"/>
  <c r="X61" i="85" s="1"/>
  <c r="X111" i="73" a="1"/>
  <c r="X111" i="73" s="1"/>
  <c r="X60" i="85" s="1"/>
  <c r="X114" i="73" a="1"/>
  <c r="X114" i="73" s="1"/>
  <c r="X56" i="85"/>
  <c r="X109" i="73" a="1"/>
  <c r="X109" i="73" s="1"/>
  <c r="X58" i="85" s="1"/>
  <c r="X113" i="73" a="1"/>
  <c r="X113" i="73" s="1"/>
  <c r="X62" i="85" s="1"/>
  <c r="X115" i="73" a="1"/>
  <c r="X115" i="73" s="1"/>
  <c r="X116" i="73" a="1"/>
  <c r="X116" i="73" s="1"/>
  <c r="X50" i="75"/>
  <c r="X78" i="75"/>
  <c r="X114" i="81" a="1"/>
  <c r="X114" i="81" s="1"/>
  <c r="X115" i="81" a="1"/>
  <c r="X115" i="81" s="1"/>
  <c r="X109" i="81" a="1"/>
  <c r="X109" i="81" s="1"/>
  <c r="X30" i="85" s="1"/>
  <c r="X113" i="81" a="1"/>
  <c r="X113" i="81" s="1"/>
  <c r="X34" i="85" s="1"/>
  <c r="X111" i="81" a="1"/>
  <c r="X111" i="81" s="1"/>
  <c r="X32" i="85" s="1"/>
  <c r="X110" i="81" a="1"/>
  <c r="X110" i="81" s="1"/>
  <c r="X31" i="85" s="1"/>
  <c r="X116" i="81" a="1"/>
  <c r="X116" i="81" s="1"/>
  <c r="X28" i="85"/>
  <c r="X112" i="81" a="1"/>
  <c r="X112" i="81" s="1"/>
  <c r="X33" i="85" s="1"/>
  <c r="X64" i="75"/>
  <c r="Y63" i="81"/>
  <c r="Y83" i="81" s="1"/>
  <c r="Y63" i="73"/>
  <c r="Y83" i="73" s="1"/>
  <c r="Y16" i="75"/>
  <c r="Y63" i="72"/>
  <c r="Y83" i="72" s="1"/>
  <c r="Y63" i="82"/>
  <c r="Y83" i="82" s="1"/>
  <c r="Z29" i="68" l="1"/>
  <c r="Z30" i="72" a="1"/>
  <c r="Z30" i="72" s="1"/>
  <c r="Z35" i="72" s="1"/>
  <c r="Z44" i="75" s="1"/>
  <c r="Z31" i="68"/>
  <c r="Z26" i="68"/>
  <c r="Z30" i="82" a="1"/>
  <c r="Z30" i="82" s="1"/>
  <c r="Z35" i="82" s="1"/>
  <c r="Z72" i="75" s="1"/>
  <c r="Z32" i="68"/>
  <c r="Z30" i="81" a="1"/>
  <c r="Z30" i="81" s="1"/>
  <c r="Z35" i="81" s="1"/>
  <c r="Z30" i="75" s="1"/>
  <c r="Z30" i="73" a="1"/>
  <c r="Z30" i="73" s="1"/>
  <c r="Z35" i="73" s="1"/>
  <c r="Z58" i="75" s="1"/>
  <c r="Y92" i="75"/>
  <c r="X78" i="85"/>
  <c r="X77" i="85"/>
  <c r="X79" i="85"/>
  <c r="Y107" i="73"/>
  <c r="Y86" i="73"/>
  <c r="Y105" i="73" s="1"/>
  <c r="Y62" i="75"/>
  <c r="X40" i="85"/>
  <c r="X65" i="85"/>
  <c r="X64" i="85"/>
  <c r="X63" i="85"/>
  <c r="X35" i="85"/>
  <c r="X37" i="85"/>
  <c r="X36" i="85"/>
  <c r="X49" i="85"/>
  <c r="X50" i="85"/>
  <c r="X51" i="85"/>
  <c r="Y86" i="81"/>
  <c r="Y105" i="81" s="1"/>
  <c r="Y107" i="81"/>
  <c r="Y34" i="75"/>
  <c r="Y107" i="82"/>
  <c r="Y76" i="75"/>
  <c r="Y86" i="82"/>
  <c r="Y105" i="82" s="1"/>
  <c r="Y107" i="72"/>
  <c r="Y86" i="72"/>
  <c r="Y105" i="72" s="1"/>
  <c r="Y48" i="75"/>
  <c r="Z27" i="68" l="1"/>
  <c r="Z98" i="75"/>
  <c r="Y21" i="87"/>
  <c r="Y13" i="87" s="1"/>
  <c r="Y78" i="75"/>
  <c r="Y50" i="75"/>
  <c r="Y64" i="75"/>
  <c r="Y36" i="75"/>
  <c r="Y42" i="85"/>
  <c r="Y109" i="72" a="1"/>
  <c r="Y109" i="72" s="1"/>
  <c r="Y44" i="85" s="1"/>
  <c r="Y110" i="72" a="1"/>
  <c r="Y110" i="72" s="1"/>
  <c r="Y45" i="85" s="1"/>
  <c r="Y111" i="72" a="1"/>
  <c r="Y111" i="72" s="1"/>
  <c r="Y46" i="85" s="1"/>
  <c r="Y112" i="72" a="1"/>
  <c r="Y112" i="72" s="1"/>
  <c r="Y47" i="85" s="1"/>
  <c r="Y113" i="72" a="1"/>
  <c r="Y113" i="72" s="1"/>
  <c r="Y48" i="85" s="1"/>
  <c r="Y114" i="72" a="1"/>
  <c r="Y114" i="72" s="1"/>
  <c r="Y116" i="72" a="1"/>
  <c r="Y116" i="72" s="1"/>
  <c r="Y115" i="72" a="1"/>
  <c r="Y115" i="72" s="1"/>
  <c r="Y114" i="82" a="1"/>
  <c r="Y114" i="82" s="1"/>
  <c r="Y70" i="85"/>
  <c r="Y110" i="82" a="1"/>
  <c r="Y110" i="82" s="1"/>
  <c r="Y73" i="85" s="1"/>
  <c r="Y116" i="82" a="1"/>
  <c r="Y116" i="82" s="1"/>
  <c r="Y109" i="82" a="1"/>
  <c r="Y109" i="82" s="1"/>
  <c r="Y72" i="85" s="1"/>
  <c r="Y113" i="82" a="1"/>
  <c r="Y113" i="82" s="1"/>
  <c r="Y76" i="85" s="1"/>
  <c r="Y112" i="82" a="1"/>
  <c r="Y112" i="82" s="1"/>
  <c r="Y75" i="85" s="1"/>
  <c r="Y115" i="82" a="1"/>
  <c r="Y115" i="82" s="1"/>
  <c r="Y111" i="82" a="1"/>
  <c r="Y111" i="82" s="1"/>
  <c r="Y74" i="85" s="1"/>
  <c r="Y111" i="73" a="1"/>
  <c r="Y111" i="73" s="1"/>
  <c r="Y60" i="85" s="1"/>
  <c r="Y113" i="73" a="1"/>
  <c r="Y113" i="73" s="1"/>
  <c r="Y62" i="85" s="1"/>
  <c r="Y112" i="73" a="1"/>
  <c r="Y112" i="73" s="1"/>
  <c r="Y61" i="85" s="1"/>
  <c r="Y115" i="73" a="1"/>
  <c r="Y115" i="73" s="1"/>
  <c r="Y56" i="85"/>
  <c r="Y110" i="73" a="1"/>
  <c r="Y110" i="73" s="1"/>
  <c r="Y59" i="85" s="1"/>
  <c r="Y116" i="73" a="1"/>
  <c r="Y116" i="73" s="1"/>
  <c r="Y109" i="73" a="1"/>
  <c r="Y109" i="73" s="1"/>
  <c r="Y58" i="85" s="1"/>
  <c r="Y114" i="73" a="1"/>
  <c r="Y114" i="73" s="1"/>
  <c r="Y111" i="81" a="1"/>
  <c r="Y111" i="81" s="1"/>
  <c r="Y32" i="85" s="1"/>
  <c r="Y115" i="81" a="1"/>
  <c r="Y115" i="81" s="1"/>
  <c r="Y110" i="81" a="1"/>
  <c r="Y110" i="81" s="1"/>
  <c r="Y31" i="85" s="1"/>
  <c r="Y28" i="85"/>
  <c r="Y113" i="81" a="1"/>
  <c r="Y113" i="81" s="1"/>
  <c r="Y34" i="85" s="1"/>
  <c r="Y116" i="81" a="1"/>
  <c r="Y116" i="81" s="1"/>
  <c r="Y114" i="81" a="1"/>
  <c r="Y114" i="81" s="1"/>
  <c r="Y109" i="81" a="1"/>
  <c r="Y109" i="81" s="1"/>
  <c r="Y30" i="85" s="1"/>
  <c r="Y112" i="81" a="1"/>
  <c r="Y112" i="81" s="1"/>
  <c r="Y33" i="85" s="1"/>
  <c r="AA24" i="68" l="1"/>
  <c r="Z31" i="87"/>
  <c r="Z35" i="68"/>
  <c r="Z99" i="75"/>
  <c r="Z14" i="75"/>
  <c r="Y64" i="85"/>
  <c r="Y65" i="85"/>
  <c r="Y63" i="85"/>
  <c r="Y49" i="85"/>
  <c r="Y50" i="85"/>
  <c r="Y51" i="85"/>
  <c r="Y40" i="85"/>
  <c r="Y78" i="85"/>
  <c r="Y77" i="85"/>
  <c r="Y79" i="85"/>
  <c r="Y35" i="85"/>
  <c r="Y36" i="85"/>
  <c r="Y37" i="85"/>
  <c r="Z63" i="81" l="1"/>
  <c r="Z83" i="81" s="1"/>
  <c r="Z16" i="75"/>
  <c r="Z92" i="75" s="1"/>
  <c r="Z63" i="82"/>
  <c r="Z83" i="82" s="1"/>
  <c r="Z63" i="73"/>
  <c r="Z83" i="73" s="1"/>
  <c r="Z63" i="72"/>
  <c r="Z83" i="72" s="1"/>
  <c r="AA30" i="72" a="1"/>
  <c r="AA30" i="72" s="1"/>
  <c r="AA35" i="72" s="1"/>
  <c r="AA44" i="75" s="1"/>
  <c r="AA30" i="81" a="1"/>
  <c r="AA30" i="81" s="1"/>
  <c r="AA35" i="81" s="1"/>
  <c r="AA30" i="75" s="1"/>
  <c r="AA29" i="68"/>
  <c r="AA26" i="68"/>
  <c r="AA30" i="82" a="1"/>
  <c r="AA30" i="82" s="1"/>
  <c r="AA35" i="82" s="1"/>
  <c r="AA72" i="75" s="1"/>
  <c r="AA31" i="68"/>
  <c r="AA32" i="68"/>
  <c r="AA30" i="73" a="1"/>
  <c r="AA30" i="73" s="1"/>
  <c r="AA35" i="73" s="1"/>
  <c r="AA58" i="75" s="1"/>
  <c r="Z86" i="73" l="1"/>
  <c r="Z105" i="73" s="1"/>
  <c r="Z107" i="73"/>
  <c r="Z62" i="75"/>
  <c r="Z64" i="75" s="1"/>
  <c r="Z86" i="82"/>
  <c r="Z105" i="82" s="1"/>
  <c r="Z76" i="75"/>
  <c r="Z78" i="75" s="1"/>
  <c r="Z107" i="82"/>
  <c r="AA27" i="68"/>
  <c r="AA98" i="75"/>
  <c r="Z48" i="75"/>
  <c r="Z50" i="75" s="1"/>
  <c r="Z40" i="85" s="1"/>
  <c r="Z107" i="72"/>
  <c r="Z86" i="72"/>
  <c r="Z105" i="72" s="1"/>
  <c r="Z21" i="87"/>
  <c r="Z13" i="87" s="1"/>
  <c r="Z86" i="81"/>
  <c r="Z105" i="81" s="1"/>
  <c r="Z34" i="75"/>
  <c r="Z36" i="75" s="1"/>
  <c r="Z107" i="81"/>
  <c r="Z110" i="81" l="1" a="1"/>
  <c r="Z110" i="81" s="1"/>
  <c r="Z31" i="85" s="1"/>
  <c r="Z28" i="85"/>
  <c r="Z114" i="81" a="1"/>
  <c r="Z114" i="81" s="1"/>
  <c r="Z112" i="81" a="1"/>
  <c r="Z112" i="81" s="1"/>
  <c r="Z33" i="85" s="1"/>
  <c r="Z115" i="81" a="1"/>
  <c r="Z115" i="81" s="1"/>
  <c r="Z113" i="81" a="1"/>
  <c r="Z113" i="81" s="1"/>
  <c r="Z34" i="85" s="1"/>
  <c r="Z109" i="81" a="1"/>
  <c r="Z109" i="81" s="1"/>
  <c r="Z30" i="85" s="1"/>
  <c r="Z111" i="81" a="1"/>
  <c r="Z111" i="81" s="1"/>
  <c r="Z32" i="85" s="1"/>
  <c r="Z116" i="81" a="1"/>
  <c r="Z116" i="81" s="1"/>
  <c r="AB24" i="68"/>
  <c r="AA31" i="87"/>
  <c r="AA99" i="75"/>
  <c r="AA14" i="75"/>
  <c r="AA35" i="68"/>
  <c r="Z109" i="82" a="1"/>
  <c r="Z109" i="82" s="1"/>
  <c r="Z72" i="85" s="1"/>
  <c r="Z70" i="85"/>
  <c r="Z112" i="82" a="1"/>
  <c r="Z112" i="82" s="1"/>
  <c r="Z75" i="85" s="1"/>
  <c r="Z110" i="82" a="1"/>
  <c r="Z110" i="82" s="1"/>
  <c r="Z73" i="85" s="1"/>
  <c r="Z111" i="82" a="1"/>
  <c r="Z111" i="82" s="1"/>
  <c r="Z74" i="85" s="1"/>
  <c r="Z113" i="82" a="1"/>
  <c r="Z113" i="82" s="1"/>
  <c r="Z76" i="85" s="1"/>
  <c r="Z116" i="82" a="1"/>
  <c r="Z116" i="82" s="1"/>
  <c r="Z114" i="82" a="1"/>
  <c r="Z114" i="82" s="1"/>
  <c r="Z115" i="82" a="1"/>
  <c r="Z115" i="82" s="1"/>
  <c r="Z115" i="72" a="1"/>
  <c r="Z115" i="72" s="1"/>
  <c r="Z42" i="85"/>
  <c r="Z112" i="72" a="1"/>
  <c r="Z112" i="72" s="1"/>
  <c r="Z47" i="85" s="1"/>
  <c r="Z111" i="72" a="1"/>
  <c r="Z111" i="72" s="1"/>
  <c r="Z46" i="85" s="1"/>
  <c r="Z116" i="72" a="1"/>
  <c r="Z116" i="72" s="1"/>
  <c r="Z110" i="72" a="1"/>
  <c r="Z110" i="72" s="1"/>
  <c r="Z45" i="85" s="1"/>
  <c r="Z114" i="72" a="1"/>
  <c r="Z114" i="72" s="1"/>
  <c r="Z113" i="72" a="1"/>
  <c r="Z113" i="72" s="1"/>
  <c r="Z48" i="85" s="1"/>
  <c r="Z109" i="72" a="1"/>
  <c r="Z109" i="72" s="1"/>
  <c r="Z44" i="85" s="1"/>
  <c r="Z116" i="73" a="1"/>
  <c r="Z116" i="73" s="1"/>
  <c r="Z56" i="85"/>
  <c r="Z110" i="73" a="1"/>
  <c r="Z110" i="73" s="1"/>
  <c r="Z59" i="85" s="1"/>
  <c r="Z111" i="73" a="1"/>
  <c r="Z111" i="73" s="1"/>
  <c r="Z60" i="85" s="1"/>
  <c r="Z109" i="73" a="1"/>
  <c r="Z109" i="73" s="1"/>
  <c r="Z58" i="85" s="1"/>
  <c r="Z114" i="73" a="1"/>
  <c r="Z114" i="73" s="1"/>
  <c r="Z112" i="73" a="1"/>
  <c r="Z112" i="73" s="1"/>
  <c r="Z61" i="85" s="1"/>
  <c r="Z115" i="73" a="1"/>
  <c r="Z115" i="73" s="1"/>
  <c r="Z113" i="73" a="1"/>
  <c r="Z113" i="73" s="1"/>
  <c r="Z62" i="85" s="1"/>
  <c r="AA63" i="82" l="1"/>
  <c r="AA83" i="82" s="1"/>
  <c r="AA63" i="81"/>
  <c r="AA83" i="81" s="1"/>
  <c r="AA16" i="75"/>
  <c r="AA92" i="75" s="1"/>
  <c r="AA63" i="72"/>
  <c r="AA83" i="72" s="1"/>
  <c r="AA63" i="73"/>
  <c r="AA83" i="73" s="1"/>
  <c r="AB32" i="68"/>
  <c r="AB30" i="73" a="1"/>
  <c r="AB30" i="73" s="1"/>
  <c r="AB35" i="73" s="1"/>
  <c r="AB58" i="75" s="1"/>
  <c r="AB31" i="68"/>
  <c r="AB30" i="72" a="1"/>
  <c r="AB30" i="72" s="1"/>
  <c r="AB35" i="72" s="1"/>
  <c r="AB44" i="75" s="1"/>
  <c r="AB30" i="82" a="1"/>
  <c r="AB30" i="82" s="1"/>
  <c r="AB35" i="82" s="1"/>
  <c r="AB72" i="75" s="1"/>
  <c r="AB26" i="68"/>
  <c r="AB30" i="81" a="1"/>
  <c r="AB30" i="81" s="1"/>
  <c r="AB35" i="81" s="1"/>
  <c r="AB30" i="75" s="1"/>
  <c r="AB29" i="68"/>
  <c r="Z37" i="85"/>
  <c r="Z36" i="85"/>
  <c r="Z35" i="85"/>
  <c r="Z63" i="85"/>
  <c r="Z65" i="85"/>
  <c r="Z64" i="85"/>
  <c r="Z51" i="85"/>
  <c r="Z50" i="85"/>
  <c r="Z49" i="85"/>
  <c r="Z79" i="85"/>
  <c r="Z77" i="85"/>
  <c r="Z78" i="85"/>
  <c r="AA62" i="75" l="1"/>
  <c r="AA64" i="75" s="1"/>
  <c r="AA86" i="73"/>
  <c r="AA105" i="73" s="1"/>
  <c r="AA107" i="73"/>
  <c r="AA76" i="75"/>
  <c r="AA78" i="75" s="1"/>
  <c r="AA86" i="82"/>
  <c r="AA105" i="82" s="1"/>
  <c r="AA107" i="82"/>
  <c r="AB27" i="68"/>
  <c r="AB98" i="75"/>
  <c r="AA48" i="75"/>
  <c r="AA50" i="75" s="1"/>
  <c r="AA40" i="85" s="1"/>
  <c r="AA107" i="72"/>
  <c r="AA86" i="72"/>
  <c r="AA105" i="72" s="1"/>
  <c r="AA107" i="81"/>
  <c r="AA86" i="81"/>
  <c r="AA105" i="81" s="1"/>
  <c r="AA34" i="75"/>
  <c r="AA36" i="75" s="1"/>
  <c r="Z12" i="85" s="1"/>
  <c r="AA21" i="87"/>
  <c r="AA13" i="87" s="1"/>
  <c r="AA109" i="72" l="1" a="1"/>
  <c r="AA109" i="72" s="1"/>
  <c r="AA44" i="85" s="1"/>
  <c r="AA115" i="72" a="1"/>
  <c r="AA115" i="72" s="1"/>
  <c r="AA112" i="72" a="1"/>
  <c r="AA112" i="72" s="1"/>
  <c r="AA47" i="85" s="1"/>
  <c r="AA116" i="72" a="1"/>
  <c r="AA116" i="72" s="1"/>
  <c r="AA42" i="85"/>
  <c r="AA114" i="72" a="1"/>
  <c r="AA114" i="72" s="1"/>
  <c r="AA111" i="72" a="1"/>
  <c r="AA111" i="72" s="1"/>
  <c r="AA46" i="85" s="1"/>
  <c r="AA110" i="72" a="1"/>
  <c r="AA110" i="72" s="1"/>
  <c r="AA45" i="85" s="1"/>
  <c r="AA113" i="72" a="1"/>
  <c r="AA113" i="72" s="1"/>
  <c r="AA48" i="85" s="1"/>
  <c r="AA111" i="81" a="1"/>
  <c r="AA111" i="81" s="1"/>
  <c r="AA32" i="85" s="1"/>
  <c r="AA109" i="81" a="1"/>
  <c r="AA109" i="81" s="1"/>
  <c r="AA30" i="85" s="1"/>
  <c r="AA113" i="81" a="1"/>
  <c r="AA113" i="81" s="1"/>
  <c r="AA34" i="85" s="1"/>
  <c r="AA112" i="81" a="1"/>
  <c r="AA112" i="81" s="1"/>
  <c r="AA33" i="85" s="1"/>
  <c r="AA110" i="81" a="1"/>
  <c r="AA110" i="81" s="1"/>
  <c r="AA31" i="85" s="1"/>
  <c r="AA114" i="81" a="1"/>
  <c r="AA114" i="81" s="1"/>
  <c r="AA115" i="81" a="1"/>
  <c r="AA115" i="81" s="1"/>
  <c r="AA116" i="81" a="1"/>
  <c r="AA116" i="81" s="1"/>
  <c r="AA28" i="85"/>
  <c r="AC24" i="68"/>
  <c r="AB31" i="87"/>
  <c r="AA109" i="82" a="1"/>
  <c r="AA109" i="82" s="1"/>
  <c r="AA72" i="85" s="1"/>
  <c r="AA114" i="82" a="1"/>
  <c r="AA114" i="82" s="1"/>
  <c r="AA111" i="82" a="1"/>
  <c r="AA111" i="82" s="1"/>
  <c r="AA74" i="85" s="1"/>
  <c r="AA110" i="82" a="1"/>
  <c r="AA110" i="82" s="1"/>
  <c r="AA73" i="85" s="1"/>
  <c r="AA112" i="82" a="1"/>
  <c r="AA112" i="82" s="1"/>
  <c r="AA75" i="85" s="1"/>
  <c r="AA116" i="82" a="1"/>
  <c r="AA116" i="82" s="1"/>
  <c r="AA70" i="85"/>
  <c r="AA113" i="82" a="1"/>
  <c r="AA113" i="82" s="1"/>
  <c r="AA76" i="85" s="1"/>
  <c r="AA115" i="82" a="1"/>
  <c r="AA115" i="82" s="1"/>
  <c r="AA112" i="73" a="1"/>
  <c r="AA112" i="73" s="1"/>
  <c r="AA61" i="85" s="1"/>
  <c r="AA111" i="73" a="1"/>
  <c r="AA111" i="73" s="1"/>
  <c r="AA60" i="85" s="1"/>
  <c r="AA113" i="73" a="1"/>
  <c r="AA113" i="73" s="1"/>
  <c r="AA62" i="85" s="1"/>
  <c r="AA115" i="73" a="1"/>
  <c r="AA115" i="73" s="1"/>
  <c r="AA114" i="73" a="1"/>
  <c r="AA114" i="73" s="1"/>
  <c r="AA116" i="73" a="1"/>
  <c r="AA116" i="73" s="1"/>
  <c r="AA56" i="85"/>
  <c r="AA109" i="73" a="1"/>
  <c r="AA109" i="73" s="1"/>
  <c r="AA58" i="85" s="1"/>
  <c r="AA110" i="73" a="1"/>
  <c r="AA110" i="73" s="1"/>
  <c r="AA59" i="85" s="1"/>
  <c r="AB35" i="68"/>
  <c r="AB99" i="75"/>
  <c r="AB14" i="75"/>
  <c r="AC31" i="68" l="1"/>
  <c r="AC30" i="81" a="1"/>
  <c r="AC30" i="81" s="1"/>
  <c r="AC35" i="81" s="1"/>
  <c r="AC30" i="75" s="1"/>
  <c r="AC30" i="73" a="1"/>
  <c r="AC30" i="73" s="1"/>
  <c r="AC35" i="73" s="1"/>
  <c r="AC58" i="75" s="1"/>
  <c r="AC30" i="82" a="1"/>
  <c r="AC30" i="82" s="1"/>
  <c r="AC35" i="82" s="1"/>
  <c r="AC72" i="75" s="1"/>
  <c r="AC30" i="72" a="1"/>
  <c r="AC30" i="72" s="1"/>
  <c r="AC35" i="72" s="1"/>
  <c r="AC44" i="75" s="1"/>
  <c r="AC26" i="68"/>
  <c r="AC29" i="68"/>
  <c r="AC32" i="68"/>
  <c r="AB63" i="72"/>
  <c r="AB83" i="72" s="1"/>
  <c r="AB63" i="73"/>
  <c r="AB83" i="73" s="1"/>
  <c r="AB63" i="81"/>
  <c r="AB83" i="81" s="1"/>
  <c r="AB16" i="75"/>
  <c r="AB92" i="75" s="1"/>
  <c r="AB63" i="82"/>
  <c r="AB83" i="82" s="1"/>
  <c r="AA63" i="85"/>
  <c r="AA64" i="85"/>
  <c r="AA65" i="85"/>
  <c r="AA49" i="85"/>
  <c r="AA51" i="85"/>
  <c r="AA50" i="85"/>
  <c r="AA77" i="85"/>
  <c r="AA78" i="85"/>
  <c r="AA79" i="85"/>
  <c r="AA36" i="85"/>
  <c r="AA35" i="85"/>
  <c r="AA37" i="85"/>
  <c r="AB34" i="75" l="1"/>
  <c r="AB36" i="75" s="1"/>
  <c r="AA12" i="85" s="1"/>
  <c r="AB107" i="81"/>
  <c r="AB86" i="81"/>
  <c r="AB105" i="81" s="1"/>
  <c r="AB86" i="73"/>
  <c r="AB105" i="73" s="1"/>
  <c r="AB62" i="75"/>
  <c r="AB64" i="75" s="1"/>
  <c r="AB107" i="73"/>
  <c r="AC27" i="68"/>
  <c r="AC98" i="75"/>
  <c r="AB76" i="75"/>
  <c r="AB78" i="75" s="1"/>
  <c r="AB86" i="82"/>
  <c r="AB105" i="82" s="1"/>
  <c r="AB107" i="82"/>
  <c r="AB86" i="72"/>
  <c r="AB105" i="72" s="1"/>
  <c r="AB48" i="75"/>
  <c r="AB50" i="75" s="1"/>
  <c r="AB40" i="85" s="1"/>
  <c r="AB107" i="72"/>
  <c r="AB21" i="87"/>
  <c r="AB13" i="87" s="1"/>
  <c r="AD24" i="68" l="1"/>
  <c r="AC31" i="87"/>
  <c r="AB110" i="72" a="1"/>
  <c r="AB110" i="72" s="1"/>
  <c r="AB45" i="85" s="1"/>
  <c r="AB112" i="72" a="1"/>
  <c r="AB112" i="72" s="1"/>
  <c r="AB47" i="85" s="1"/>
  <c r="AB113" i="72" a="1"/>
  <c r="AB113" i="72" s="1"/>
  <c r="AB48" i="85" s="1"/>
  <c r="AB42" i="85"/>
  <c r="AB116" i="72" a="1"/>
  <c r="AB116" i="72" s="1"/>
  <c r="AB114" i="72" a="1"/>
  <c r="AB114" i="72" s="1"/>
  <c r="AB109" i="72" a="1"/>
  <c r="AB109" i="72" s="1"/>
  <c r="AB44" i="85" s="1"/>
  <c r="AB111" i="72" a="1"/>
  <c r="AB111" i="72" s="1"/>
  <c r="AB46" i="85" s="1"/>
  <c r="AB115" i="72" a="1"/>
  <c r="AB115" i="72" s="1"/>
  <c r="AB109" i="73" a="1"/>
  <c r="AB109" i="73" s="1"/>
  <c r="AB58" i="85" s="1"/>
  <c r="AB111" i="73" a="1"/>
  <c r="AB111" i="73" s="1"/>
  <c r="AB60" i="85" s="1"/>
  <c r="AB110" i="73" a="1"/>
  <c r="AB110" i="73" s="1"/>
  <c r="AB59" i="85" s="1"/>
  <c r="AB112" i="73" a="1"/>
  <c r="AB112" i="73" s="1"/>
  <c r="AB61" i="85" s="1"/>
  <c r="AB115" i="73" a="1"/>
  <c r="AB115" i="73" s="1"/>
  <c r="AB114" i="73" a="1"/>
  <c r="AB114" i="73" s="1"/>
  <c r="AB56" i="85"/>
  <c r="AB113" i="73" a="1"/>
  <c r="AB113" i="73" s="1"/>
  <c r="AB62" i="85" s="1"/>
  <c r="AB116" i="73" a="1"/>
  <c r="AB116" i="73" s="1"/>
  <c r="AB109" i="81" a="1"/>
  <c r="AB109" i="81" s="1"/>
  <c r="AB30" i="85" s="1"/>
  <c r="AB111" i="81" a="1"/>
  <c r="AB111" i="81" s="1"/>
  <c r="AB32" i="85" s="1"/>
  <c r="AB28" i="85"/>
  <c r="AB110" i="81" a="1"/>
  <c r="AB110" i="81" s="1"/>
  <c r="AB31" i="85" s="1"/>
  <c r="AB115" i="81" a="1"/>
  <c r="AB115" i="81" s="1"/>
  <c r="AB112" i="81" a="1"/>
  <c r="AB112" i="81" s="1"/>
  <c r="AB33" i="85" s="1"/>
  <c r="AB113" i="81" a="1"/>
  <c r="AB113" i="81" s="1"/>
  <c r="AB34" i="85" s="1"/>
  <c r="AB114" i="81" a="1"/>
  <c r="AB114" i="81" s="1"/>
  <c r="AB116" i="81" a="1"/>
  <c r="AB116" i="81" s="1"/>
  <c r="AB70" i="85"/>
  <c r="AB110" i="82" a="1"/>
  <c r="AB110" i="82" s="1"/>
  <c r="AB73" i="85" s="1"/>
  <c r="AB114" i="82" a="1"/>
  <c r="AB114" i="82" s="1"/>
  <c r="AB112" i="82" a="1"/>
  <c r="AB112" i="82" s="1"/>
  <c r="AB75" i="85" s="1"/>
  <c r="AB111" i="82" a="1"/>
  <c r="AB111" i="82" s="1"/>
  <c r="AB74" i="85" s="1"/>
  <c r="AB109" i="82" a="1"/>
  <c r="AB109" i="82" s="1"/>
  <c r="AB72" i="85" s="1"/>
  <c r="AB115" i="82" a="1"/>
  <c r="AB115" i="82" s="1"/>
  <c r="AB116" i="82" a="1"/>
  <c r="AB116" i="82" s="1"/>
  <c r="AB113" i="82" a="1"/>
  <c r="AB113" i="82" s="1"/>
  <c r="AB76" i="85" s="1"/>
  <c r="AC99" i="75"/>
  <c r="AC14" i="75"/>
  <c r="AC35" i="68"/>
  <c r="AB77" i="85" l="1"/>
  <c r="AB79" i="85"/>
  <c r="AB78" i="85"/>
  <c r="AB63" i="85"/>
  <c r="AB65" i="85"/>
  <c r="AB64" i="85"/>
  <c r="AB49" i="85"/>
  <c r="AB50" i="85"/>
  <c r="AB51" i="85"/>
  <c r="AB37" i="85"/>
  <c r="AB36" i="85"/>
  <c r="AB35" i="85"/>
  <c r="AC63" i="81"/>
  <c r="AC83" i="81" s="1"/>
  <c r="AC63" i="72"/>
  <c r="AC83" i="72" s="1"/>
  <c r="AC63" i="73"/>
  <c r="AC83" i="73" s="1"/>
  <c r="AC16" i="75"/>
  <c r="AC92" i="75" s="1"/>
  <c r="AC63" i="82"/>
  <c r="AC83" i="82" s="1"/>
  <c r="AD30" i="72" a="1"/>
  <c r="AD30" i="72" s="1"/>
  <c r="AD35" i="72" s="1"/>
  <c r="AD44" i="75" s="1"/>
  <c r="AD32" i="68"/>
  <c r="AD30" i="82" a="1"/>
  <c r="AD30" i="82" s="1"/>
  <c r="AD35" i="82" s="1"/>
  <c r="AD72" i="75" s="1"/>
  <c r="AD30" i="73" a="1"/>
  <c r="AD30" i="73" s="1"/>
  <c r="AD35" i="73" s="1"/>
  <c r="AD58" i="75" s="1"/>
  <c r="AD26" i="68"/>
  <c r="AD29" i="68"/>
  <c r="AD31" i="68"/>
  <c r="AD30" i="81" a="1"/>
  <c r="AD30" i="81" s="1"/>
  <c r="AD35" i="81" s="1"/>
  <c r="AD30" i="75" s="1"/>
  <c r="AC62" i="75" l="1"/>
  <c r="AC64" i="75" s="1"/>
  <c r="AC107" i="73"/>
  <c r="AC86" i="73"/>
  <c r="AC105" i="73" s="1"/>
  <c r="AC48" i="75"/>
  <c r="AC50" i="75" s="1"/>
  <c r="AC40" i="85" s="1"/>
  <c r="AC86" i="72"/>
  <c r="AC105" i="72" s="1"/>
  <c r="AC107" i="72"/>
  <c r="AC34" i="75"/>
  <c r="AC36" i="75" s="1"/>
  <c r="AB12" i="85" s="1"/>
  <c r="AC107" i="81"/>
  <c r="AC86" i="81"/>
  <c r="AC105" i="81" s="1"/>
  <c r="AC21" i="87"/>
  <c r="AC13" i="87" s="1"/>
  <c r="AD27" i="68"/>
  <c r="AD98" i="75"/>
  <c r="AC76" i="75"/>
  <c r="AC78" i="75" s="1"/>
  <c r="AC86" i="82"/>
  <c r="AC105" i="82" s="1"/>
  <c r="AC107" i="82"/>
  <c r="AC70" i="85" l="1"/>
  <c r="AC115" i="82" a="1"/>
  <c r="AC115" i="82" s="1"/>
  <c r="AC114" i="82" a="1"/>
  <c r="AC114" i="82" s="1"/>
  <c r="AC111" i="82" a="1"/>
  <c r="AC111" i="82" s="1"/>
  <c r="AC74" i="85" s="1"/>
  <c r="AC109" i="82" a="1"/>
  <c r="AC109" i="82" s="1"/>
  <c r="AC72" i="85" s="1"/>
  <c r="AC110" i="82" a="1"/>
  <c r="AC110" i="82" s="1"/>
  <c r="AC73" i="85" s="1"/>
  <c r="AC112" i="82" a="1"/>
  <c r="AC112" i="82" s="1"/>
  <c r="AC75" i="85" s="1"/>
  <c r="AC113" i="82" a="1"/>
  <c r="AC113" i="82" s="1"/>
  <c r="AC76" i="85" s="1"/>
  <c r="AC116" i="82" a="1"/>
  <c r="AC116" i="82" s="1"/>
  <c r="AD99" i="75"/>
  <c r="AD35" i="68"/>
  <c r="AD14" i="75"/>
  <c r="AE24" i="68"/>
  <c r="AD31" i="87"/>
  <c r="AC116" i="72" a="1"/>
  <c r="AC116" i="72" s="1"/>
  <c r="AC114" i="72" a="1"/>
  <c r="AC114" i="72" s="1"/>
  <c r="AC110" i="72" a="1"/>
  <c r="AC110" i="72" s="1"/>
  <c r="AC45" i="85" s="1"/>
  <c r="AC112" i="72" a="1"/>
  <c r="AC112" i="72" s="1"/>
  <c r="AC47" i="85" s="1"/>
  <c r="AC109" i="72" a="1"/>
  <c r="AC109" i="72" s="1"/>
  <c r="AC44" i="85" s="1"/>
  <c r="AC113" i="72" a="1"/>
  <c r="AC113" i="72" s="1"/>
  <c r="AC48" i="85" s="1"/>
  <c r="AC111" i="72" a="1"/>
  <c r="AC111" i="72" s="1"/>
  <c r="AC46" i="85" s="1"/>
  <c r="AC115" i="72" a="1"/>
  <c r="AC115" i="72" s="1"/>
  <c r="AC42" i="85"/>
  <c r="AC114" i="73" a="1"/>
  <c r="AC114" i="73" s="1"/>
  <c r="AC113" i="73" a="1"/>
  <c r="AC113" i="73" s="1"/>
  <c r="AC62" i="85" s="1"/>
  <c r="AC112" i="73" a="1"/>
  <c r="AC112" i="73" s="1"/>
  <c r="AC61" i="85" s="1"/>
  <c r="AC110" i="73" a="1"/>
  <c r="AC110" i="73" s="1"/>
  <c r="AC59" i="85" s="1"/>
  <c r="AC109" i="73" a="1"/>
  <c r="AC109" i="73" s="1"/>
  <c r="AC58" i="85" s="1"/>
  <c r="AC116" i="73" a="1"/>
  <c r="AC116" i="73" s="1"/>
  <c r="AC115" i="73" a="1"/>
  <c r="AC115" i="73" s="1"/>
  <c r="AC56" i="85"/>
  <c r="AC111" i="73" a="1"/>
  <c r="AC111" i="73" s="1"/>
  <c r="AC60" i="85" s="1"/>
  <c r="AC110" i="81" a="1"/>
  <c r="AC110" i="81" s="1"/>
  <c r="AC31" i="85" s="1"/>
  <c r="AC111" i="81" a="1"/>
  <c r="AC111" i="81" s="1"/>
  <c r="AC32" i="85" s="1"/>
  <c r="AC112" i="81" a="1"/>
  <c r="AC112" i="81" s="1"/>
  <c r="AC33" i="85" s="1"/>
  <c r="AC113" i="81" a="1"/>
  <c r="AC113" i="81" s="1"/>
  <c r="AC34" i="85" s="1"/>
  <c r="AC114" i="81" a="1"/>
  <c r="AC114" i="81" s="1"/>
  <c r="AC116" i="81" a="1"/>
  <c r="AC116" i="81" s="1"/>
  <c r="AC28" i="85"/>
  <c r="AC109" i="81" a="1"/>
  <c r="AC109" i="81" s="1"/>
  <c r="AC30" i="85" s="1"/>
  <c r="AC115" i="81" a="1"/>
  <c r="AC115" i="81" s="1"/>
  <c r="AE26" i="68" l="1"/>
  <c r="AE30" i="81" a="1"/>
  <c r="AE30" i="81" s="1"/>
  <c r="AE35" i="81" s="1"/>
  <c r="AE30" i="75" s="1"/>
  <c r="AE30" i="73" a="1"/>
  <c r="AE30" i="73" s="1"/>
  <c r="AE35" i="73" s="1"/>
  <c r="AE58" i="75" s="1"/>
  <c r="AE31" i="68"/>
  <c r="AE30" i="72" a="1"/>
  <c r="AE30" i="72" s="1"/>
  <c r="AE35" i="72" s="1"/>
  <c r="AE44" i="75" s="1"/>
  <c r="AE32" i="68"/>
  <c r="AE29" i="68"/>
  <c r="AE30" i="82" a="1"/>
  <c r="AE30" i="82" s="1"/>
  <c r="AE35" i="82" s="1"/>
  <c r="AE72" i="75" s="1"/>
  <c r="AC63" i="85"/>
  <c r="AC64" i="85"/>
  <c r="AC65" i="85"/>
  <c r="AC50" i="85"/>
  <c r="AC49" i="85"/>
  <c r="AC51" i="85"/>
  <c r="AD63" i="82"/>
  <c r="AD83" i="82" s="1"/>
  <c r="AD63" i="81"/>
  <c r="AD83" i="81" s="1"/>
  <c r="AD63" i="73"/>
  <c r="AD83" i="73" s="1"/>
  <c r="AD16" i="75"/>
  <c r="AD63" i="72"/>
  <c r="AD83" i="72" s="1"/>
  <c r="AC78" i="85"/>
  <c r="AC79" i="85"/>
  <c r="AC77" i="85"/>
  <c r="AC36" i="85"/>
  <c r="AC35" i="85"/>
  <c r="AC37" i="85"/>
  <c r="AD34" i="75" l="1"/>
  <c r="AD107" i="81"/>
  <c r="AD86" i="81"/>
  <c r="AD105" i="81" s="1"/>
  <c r="AE27" i="68"/>
  <c r="AE98" i="75"/>
  <c r="AD107" i="72"/>
  <c r="AD86" i="72"/>
  <c r="AD105" i="72" s="1"/>
  <c r="AD48" i="75"/>
  <c r="AD21" i="87"/>
  <c r="AD13" i="87" s="1"/>
  <c r="AD86" i="82"/>
  <c r="AD105" i="82" s="1"/>
  <c r="AD107" i="82"/>
  <c r="AD76" i="75"/>
  <c r="AD92" i="75"/>
  <c r="AD86" i="73"/>
  <c r="AD105" i="73" s="1"/>
  <c r="AD62" i="75"/>
  <c r="AD107" i="73"/>
  <c r="AD110" i="73" l="1" a="1"/>
  <c r="AD110" i="73" s="1"/>
  <c r="AD59" i="85" s="1"/>
  <c r="AD115" i="73" a="1"/>
  <c r="AD115" i="73" s="1"/>
  <c r="AD111" i="73" a="1"/>
  <c r="AD111" i="73" s="1"/>
  <c r="AD60" i="85" s="1"/>
  <c r="AD114" i="73" a="1"/>
  <c r="AD114" i="73" s="1"/>
  <c r="AD109" i="73" a="1"/>
  <c r="AD109" i="73" s="1"/>
  <c r="AD58" i="85" s="1"/>
  <c r="AD112" i="73" a="1"/>
  <c r="AD112" i="73" s="1"/>
  <c r="AD61" i="85" s="1"/>
  <c r="AD116" i="73" a="1"/>
  <c r="AD116" i="73" s="1"/>
  <c r="AD113" i="73" a="1"/>
  <c r="AD113" i="73" s="1"/>
  <c r="AD62" i="85" s="1"/>
  <c r="AD56" i="85"/>
  <c r="AD78" i="75"/>
  <c r="AD112" i="72" a="1"/>
  <c r="AD112" i="72" s="1"/>
  <c r="AD47" i="85" s="1"/>
  <c r="AD42" i="85"/>
  <c r="AD114" i="72" a="1"/>
  <c r="AD114" i="72" s="1"/>
  <c r="AD116" i="72" a="1"/>
  <c r="AD116" i="72" s="1"/>
  <c r="AD113" i="72" a="1"/>
  <c r="AD113" i="72" s="1"/>
  <c r="AD48" i="85" s="1"/>
  <c r="AD115" i="72" a="1"/>
  <c r="AD115" i="72" s="1"/>
  <c r="AD110" i="72" a="1"/>
  <c r="AD110" i="72" s="1"/>
  <c r="AD45" i="85" s="1"/>
  <c r="AD109" i="72" a="1"/>
  <c r="AD109" i="72" s="1"/>
  <c r="AD44" i="85" s="1"/>
  <c r="AD111" i="72" a="1"/>
  <c r="AD111" i="72" s="1"/>
  <c r="AD46" i="85" s="1"/>
  <c r="AD64" i="75"/>
  <c r="AD50" i="75"/>
  <c r="AD110" i="81" a="1"/>
  <c r="AD110" i="81" s="1"/>
  <c r="AD31" i="85" s="1"/>
  <c r="AD112" i="81" a="1"/>
  <c r="AD112" i="81" s="1"/>
  <c r="AD33" i="85" s="1"/>
  <c r="AD115" i="81" a="1"/>
  <c r="AD115" i="81" s="1"/>
  <c r="AD113" i="81" a="1"/>
  <c r="AD113" i="81" s="1"/>
  <c r="AD34" i="85" s="1"/>
  <c r="AD114" i="81" a="1"/>
  <c r="AD114" i="81" s="1"/>
  <c r="AD116" i="81" a="1"/>
  <c r="AD116" i="81" s="1"/>
  <c r="AD28" i="85"/>
  <c r="AD111" i="81" a="1"/>
  <c r="AD111" i="81" s="1"/>
  <c r="AD32" i="85" s="1"/>
  <c r="AD109" i="81" a="1"/>
  <c r="AD109" i="81" s="1"/>
  <c r="AD30" i="85" s="1"/>
  <c r="AD109" i="82" a="1"/>
  <c r="AD109" i="82" s="1"/>
  <c r="AD72" i="85" s="1"/>
  <c r="AD114" i="82" a="1"/>
  <c r="AD114" i="82" s="1"/>
  <c r="AD115" i="82" a="1"/>
  <c r="AD115" i="82" s="1"/>
  <c r="AD113" i="82" a="1"/>
  <c r="AD113" i="82" s="1"/>
  <c r="AD76" i="85" s="1"/>
  <c r="AD110" i="82" a="1"/>
  <c r="AD110" i="82" s="1"/>
  <c r="AD73" i="85" s="1"/>
  <c r="AD70" i="85"/>
  <c r="AD111" i="82" a="1"/>
  <c r="AD111" i="82" s="1"/>
  <c r="AD74" i="85" s="1"/>
  <c r="AD116" i="82" a="1"/>
  <c r="AD116" i="82" s="1"/>
  <c r="AD112" i="82" a="1"/>
  <c r="AD112" i="82" s="1"/>
  <c r="AD75" i="85" s="1"/>
  <c r="AF24" i="68"/>
  <c r="AE31" i="87"/>
  <c r="AE14" i="75"/>
  <c r="AE35" i="68"/>
  <c r="AE99" i="75"/>
  <c r="AD36" i="75"/>
  <c r="AC12" i="85" l="1"/>
  <c r="AD77" i="85"/>
  <c r="AD78" i="85"/>
  <c r="AD79" i="85"/>
  <c r="AD64" i="85"/>
  <c r="AD63" i="85"/>
  <c r="AD65" i="85"/>
  <c r="AD40" i="85"/>
  <c r="AD49" i="85"/>
  <c r="AD51" i="85"/>
  <c r="AD50" i="85"/>
  <c r="AE63" i="81"/>
  <c r="AE83" i="81" s="1"/>
  <c r="AE63" i="72"/>
  <c r="AE83" i="72" s="1"/>
  <c r="AE16" i="75"/>
  <c r="AE63" i="73"/>
  <c r="AE83" i="73" s="1"/>
  <c r="AE63" i="82"/>
  <c r="AE83" i="82" s="1"/>
  <c r="AD37" i="85"/>
  <c r="AD36" i="85"/>
  <c r="AD35" i="85"/>
  <c r="AF30" i="81" a="1"/>
  <c r="AF30" i="81" s="1"/>
  <c r="AF35" i="81" s="1"/>
  <c r="AF30" i="75" s="1"/>
  <c r="AF29" i="68"/>
  <c r="AF32" i="68"/>
  <c r="AF31" i="68"/>
  <c r="AF30" i="72" a="1"/>
  <c r="AF30" i="72" s="1"/>
  <c r="AF35" i="72" s="1"/>
  <c r="AF44" i="75" s="1"/>
  <c r="AF30" i="73" a="1"/>
  <c r="AF30" i="73" s="1"/>
  <c r="AF35" i="73" s="1"/>
  <c r="AF58" i="75" s="1"/>
  <c r="AF26" i="68"/>
  <c r="AF30" i="82" a="1"/>
  <c r="AF30" i="82" s="1"/>
  <c r="AF35" i="82" s="1"/>
  <c r="AF72" i="75" s="1"/>
  <c r="AE86" i="72" l="1"/>
  <c r="AE105" i="72" s="1"/>
  <c r="AE48" i="75"/>
  <c r="AE107" i="72"/>
  <c r="AE86" i="73"/>
  <c r="AE105" i="73" s="1"/>
  <c r="AE107" i="73"/>
  <c r="AE62" i="75"/>
  <c r="AE92" i="75"/>
  <c r="AE21" i="87"/>
  <c r="AE13" i="87" s="1"/>
  <c r="AE107" i="82"/>
  <c r="AE76" i="75"/>
  <c r="AE86" i="82"/>
  <c r="AE105" i="82" s="1"/>
  <c r="AE107" i="81"/>
  <c r="AE86" i="81"/>
  <c r="AE105" i="81" s="1"/>
  <c r="AE34" i="75"/>
  <c r="AF27" i="68"/>
  <c r="AF98" i="75"/>
  <c r="AE113" i="81" l="1" a="1"/>
  <c r="AE113" i="81" s="1"/>
  <c r="AE34" i="85" s="1"/>
  <c r="AE111" i="81" a="1"/>
  <c r="AE111" i="81" s="1"/>
  <c r="AE32" i="85" s="1"/>
  <c r="AE116" i="81" a="1"/>
  <c r="AE116" i="81" s="1"/>
  <c r="AE115" i="81" a="1"/>
  <c r="AE115" i="81" s="1"/>
  <c r="AE28" i="85"/>
  <c r="AE110" i="81" a="1"/>
  <c r="AE110" i="81" s="1"/>
  <c r="AE31" i="85" s="1"/>
  <c r="AE109" i="81" a="1"/>
  <c r="AE109" i="81" s="1"/>
  <c r="AE30" i="85" s="1"/>
  <c r="AE112" i="81" a="1"/>
  <c r="AE112" i="81" s="1"/>
  <c r="AE33" i="85" s="1"/>
  <c r="AE114" i="81" a="1"/>
  <c r="AE114" i="81" s="1"/>
  <c r="AE36" i="75"/>
  <c r="AE78" i="75"/>
  <c r="AE64" i="75"/>
  <c r="AF99" i="75"/>
  <c r="AF14" i="75"/>
  <c r="AF35" i="68"/>
  <c r="AE111" i="82" a="1"/>
  <c r="AE111" i="82" s="1"/>
  <c r="AE74" i="85" s="1"/>
  <c r="AE112" i="82" a="1"/>
  <c r="AE112" i="82" s="1"/>
  <c r="AE75" i="85" s="1"/>
  <c r="AE113" i="82" a="1"/>
  <c r="AE113" i="82" s="1"/>
  <c r="AE76" i="85" s="1"/>
  <c r="AE110" i="82" a="1"/>
  <c r="AE110" i="82" s="1"/>
  <c r="AE73" i="85" s="1"/>
  <c r="AE115" i="82" a="1"/>
  <c r="AE115" i="82" s="1"/>
  <c r="AE114" i="82" a="1"/>
  <c r="AE114" i="82" s="1"/>
  <c r="AE109" i="82" a="1"/>
  <c r="AE109" i="82" s="1"/>
  <c r="AE72" i="85" s="1"/>
  <c r="AE116" i="82" a="1"/>
  <c r="AE116" i="82" s="1"/>
  <c r="AE70" i="85"/>
  <c r="AG24" i="68"/>
  <c r="AE116" i="73" a="1"/>
  <c r="AE116" i="73" s="1"/>
  <c r="AE109" i="73" a="1"/>
  <c r="AE109" i="73" s="1"/>
  <c r="AE58" i="85" s="1"/>
  <c r="AE115" i="73" a="1"/>
  <c r="AE115" i="73" s="1"/>
  <c r="AE113" i="73" a="1"/>
  <c r="AE113" i="73" s="1"/>
  <c r="AE62" i="85" s="1"/>
  <c r="AE110" i="73" a="1"/>
  <c r="AE110" i="73" s="1"/>
  <c r="AE59" i="85" s="1"/>
  <c r="AE111" i="73" a="1"/>
  <c r="AE111" i="73" s="1"/>
  <c r="AE60" i="85" s="1"/>
  <c r="AE112" i="73" a="1"/>
  <c r="AE112" i="73" s="1"/>
  <c r="AE61" i="85" s="1"/>
  <c r="AE56" i="85"/>
  <c r="AE114" i="73" a="1"/>
  <c r="AE114" i="73" s="1"/>
  <c r="AE50" i="75"/>
  <c r="AE113" i="72" a="1"/>
  <c r="AE113" i="72" s="1"/>
  <c r="AE48" i="85" s="1"/>
  <c r="AE114" i="72" a="1"/>
  <c r="AE114" i="72" s="1"/>
  <c r="AE111" i="72" a="1"/>
  <c r="AE111" i="72" s="1"/>
  <c r="AE46" i="85" s="1"/>
  <c r="AE110" i="72" a="1"/>
  <c r="AE110" i="72" s="1"/>
  <c r="AE45" i="85" s="1"/>
  <c r="AE109" i="72" a="1"/>
  <c r="AE109" i="72" s="1"/>
  <c r="AE44" i="85" s="1"/>
  <c r="AE115" i="72" a="1"/>
  <c r="AE115" i="72" s="1"/>
  <c r="AE116" i="72" a="1"/>
  <c r="AE116" i="72" s="1"/>
  <c r="AE112" i="72" a="1"/>
  <c r="AE112" i="72" s="1"/>
  <c r="AE47" i="85" s="1"/>
  <c r="AE42" i="85"/>
  <c r="AE64" i="85" l="1"/>
  <c r="AE63" i="85"/>
  <c r="AE65" i="85"/>
  <c r="AE79" i="85"/>
  <c r="AE77" i="85"/>
  <c r="AE78" i="85"/>
  <c r="AE40" i="85"/>
  <c r="AD12" i="85"/>
  <c r="AE36" i="85"/>
  <c r="AE35" i="85"/>
  <c r="AE37" i="85"/>
  <c r="AG30" i="72" a="1"/>
  <c r="AG30" i="72" s="1"/>
  <c r="AG35" i="72" s="1"/>
  <c r="AG44" i="75" s="1"/>
  <c r="F44" i="75" s="1"/>
  <c r="AG32" i="68"/>
  <c r="AG31" i="68"/>
  <c r="AG30" i="82" a="1"/>
  <c r="AG30" i="82" s="1"/>
  <c r="AG35" i="82" s="1"/>
  <c r="AG72" i="75" s="1"/>
  <c r="F72" i="75" s="1"/>
  <c r="AG30" i="73" a="1"/>
  <c r="AG30" i="73" s="1"/>
  <c r="AG35" i="73" s="1"/>
  <c r="AG58" i="75" s="1"/>
  <c r="F58" i="75" s="1"/>
  <c r="AG30" i="81" a="1"/>
  <c r="AG30" i="81" s="1"/>
  <c r="AG35" i="81" s="1"/>
  <c r="AG30" i="75" s="1"/>
  <c r="F30" i="75" s="1" a="1"/>
  <c r="F30" i="75" s="1"/>
  <c r="AG26" i="68"/>
  <c r="AG29" i="68"/>
  <c r="AF16" i="75"/>
  <c r="AF63" i="82"/>
  <c r="AF83" i="82" s="1"/>
  <c r="AF63" i="81"/>
  <c r="AF83" i="81" s="1"/>
  <c r="AF63" i="72"/>
  <c r="AF83" i="72" s="1"/>
  <c r="AF63" i="73"/>
  <c r="AF83" i="73" s="1"/>
  <c r="AE50" i="85"/>
  <c r="AE51" i="85"/>
  <c r="AE49" i="85"/>
  <c r="AF76" i="75" l="1"/>
  <c r="AF107" i="82"/>
  <c r="AF86" i="82"/>
  <c r="AF105" i="82" s="1"/>
  <c r="AF34" i="75"/>
  <c r="AF107" i="81"/>
  <c r="AF86" i="81"/>
  <c r="AF105" i="81" s="1"/>
  <c r="AF48" i="75"/>
  <c r="AF107" i="72"/>
  <c r="AF86" i="72"/>
  <c r="AF105" i="72" s="1"/>
  <c r="AF62" i="75"/>
  <c r="AF107" i="73"/>
  <c r="AF86" i="73"/>
  <c r="AF105" i="73" s="1"/>
  <c r="AF92" i="75"/>
  <c r="AG27" i="68"/>
  <c r="AG98" i="75"/>
  <c r="D98" i="75" s="1"/>
  <c r="F27" i="68"/>
  <c r="AF113" i="73" l="1" a="1"/>
  <c r="AF113" i="73" s="1"/>
  <c r="AF62" i="85" s="1"/>
  <c r="AF114" i="73" a="1"/>
  <c r="AF114" i="73" s="1"/>
  <c r="AF115" i="73" a="1"/>
  <c r="AF115" i="73" s="1"/>
  <c r="AF56" i="85"/>
  <c r="AF112" i="73" a="1"/>
  <c r="AF112" i="73" s="1"/>
  <c r="AF61" i="85" s="1"/>
  <c r="AF109" i="73" a="1"/>
  <c r="AF109" i="73" s="1"/>
  <c r="AF58" i="85" s="1"/>
  <c r="AF116" i="73" a="1"/>
  <c r="AF116" i="73" s="1"/>
  <c r="AF110" i="73" a="1"/>
  <c r="AF110" i="73" s="1"/>
  <c r="AF59" i="85" s="1"/>
  <c r="AF111" i="73" a="1"/>
  <c r="AF111" i="73" s="1"/>
  <c r="AF60" i="85" s="1"/>
  <c r="AG99" i="75"/>
  <c r="D99" i="75" s="1"/>
  <c r="AG35" i="68"/>
  <c r="AG14" i="75"/>
  <c r="F14" i="75" s="1"/>
  <c r="AF50" i="75"/>
  <c r="AF64" i="75"/>
  <c r="AF114" i="72" a="1"/>
  <c r="AF114" i="72" s="1"/>
  <c r="AF116" i="72" a="1"/>
  <c r="AF116" i="72" s="1"/>
  <c r="AF109" i="72" a="1"/>
  <c r="AF109" i="72" s="1"/>
  <c r="AF44" i="85" s="1"/>
  <c r="AF112" i="72" a="1"/>
  <c r="AF112" i="72" s="1"/>
  <c r="AF47" i="85" s="1"/>
  <c r="AF115" i="72" a="1"/>
  <c r="AF115" i="72" s="1"/>
  <c r="AF110" i="72" a="1"/>
  <c r="AF110" i="72" s="1"/>
  <c r="AF45" i="85" s="1"/>
  <c r="AF111" i="72" a="1"/>
  <c r="AF111" i="72" s="1"/>
  <c r="AF46" i="85" s="1"/>
  <c r="AF113" i="72" a="1"/>
  <c r="AF113" i="72" s="1"/>
  <c r="AF48" i="85" s="1"/>
  <c r="AF42" i="85"/>
  <c r="AF114" i="81" a="1"/>
  <c r="AF114" i="81" s="1"/>
  <c r="AF113" i="81" a="1"/>
  <c r="AF113" i="81" s="1"/>
  <c r="AF34" i="85" s="1"/>
  <c r="AF109" i="81" a="1"/>
  <c r="AF109" i="81" s="1"/>
  <c r="AF30" i="85" s="1"/>
  <c r="AF116" i="81" a="1"/>
  <c r="AF116" i="81" s="1"/>
  <c r="AF110" i="81" a="1"/>
  <c r="AF110" i="81" s="1"/>
  <c r="AF31" i="85" s="1"/>
  <c r="AF28" i="85"/>
  <c r="AF111" i="81" a="1"/>
  <c r="AF111" i="81" s="1"/>
  <c r="AF32" i="85" s="1"/>
  <c r="AF115" i="81" a="1"/>
  <c r="AF115" i="81" s="1"/>
  <c r="AF112" i="81" a="1"/>
  <c r="AF112" i="81" s="1"/>
  <c r="AF33" i="85" s="1"/>
  <c r="AF36" i="75"/>
  <c r="AF114" i="82" a="1"/>
  <c r="AF114" i="82" s="1"/>
  <c r="AF113" i="82" a="1"/>
  <c r="AF113" i="82" s="1"/>
  <c r="AF76" i="85" s="1"/>
  <c r="AF109" i="82" a="1"/>
  <c r="AF109" i="82" s="1"/>
  <c r="AF72" i="85" s="1"/>
  <c r="AF111" i="82" a="1"/>
  <c r="AF111" i="82" s="1"/>
  <c r="AF74" i="85" s="1"/>
  <c r="AF116" i="82" a="1"/>
  <c r="AF116" i="82" s="1"/>
  <c r="AF112" i="82" a="1"/>
  <c r="AF112" i="82" s="1"/>
  <c r="AF75" i="85" s="1"/>
  <c r="AF70" i="85"/>
  <c r="AF110" i="82" a="1"/>
  <c r="AF110" i="82" s="1"/>
  <c r="AF73" i="85" s="1"/>
  <c r="AF115" i="82" a="1"/>
  <c r="AF115" i="82" s="1"/>
  <c r="AF78" i="75"/>
  <c r="AF40" i="85" l="1"/>
  <c r="AF35" i="85"/>
  <c r="AF36" i="85"/>
  <c r="AF37" i="85"/>
  <c r="AF65" i="85"/>
  <c r="AF64" i="85"/>
  <c r="AF63" i="85"/>
  <c r="AF78" i="85"/>
  <c r="AF77" i="85"/>
  <c r="AF79" i="85"/>
  <c r="AF50" i="85"/>
  <c r="AF51" i="85"/>
  <c r="AF49" i="85"/>
  <c r="AE12" i="85"/>
  <c r="AG63" i="72"/>
  <c r="AG83" i="72" s="1"/>
  <c r="AG16" i="75"/>
  <c r="AG63" i="81"/>
  <c r="AG83" i="81" s="1"/>
  <c r="AG63" i="82"/>
  <c r="AG83" i="82" s="1"/>
  <c r="AG63" i="73"/>
  <c r="AG83" i="73" s="1"/>
  <c r="AG92" i="75" l="1"/>
  <c r="F16" i="75" a="1"/>
  <c r="F16" i="75" s="1"/>
  <c r="AG86" i="81"/>
  <c r="AG105" i="81" s="1"/>
  <c r="AG107" i="81"/>
  <c r="AG34" i="75"/>
  <c r="AG107" i="82"/>
  <c r="AG86" i="82"/>
  <c r="AG105" i="82" s="1"/>
  <c r="AG76" i="75"/>
  <c r="AG48" i="75"/>
  <c r="AG86" i="72"/>
  <c r="AG105" i="72" s="1"/>
  <c r="AG107" i="72"/>
  <c r="AG107" i="73"/>
  <c r="AG86" i="73"/>
  <c r="AG105" i="73" s="1"/>
  <c r="AG62" i="75"/>
  <c r="AG116" i="73" l="1" a="1"/>
  <c r="AG116" i="73" s="1"/>
  <c r="AG112" i="73" a="1"/>
  <c r="AG112" i="73" s="1"/>
  <c r="AG61" i="85" s="1"/>
  <c r="F61" i="85" s="1"/>
  <c r="F94" i="85" s="1"/>
  <c r="I43" i="33" s="1"/>
  <c r="AG114" i="73" a="1"/>
  <c r="AG114" i="73" s="1"/>
  <c r="AG109" i="73" a="1"/>
  <c r="AG109" i="73" s="1"/>
  <c r="AG58" i="85" s="1"/>
  <c r="F58" i="85" s="1"/>
  <c r="F91" i="85" s="1"/>
  <c r="I40" i="33" s="1"/>
  <c r="AG111" i="73" a="1"/>
  <c r="AG111" i="73" s="1"/>
  <c r="AG60" i="85" s="1"/>
  <c r="F60" i="85" s="1"/>
  <c r="F93" i="85" s="1"/>
  <c r="I42" i="33" s="1"/>
  <c r="AG110" i="73" a="1"/>
  <c r="AG110" i="73" s="1"/>
  <c r="AG59" i="85" s="1"/>
  <c r="F59" i="85" s="1"/>
  <c r="F92" i="85" s="1"/>
  <c r="I41" i="33" s="1"/>
  <c r="AG115" i="73" a="1"/>
  <c r="AG115" i="73" s="1"/>
  <c r="AG113" i="73" a="1"/>
  <c r="AG113" i="73" s="1"/>
  <c r="AG62" i="85" s="1"/>
  <c r="F62" i="85" s="1"/>
  <c r="F95" i="85" s="1"/>
  <c r="I44" i="33" s="1"/>
  <c r="AG56" i="85"/>
  <c r="F56" i="85" s="1"/>
  <c r="F90" i="85" s="1"/>
  <c r="I39" i="33" s="1"/>
  <c r="AG115" i="81" a="1"/>
  <c r="AG115" i="81" s="1"/>
  <c r="AG113" i="81" a="1"/>
  <c r="AG113" i="81" s="1"/>
  <c r="AG34" i="85" s="1"/>
  <c r="F34" i="85" s="1"/>
  <c r="D95" i="85" s="1"/>
  <c r="AG28" i="85"/>
  <c r="F28" i="85" s="1"/>
  <c r="D90" i="85" s="1"/>
  <c r="AG112" i="81" a="1"/>
  <c r="AG112" i="81" s="1"/>
  <c r="AG33" i="85" s="1"/>
  <c r="F33" i="85" s="1"/>
  <c r="D94" i="85" s="1"/>
  <c r="AG114" i="81" a="1"/>
  <c r="AG114" i="81" s="1"/>
  <c r="AG116" i="81" a="1"/>
  <c r="AG116" i="81" s="1"/>
  <c r="AG110" i="81" a="1"/>
  <c r="AG110" i="81" s="1"/>
  <c r="AG31" i="85" s="1"/>
  <c r="F31" i="85" s="1"/>
  <c r="D92" i="85" s="1"/>
  <c r="AG109" i="81" a="1"/>
  <c r="AG109" i="81" s="1"/>
  <c r="AG30" i="85" s="1"/>
  <c r="F30" i="85" s="1"/>
  <c r="D91" i="85" s="1"/>
  <c r="AG111" i="81" a="1"/>
  <c r="AG111" i="81" s="1"/>
  <c r="AG32" i="85" s="1"/>
  <c r="F32" i="85" s="1"/>
  <c r="D93" i="85" s="1"/>
  <c r="AG64" i="75"/>
  <c r="F65" i="75" s="1" a="1"/>
  <c r="F65" i="75" s="1"/>
  <c r="I12" i="33" s="1"/>
  <c r="F62" i="75"/>
  <c r="F67" i="75" s="1"/>
  <c r="H12" i="33" s="1"/>
  <c r="AG50" i="75"/>
  <c r="F48" i="75"/>
  <c r="F53" i="75" s="1"/>
  <c r="H11" i="33" s="1"/>
  <c r="AG114" i="72" a="1"/>
  <c r="AG114" i="72" s="1"/>
  <c r="AG116" i="72" a="1"/>
  <c r="AG116" i="72" s="1"/>
  <c r="AG109" i="72" a="1"/>
  <c r="AG109" i="72" s="1"/>
  <c r="AG44" i="85" s="1"/>
  <c r="F44" i="85" s="1"/>
  <c r="E91" i="85" s="1"/>
  <c r="H40" i="33" s="1"/>
  <c r="AG42" i="85"/>
  <c r="F42" i="85" s="1"/>
  <c r="E90" i="85" s="1"/>
  <c r="H39" i="33" s="1"/>
  <c r="AG110" i="72" a="1"/>
  <c r="AG110" i="72" s="1"/>
  <c r="AG45" i="85" s="1"/>
  <c r="F45" i="85" s="1"/>
  <c r="E92" i="85" s="1"/>
  <c r="H41" i="33" s="1"/>
  <c r="AG111" i="72" a="1"/>
  <c r="AG111" i="72" s="1"/>
  <c r="AG46" i="85" s="1"/>
  <c r="F46" i="85" s="1"/>
  <c r="E93" i="85" s="1"/>
  <c r="H42" i="33" s="1"/>
  <c r="AG113" i="72" a="1"/>
  <c r="AG113" i="72" s="1"/>
  <c r="AG48" i="85" s="1"/>
  <c r="F48" i="85" s="1"/>
  <c r="E95" i="85" s="1"/>
  <c r="H44" i="33" s="1"/>
  <c r="AG112" i="72" a="1"/>
  <c r="AG112" i="72" s="1"/>
  <c r="AG47" i="85" s="1"/>
  <c r="F47" i="85" s="1"/>
  <c r="E94" i="85" s="1"/>
  <c r="H43" i="33" s="1"/>
  <c r="AG115" i="72" a="1"/>
  <c r="AG115" i="72" s="1"/>
  <c r="AG78" i="75"/>
  <c r="F79" i="75" s="1" a="1"/>
  <c r="F79" i="75" s="1"/>
  <c r="I13" i="33" s="1"/>
  <c r="F76" i="75"/>
  <c r="F81" i="75" s="1"/>
  <c r="H13" i="33" s="1"/>
  <c r="AG111" i="82" a="1"/>
  <c r="AG111" i="82" s="1"/>
  <c r="AG74" i="85" s="1"/>
  <c r="F74" i="85" s="1"/>
  <c r="G93" i="85" s="1"/>
  <c r="J42" i="33" s="1"/>
  <c r="AG109" i="82" a="1"/>
  <c r="AG109" i="82" s="1"/>
  <c r="AG72" i="85" s="1"/>
  <c r="F72" i="85" s="1"/>
  <c r="G91" i="85" s="1"/>
  <c r="J40" i="33" s="1"/>
  <c r="AG116" i="82" a="1"/>
  <c r="AG116" i="82" s="1"/>
  <c r="AG70" i="85"/>
  <c r="F70" i="85" s="1"/>
  <c r="G90" i="85" s="1"/>
  <c r="J39" i="33" s="1"/>
  <c r="AG115" i="82" a="1"/>
  <c r="AG115" i="82" s="1"/>
  <c r="AG112" i="82" a="1"/>
  <c r="AG112" i="82" s="1"/>
  <c r="AG75" i="85" s="1"/>
  <c r="F75" i="85" s="1"/>
  <c r="G94" i="85" s="1"/>
  <c r="J43" i="33" s="1"/>
  <c r="AG110" i="82" a="1"/>
  <c r="AG110" i="82" s="1"/>
  <c r="AG73" i="85" s="1"/>
  <c r="F73" i="85" s="1"/>
  <c r="G92" i="85" s="1"/>
  <c r="J41" i="33" s="1"/>
  <c r="AG113" i="82" a="1"/>
  <c r="AG113" i="82" s="1"/>
  <c r="AG76" i="85" s="1"/>
  <c r="F76" i="85" s="1"/>
  <c r="G95" i="85" s="1"/>
  <c r="J44" i="33" s="1"/>
  <c r="AG114" i="82" a="1"/>
  <c r="AG114" i="82" s="1"/>
  <c r="AG36" i="75"/>
  <c r="F34" i="75" a="1"/>
  <c r="F34" i="75" s="1"/>
  <c r="F39" i="75" s="1"/>
  <c r="H10" i="33" s="1"/>
  <c r="G42" i="33" l="1"/>
  <c r="I93" i="85"/>
  <c r="K93" i="85" s="1"/>
  <c r="L42" i="33" s="1"/>
  <c r="AG37" i="85"/>
  <c r="F37" i="85" s="1"/>
  <c r="AG35" i="85"/>
  <c r="F35" i="85" s="1"/>
  <c r="AG36" i="85"/>
  <c r="F36" i="85" s="1"/>
  <c r="I92" i="85"/>
  <c r="K92" i="85" s="1"/>
  <c r="L41" i="33" s="1"/>
  <c r="G41" i="33"/>
  <c r="I90" i="85"/>
  <c r="K90" i="85" s="1"/>
  <c r="L39" i="33" s="1"/>
  <c r="G39" i="33"/>
  <c r="AF12" i="85"/>
  <c r="F37" i="75" a="1"/>
  <c r="F37" i="75" s="1"/>
  <c r="I10" i="33" s="1"/>
  <c r="AG51" i="85"/>
  <c r="F51" i="85" s="1"/>
  <c r="AG50" i="85"/>
  <c r="F50" i="85" s="1"/>
  <c r="AG49" i="85"/>
  <c r="F49" i="85" s="1"/>
  <c r="AG63" i="85"/>
  <c r="F63" i="85" s="1"/>
  <c r="AG65" i="85"/>
  <c r="F65" i="85" s="1"/>
  <c r="AG64" i="85"/>
  <c r="F64" i="85" s="1"/>
  <c r="I94" i="85"/>
  <c r="K94" i="85" s="1"/>
  <c r="L43" i="33" s="1"/>
  <c r="G43" i="33"/>
  <c r="G44" i="33"/>
  <c r="I95" i="85"/>
  <c r="K95" i="85" s="1"/>
  <c r="L44" i="33" s="1"/>
  <c r="I91" i="85"/>
  <c r="K91" i="85" s="1"/>
  <c r="L40" i="33" s="1"/>
  <c r="G40" i="33"/>
  <c r="AG77" i="85"/>
  <c r="F77" i="85" s="1"/>
  <c r="AG79" i="85"/>
  <c r="F79" i="85" s="1"/>
  <c r="AG78" i="85"/>
  <c r="F78" i="85" s="1"/>
  <c r="AG40" i="85"/>
  <c r="F51" i="75" a="1"/>
  <c r="F51" i="75" s="1"/>
  <c r="I11" i="33" s="1"/>
  <c r="G18" i="33" l="1"/>
  <c r="D18" i="33" s="1"/>
  <c r="C18" i="33" l="1"/>
  <c r="C26" i="33" s="1"/>
  <c r="F30" i="33" s="1"/>
  <c r="F31" i="33" l="1"/>
  <c r="H31" i="33"/>
  <c r="J30" i="33"/>
  <c r="G31" i="33"/>
  <c r="A91" i="75"/>
  <c r="L91" i="75" s="1" a="1"/>
  <c r="L91" i="75" s="1"/>
  <c r="H30" i="33"/>
  <c r="I31" i="33"/>
  <c r="J31" i="33"/>
  <c r="G30" i="33"/>
  <c r="I30" i="33"/>
  <c r="U91" i="75" a="1"/>
  <c r="U91" i="75" s="1"/>
  <c r="W91" i="75" a="1"/>
  <c r="W91" i="75" s="1"/>
  <c r="N91" i="75" a="1"/>
  <c r="N91" i="75" s="1"/>
  <c r="AC91" i="75" a="1"/>
  <c r="AC91" i="75" s="1"/>
  <c r="X91" i="75" a="1"/>
  <c r="X91" i="75" s="1"/>
  <c r="Y91" i="75" a="1"/>
  <c r="Y91" i="75" s="1"/>
  <c r="AF91" i="75" a="1"/>
  <c r="AF91" i="75" s="1"/>
  <c r="V91" i="75" a="1"/>
  <c r="V91" i="75" s="1"/>
  <c r="R91" i="75" a="1"/>
  <c r="R91" i="75" s="1"/>
  <c r="AB91" i="75" l="1" a="1"/>
  <c r="AB91" i="75" s="1"/>
  <c r="AA91" i="75" a="1"/>
  <c r="AA91" i="75" s="1"/>
  <c r="H91" i="75"/>
  <c r="T91" i="75" a="1"/>
  <c r="T91" i="75" s="1"/>
  <c r="P91" i="75" a="1"/>
  <c r="P91" i="75" s="1"/>
  <c r="M91" i="75" a="1"/>
  <c r="M91" i="75" s="1"/>
  <c r="AE91" i="75" a="1"/>
  <c r="AE91" i="75" s="1"/>
  <c r="AG91" i="75" a="1"/>
  <c r="AG91" i="75" s="1"/>
  <c r="O91" i="75" a="1"/>
  <c r="O91" i="75" s="1"/>
  <c r="L30" i="33"/>
  <c r="I91" i="75" a="1"/>
  <c r="I91" i="75" s="1"/>
  <c r="K91" i="75" a="1"/>
  <c r="K91" i="75" s="1"/>
  <c r="AD91" i="75" a="1"/>
  <c r="AD91" i="75" s="1"/>
  <c r="Z91" i="75" a="1"/>
  <c r="Z91" i="75" s="1"/>
  <c r="S91" i="75" a="1"/>
  <c r="S91" i="75" s="1"/>
  <c r="J91" i="75" a="1"/>
  <c r="J91" i="75" s="1"/>
  <c r="Q91" i="75" a="1"/>
  <c r="Q91" i="75" s="1"/>
  <c r="L31" i="3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<sst xmlns="http://schemas.openxmlformats.org/spreadsheetml/2006/main" count="765" uniqueCount="271">
  <si>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</si>
  <si>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</si>
  <si>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</si>
  <si>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</si>
  <si>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</si>
  <si>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</si>
  <si>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</si>
  <si>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</si>
  <si>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</si>
  <si>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</si>
  <si>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</si>
  <si>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</si>
  <si>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</si>
  <si>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</si>
  <si>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</si>
  <si>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</si>
  <si>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</si>
  <si>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</si>
  <si>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</si>
  <si>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</si>
  <si>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</si>
  <si>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</si>
  <si>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</si>
  <si>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</si>
  <si>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</si>
  <si>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</si>
  <si>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</si>
  <si>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</si>
  <si>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</si>
  <si>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</si>
  <si>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</si>
  <si>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</si>
  <si>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</si>
  <si>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</si>
  <si>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</si>
  <si>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</si>
  <si>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</si>
  <si>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</si>
  <si>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</si>
  <si>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</si>
  <si>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</si>
  <si>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</si>
  <si>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</si>
  <si>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</si>
  <si>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</si>
  <si>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</si>
  <si>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</si>
  <si>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</si>
  <si>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</si>
  <si>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</si>
  <si>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</si>
  <si>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</si>
  <si>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</si>
  <si>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</si>
  <si>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</si>
  <si>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</si>
  <si>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</si>
  <si>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</si>
  <si>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</si>
  <si>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</si>
  <si>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</si>
  <si>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</si>
  <si>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</si>
  <si>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</si>
  <si>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</si>
  <si>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</si>
  <si>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</si>
  <si>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</si>
  <si>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</si>
  <si>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</si>
  <si>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</si>
  <si>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</si>
  <si>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</si>
  <si>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</si>
  <si>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</si>
  <si>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</si>
  <si>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</si>
  <si>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</si>
  <si>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</si>
  <si>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</si>
  <si>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</si>
  <si>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</si>
  <si>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</si>
  <si>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</si>
  <si>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</si>
  <si>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</si>
  <si>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</si>
  <si>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</si>
  <si>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</si>
  <si>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</si>
  <si>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</si>
  <si>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</si>
  <si>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</si>
  <si>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</si>
  <si>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</si>
  <si>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</si>
  <si>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</si>
  <si>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</si>
  <si>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</si>
  <si>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</si>
  <si>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</si>
  <si>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</si>
  <si>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</si>
  <si>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</si>
  <si>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</si>
  <si>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</si>
  <si>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</si>
  <si>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</si>
  <si>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</si>
  <si>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</si>
  <si>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</si>
  <si>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</si>
  <si>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</si>
  <si>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</si>
  <si>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</si>
  <si>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</si>
  <si>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</si>
  <si>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</si>
  <si>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</si>
  <si>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</si>
  <si>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</si>
  <si>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</si>
  <si>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</si>
  <si>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</si>
  <si>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</si>
  <si>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</si>
  <si>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</si>
  <si>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</si>
  <si>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</si>
  <si>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</si>
  <si>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</si>
  <si>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</si>
  <si>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</si>
  <si>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</si>
  <si>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</si>
  <si>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</si>
  <si>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</si>
  <si>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</si>
  <si>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</si>
  <si>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</si>
  <si>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</si>
  <si>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</si>
  <si>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eg. AR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</si>
  <si>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</si>
  <si>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</si>
  <si>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</si>
  <si>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</si>
  <si>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</si>
  <si>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</si>
  <si>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</si>
  <si>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</si>
  <si>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</si>
  <si>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</si>
  <si>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</si>
  <si>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</si>
  <si>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</si>
  <si>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</si>
  <si>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</si>
  <si>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</si>
  <si>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</si>
  <si>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</si>
  <si>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</si>
  <si>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</si>
  <si>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</si>
  <si>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</si>
  <si>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</si>
  <si>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</si>
  <si>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</si>
  <si>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</si>
  <si>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</si>
  <si>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</si>
  <si>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</si>
  <si>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</si>
  <si>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</si>
  <si>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</si>
  <si>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</si>
  <si>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</si>
  <si>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</si>
  <si>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</si>
  <si>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</si>
  <si>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</si>
  <si>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</si>
  <si>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</si>
  <si>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</si>
  <si>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</si>
  <si>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</si>
  <si>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</si>
  <si>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</si>
  <si>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</si>
  <si>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</si>
  <si>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</si>
  <si>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</si>
  <si>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</si>
  <si>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</si>
  <si>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</si>
  <si>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</si>
  <si>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</si>
  <si>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</si>
  <si>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</si>
  <si>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</si>
  <si>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</si>
  <si>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</si>
  <si>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</si>
  <si>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</si>
  <si>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</si>
  <si>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</si>
  <si>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</si>
  <si>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</si>
  <si>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</si>
  <si>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</si>
  <si>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</si>
  <si>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</si>
  <si>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</si>
  <si>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</si>
  <si>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</si>
  <si>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</si>
  <si>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</si>
  <si>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</si>
  <si>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</si>
  <si>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</si>
  <si>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</si>
  <si>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</si>
  <si>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</si>
  <si>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</si>
  <si>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</si>
  <si>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</si>
  <si>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</si>
  <si>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</si>
  <si>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</si>
  <si>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</si>
  <si>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</si>
  <si>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</si>
  <si>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</si>
  <si>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</si>
  <si>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</si>
  <si>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</si>
  <si>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</si>
  <si>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</si>
  <si>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</si>
  <si>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</si>
  <si>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</si>
  <si>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</si>
  <si>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Replace compound filled cable terminations</t>
  </si>
  <si>
    <t>Inspect and replace by priority over 7 years (2% failure rate)</t>
  </si>
  <si>
    <t>Replace over 7 years (3% failure rate)</t>
  </si>
  <si>
    <t>Inspect and replace by priority over 10 years (2% failure rate)</t>
  </si>
  <si>
    <t>Replace over 10 years (3% failure rate)</t>
  </si>
  <si>
    <t>Replace Failed Cable Boxes under Faults Capex</t>
  </si>
  <si>
    <t>WORKINGS - COSTS</t>
  </si>
  <si>
    <t xml:space="preserve">Assets replaced </t>
  </si>
  <si>
    <t>WORKINGS - RISKS</t>
  </si>
  <si>
    <t>Default Feeder MVA</t>
  </si>
  <si>
    <t>Minutes</t>
  </si>
  <si>
    <t>Average NP Consequence Modifier</t>
  </si>
  <si>
    <t>Environmental Consequence</t>
  </si>
  <si>
    <t>Safety Consequence</t>
  </si>
  <si>
    <t>Customer Claims</t>
  </si>
  <si>
    <t>Total Assets</t>
  </si>
  <si>
    <t>Customer claims</t>
  </si>
  <si>
    <t>Average outage duration</t>
  </si>
  <si>
    <t>Load at risk</t>
  </si>
  <si>
    <t>Assets remaining to be replaced</t>
  </si>
  <si>
    <t>Replace Cable Boxes under program</t>
  </si>
  <si>
    <t>Replacement cost each</t>
  </si>
  <si>
    <t>Failure rate</t>
  </si>
  <si>
    <t>Failures</t>
  </si>
  <si>
    <t>Faults capex</t>
  </si>
  <si>
    <t xml:space="preserve">Cables CBRM Model </t>
  </si>
  <si>
    <t>Number of failures</t>
  </si>
  <si>
    <t>FLAGS</t>
  </si>
  <si>
    <t>Metal box terminations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</si>
</sst>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&quot;$&quot;&quot;m&quot;\ mmm\ yyyy"/>
    <numFmt numFmtId="188" formatCode="\+0%;[Red]\ \ \-0%;\ &quot;-&quot;"/>
    <numFmt numFmtId="189" formatCode="#,##0.00_ ;[Red]\-#,##0.00\ "/>
    <numFmt numFmtId="190" formatCode="#,##0.0;[Red]\ \-#,##0.0;\ &quot;&quot;"/>
    <numFmt numFmtId="191" formatCode="0.000000000000000"/>
    <numFmt numFmtId="192" formatCode="0%;[Red]\ \ \-0%;\ &quot;-&quot;"/>
    <numFmt numFmtId="193" formatCode="dd\ mmmm\ yyyy"/>
    <numFmt numFmtId="194" formatCode="mmm\ yyyy"/>
    <numFmt numFmtId="195" formatCode="0.0"/>
  </numFmts>
  <fonts count="97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b/>
      <sz val="14"/>
      <color theme="1"/>
      <name val="Calibri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indexed="9"/>
      <name val="Calibri"/>
      <family val="2"/>
    </font>
    <font>
      <sz val="9"/>
      <color indexed="9"/>
      <name val="Calibri"/>
      <family val="2"/>
    </font>
    <font>
      <sz val="10"/>
      <color rgb="FFFFFF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52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7" fontId="15" fillId="0" borderId="7" xfId="18" applyNumberFormat="1" applyFill="1" applyBorder="1" applyAlignment="1">
      <alignment horizontal="center"/>
    </xf>
    <xf numFmtId="187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8" fontId="15" fillId="0" borderId="0" xfId="18" applyNumberFormat="1"/>
    <xf numFmtId="189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8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0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0" fontId="16" fillId="0" borderId="11" xfId="18" applyNumberFormat="1" applyFont="1" applyBorder="1" applyAlignment="1">
      <alignment horizontal="right" vertical="center"/>
    </xf>
    <xf numFmtId="190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0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0" fontId="81" fillId="0" borderId="14" xfId="0" applyNumberFormat="1" applyFont="1" applyFill="1" applyBorder="1" applyAlignment="1">
      <alignment horizontal="center"/>
    </xf>
    <xf numFmtId="187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1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2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8" fontId="27" fillId="2" borderId="0" xfId="23" applyNumberFormat="1" applyAlignment="1">
      <alignment horizontal="right"/>
    </xf>
    <xf numFmtId="188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3" fontId="88" fillId="0" borderId="0" xfId="20" applyNumberFormat="1" applyFont="1" applyAlignment="1">
      <alignment horizontal="left"/>
    </xf>
    <xf numFmtId="0" fontId="89" fillId="0" borderId="0" xfId="20" applyFont="1"/>
    <xf numFmtId="0" fontId="90" fillId="0" borderId="0" xfId="18" applyFont="1"/>
    <xf numFmtId="0" fontId="24" fillId="17" borderId="0" xfId="18" applyFont="1" applyFill="1" applyAlignment="1">
      <alignment vertical="center"/>
    </xf>
    <xf numFmtId="0" fontId="91" fillId="0" borderId="0" xfId="0" applyFont="1"/>
    <xf numFmtId="0" fontId="27" fillId="2" borderId="0" xfId="23" applyNumberFormat="1"/>
    <xf numFmtId="167" fontId="27" fillId="2" borderId="0" xfId="18" applyNumberFormat="1" applyFont="1" applyFill="1" applyBorder="1" applyAlignment="1">
      <alignment horizontal="right" vertical="center"/>
    </xf>
    <xf numFmtId="0" fontId="92" fillId="0" borderId="0" xfId="0" applyFont="1"/>
    <xf numFmtId="0" fontId="93" fillId="0" borderId="0" xfId="0" applyFont="1"/>
    <xf numFmtId="0" fontId="27" fillId="2" borderId="0" xfId="23" applyNumberFormat="1" applyFont="1"/>
    <xf numFmtId="167" fontId="27" fillId="2" borderId="0" xfId="23" applyNumberFormat="1" applyAlignment="1">
      <alignment horizontal="right" vertical="center"/>
    </xf>
    <xf numFmtId="9" fontId="27" fillId="2" borderId="0" xfId="18" applyNumberFormat="1" applyFont="1" applyFill="1" applyBorder="1" applyAlignment="1">
      <alignment horizontal="right" vertical="center"/>
    </xf>
    <xf numFmtId="0" fontId="21" fillId="0" borderId="8" xfId="22" applyNumberFormat="1">
      <alignment horizontal="right"/>
    </xf>
    <xf numFmtId="179" fontId="27" fillId="2" borderId="8" xfId="18" applyNumberFormat="1" applyFont="1" applyFill="1" applyBorder="1" applyAlignment="1">
      <alignment horizontal="right" vertical="center"/>
    </xf>
    <xf numFmtId="9" fontId="27" fillId="2" borderId="0" xfId="23" applyNumberFormat="1"/>
    <xf numFmtId="195" fontId="21" fillId="0" borderId="8" xfId="22" applyNumberFormat="1">
      <alignment horizontal="right"/>
    </xf>
    <xf numFmtId="194" fontId="94" fillId="10" borderId="0" xfId="16" applyNumberFormat="1" applyFont="1" applyFill="1" applyAlignment="1">
      <alignment horizontal="right"/>
    </xf>
    <xf numFmtId="194" fontId="95" fillId="10" borderId="0" xfId="16" applyNumberFormat="1" applyFont="1" applyFill="1" applyAlignment="1">
      <alignment horizontal="right"/>
    </xf>
    <xf numFmtId="194" fontId="96" fillId="15" borderId="0" xfId="18" applyNumberFormat="1" applyFont="1" applyFill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4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19050</xdr:rowOff>
    </xdr:from>
    <xdr:to>
      <xdr:col>10</xdr:col>
      <xdr:colOff>301250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4"/>
    </row>
    <row r="2" spans="1:19" ht="23.25" x14ac:dyDescent="0.35">
      <c r="A2" s="314"/>
      <c r="C2" s="315" t="s">
        <v>42</v>
      </c>
      <c r="D2" s="316"/>
      <c r="E2" s="316"/>
    </row>
    <row r="3" spans="1:19" ht="15.75" x14ac:dyDescent="0.25">
      <c r="A3" s="314"/>
      <c r="C3" s="317" t="s">
        <v>240</v>
      </c>
      <c r="D3" s="316"/>
      <c r="E3" s="316"/>
    </row>
    <row r="4" spans="1:19" x14ac:dyDescent="0.25">
      <c r="A4" s="314"/>
      <c r="D4" s="316"/>
      <c r="E4" s="316"/>
    </row>
    <row r="5" spans="1:19" x14ac:dyDescent="0.25">
      <c r="A5" s="314"/>
      <c r="C5" s="318" t="s">
        <v>270</v>
      </c>
    </row>
    <row r="6" spans="1:19" x14ac:dyDescent="0.25">
      <c r="A6" s="314"/>
      <c r="C6" s="319" t="s">
        <v>241</v>
      </c>
      <c r="D6" s="351">
        <v>4.1500000000000004</v>
      </c>
      <c r="E6" s="319"/>
    </row>
    <row r="7" spans="1:19" x14ac:dyDescent="0.25">
      <c r="A7" s="314"/>
      <c r="F7" s="320"/>
      <c r="G7" s="320"/>
      <c r="H7" s="320"/>
      <c r="J7" s="320"/>
      <c r="K7" s="320"/>
      <c r="L7" s="320"/>
      <c r="M7" s="320"/>
      <c r="N7" s="320"/>
      <c r="O7" s="320"/>
      <c r="P7" s="320"/>
      <c r="Q7" s="320"/>
      <c r="R7" s="320"/>
      <c r="S7" s="320"/>
    </row>
    <row r="8" spans="1:19" x14ac:dyDescent="0.25">
      <c r="A8" s="314"/>
      <c r="C8" s="321">
        <v>45688</v>
      </c>
      <c r="F8" s="320"/>
      <c r="G8" s="320"/>
      <c r="H8" s="320"/>
      <c r="J8" s="320"/>
      <c r="K8" s="320"/>
      <c r="L8" s="320"/>
      <c r="M8" s="320"/>
      <c r="N8" s="320"/>
      <c r="O8" s="320"/>
      <c r="P8" s="320"/>
      <c r="Q8" s="320"/>
      <c r="R8" s="320"/>
      <c r="S8" s="320"/>
    </row>
    <row r="9" spans="1:19" x14ac:dyDescent="0.25">
      <c r="A9" s="314"/>
      <c r="C9" s="322"/>
      <c r="D9" s="322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1:19" x14ac:dyDescent="0.25">
      <c r="A10" s="314"/>
      <c r="C10" s="322"/>
      <c r="D10" s="322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</row>
    <row r="11" spans="1:19" x14ac:dyDescent="0.25">
      <c r="A11" s="314"/>
      <c r="C11" s="322"/>
      <c r="D11" s="3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</row>
    <row r="12" spans="1:19" x14ac:dyDescent="0.25">
      <c r="A12" s="314"/>
      <c r="C12" s="322"/>
      <c r="D12" s="322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3" spans="1:19" x14ac:dyDescent="0.25">
      <c r="A13" s="314"/>
      <c r="C13" s="322"/>
      <c r="D13" s="322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</row>
    <row r="14" spans="1:19" x14ac:dyDescent="0.25">
      <c r="A14" s="314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</row>
    <row r="15" spans="1:19" x14ac:dyDescent="0.25">
      <c r="A15" s="314"/>
      <c r="C15" s="318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</row>
    <row r="16" spans="1:19" x14ac:dyDescent="0.25">
      <c r="A16" s="314"/>
      <c r="C16" s="318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</row>
    <row r="17" spans="1:19" x14ac:dyDescent="0.25">
      <c r="A17" s="314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</row>
    <row r="18" spans="1:19" x14ac:dyDescent="0.25">
      <c r="A18" s="314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</row>
    <row r="19" spans="1:19" x14ac:dyDescent="0.25">
      <c r="A19" s="314"/>
      <c r="C19" s="320"/>
      <c r="D19" s="320"/>
      <c r="E19" s="320"/>
      <c r="F19" s="320"/>
      <c r="G19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</row>
    <row r="20" spans="1:19" x14ac:dyDescent="0.25">
      <c r="A20" s="314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</row>
    <row r="21" spans="1:19" x14ac:dyDescent="0.25">
      <c r="A21" s="314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</row>
    <row r="22" spans="1:19" x14ac:dyDescent="0.25">
      <c r="A22" s="314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</row>
    <row r="23" spans="1:19" x14ac:dyDescent="0.25">
      <c r="A23" s="314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</row>
    <row r="24" spans="1:19" x14ac:dyDescent="0.25">
      <c r="A24" s="314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19" x14ac:dyDescent="0.25">
      <c r="A25" s="314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</row>
    <row r="26" spans="1:19" x14ac:dyDescent="0.25">
      <c r="A26" s="314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</row>
    <row r="27" spans="1:19" x14ac:dyDescent="0.25">
      <c r="A27" s="314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</row>
    <row r="28" spans="1:19" x14ac:dyDescent="0.25">
      <c r="A28" s="314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</row>
    <row r="29" spans="1:19" x14ac:dyDescent="0.25">
      <c r="A29" s="314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</row>
    <row r="30" spans="1:19" x14ac:dyDescent="0.25">
      <c r="A30" s="314"/>
      <c r="C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</row>
    <row r="31" spans="1:19" x14ac:dyDescent="0.25">
      <c r="A31" s="314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</row>
    <row r="32" spans="1:19" x14ac:dyDescent="0.25">
      <c r="A32" s="314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1:19" x14ac:dyDescent="0.25">
      <c r="A33" s="314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</row>
    <row r="34" spans="1:19" x14ac:dyDescent="0.25">
      <c r="A34" s="314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</row>
    <row r="35" spans="1:19" x14ac:dyDescent="0.25">
      <c r="A35" s="314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</row>
    <row r="36" spans="1:19" x14ac:dyDescent="0.25">
      <c r="A36" s="314"/>
    </row>
    <row r="37" spans="1:19" x14ac:dyDescent="0.25">
      <c r="A37" s="314"/>
    </row>
    <row r="38" spans="1:19" x14ac:dyDescent="0.25">
      <c r="A38" s="314"/>
    </row>
    <row r="39" spans="1:19" x14ac:dyDescent="0.25">
      <c r="A39" s="314"/>
    </row>
    <row r="40" spans="1:19" x14ac:dyDescent="0.25">
      <c r="A40" s="314">
        <f ca="1">_xlfn.SHEETS()</f>
        <v>14</v>
      </c>
    </row>
    <row r="41" spans="1:19" x14ac:dyDescent="0.25">
      <c r="A41" s="314"/>
    </row>
  </sheetData>
  <conditionalFormatting sqref="C5">
    <cfRule type="expression" dxfId="23" priority="2">
      <formula>LEFT(C5,1)="&lt;"</formula>
    </cfRule>
  </conditionalFormatting>
  <conditionalFormatting sqref="D6">
    <cfRule type="expression" dxfId="22" priority="1">
      <formula>LEFT(D6,1)="&lt;"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Replace compound filled cable terminations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5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187</v>
      </c>
      <c r="H7" s="155" t="s">
        <v>188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6">
        <f>output_dollars</f>
        <v>46203</v>
      </c>
      <c r="H8" s="186">
        <f>output_dollars</f>
        <v>46203</v>
      </c>
      <c r="I8" s="186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41" t="str">
        <f>INDEX(Assumptions!$E$14:$E$18, MATCH(C9, Assumptions!$C$14:$C$18,0))</f>
        <v>No change to existing practices</v>
      </c>
      <c r="E9" s="342"/>
      <c r="F9" s="342"/>
      <c r="G9" s="103">
        <f>IF(Data!$C9, "", INDEX(Consol!$F$15:$F$82, MATCH($C9&amp;G$7, Consol!$D$15:$D$82,0))/mill_conv)</f>
        <v>-1.8895000183086159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-1.3847059836077611</v>
      </c>
    </row>
    <row r="10" spans="1:13" s="7" customFormat="1" ht="12.75" customHeight="1" x14ac:dyDescent="0.2">
      <c r="C10" s="91" t="str">
        <v>Option 2</v>
      </c>
      <c r="D10" s="343" t="str">
        <f>INDEX(Assumptions!$E$14:$E$18, MATCH(C10, Assumptions!$C$14:$C$18,0))</f>
        <v>Inspect and replace by priority over 7 years (2% failure rate)</v>
      </c>
      <c r="E10" s="344"/>
      <c r="F10" s="344"/>
      <c r="G10" s="103">
        <f>IF(Data!$C10, "", INDEX(Consol!$F$15:$F$82, MATCH($C10&amp;G$7, Consol!$D$15:$D$82,0))/mill_conv)</f>
        <v>-8.6115479555572456</v>
      </c>
      <c r="H10" s="103">
        <f>IF(Data!$C10, "", INDEX(Consol!$F$15:$F$82, MATCH($C10&amp;H$7, Consol!$D$15:$D$82,0))/mill_conv)</f>
        <v>18.450380975133779</v>
      </c>
      <c r="I10" s="103">
        <f>IF(Data!$C10, "", INDEX(Consol!$F$15:$F$82, MATCH($C10&amp;I$7, Consol!$D$15:$D$82,0))/mill_conv)</f>
        <v>9.8388330195765388</v>
      </c>
    </row>
    <row r="11" spans="1:13" s="7" customFormat="1" ht="12.75" x14ac:dyDescent="0.2">
      <c r="C11" s="91" t="str">
        <v>Option 3</v>
      </c>
      <c r="D11" s="343" t="str">
        <f>INDEX(Assumptions!$E$14:$E$18, MATCH(C11, Assumptions!$C$14:$C$18,0))</f>
        <v>Replace over 7 years (3% failure rate)</v>
      </c>
      <c r="E11" s="344"/>
      <c r="F11" s="344"/>
      <c r="G11" s="103">
        <f>IF(Data!$C11, "", INDEX(Consol!$F$15:$F$82, MATCH($C11&amp;G$7, Consol!$D$15:$D$82,0))/mill_conv)</f>
        <v>-8.5636671481991513</v>
      </c>
      <c r="H11" s="103">
        <f>IF(Data!$C11, "", INDEX(Consol!$F$15:$F$82, MATCH($C11&amp;H$7, Consol!$D$15:$D$82,0))/mill_conv)</f>
        <v>16.278030605485252</v>
      </c>
      <c r="I11" s="103">
        <f>IF(Data!$C11, "", INDEX(Consol!$F$15:$F$82, MATCH($C11&amp;I$7, Consol!$D$15:$D$82,0))/mill_conv)</f>
        <v>7.7143634572861011</v>
      </c>
    </row>
    <row r="12" spans="1:13" s="7" customFormat="1" ht="12.75" x14ac:dyDescent="0.2">
      <c r="C12" s="91" t="str">
        <v>Option 4</v>
      </c>
      <c r="D12" s="343" t="str">
        <f>INDEX(Assumptions!$E$14:$E$18, MATCH(C12, Assumptions!$C$14:$C$18,0))</f>
        <v>Inspect and replace by priority over 10 years (2% failure rate)</v>
      </c>
      <c r="E12" s="344"/>
      <c r="F12" s="344"/>
      <c r="G12" s="103">
        <f>IF(Data!$C12, "", INDEX(Consol!$F$15:$F$82, MATCH($C12&amp;G$7, Consol!$D$15:$D$82,0))/mill_conv)</f>
        <v>-7.7549010021724349</v>
      </c>
      <c r="H12" s="103">
        <f>IF(Data!$C12, "", INDEX(Consol!$F$15:$F$82, MATCH($C12&amp;H$7, Consol!$D$15:$D$82,0))/mill_conv)</f>
        <v>17.146742145517923</v>
      </c>
      <c r="I12" s="103">
        <f>IF(Data!$C12, "", INDEX(Consol!$F$15:$F$82, MATCH($C12&amp;I$7, Consol!$D$15:$D$82,0))/mill_conv)</f>
        <v>9.3918411433454896</v>
      </c>
    </row>
    <row r="13" spans="1:13" s="7" customFormat="1" ht="12.75" x14ac:dyDescent="0.2">
      <c r="C13" s="91" t="str">
        <v>Option 5</v>
      </c>
      <c r="D13" s="343" t="str">
        <f>INDEX(Assumptions!$E$14:$E$18, MATCH(C13, Assumptions!$C$14:$C$18,0))</f>
        <v>Replace over 10 years (3% failure rate)</v>
      </c>
      <c r="E13" s="344"/>
      <c r="F13" s="344"/>
      <c r="G13" s="103">
        <f>IF(Data!$C13, "", INDEX(Consol!$F$15:$F$82, MATCH($C13&amp;G$7, Consol!$D$15:$D$82,0))/mill_conv)</f>
        <v>-7.7488171288636503</v>
      </c>
      <c r="H13" s="103">
        <f>IF(Data!$C13, "", INDEX(Consol!$F$15:$F$82, MATCH($C13&amp;H$7, Consol!$D$15:$D$82,0))/mill_conv)</f>
        <v>14.651981202528097</v>
      </c>
      <c r="I13" s="103">
        <f>IF(Data!$C13, "", INDEX(Consol!$F$15:$F$82, MATCH($C13&amp;I$7, Consol!$D$15:$D$82,0))/mill_conv)</f>
        <v>6.9031640736644508</v>
      </c>
    </row>
    <row r="14" spans="1:13" s="7" customFormat="1" ht="12.75" x14ac:dyDescent="0.2">
      <c r="C14" s="91"/>
      <c r="D14" s="250"/>
      <c r="E14" s="250"/>
      <c r="F14" s="244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6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40" t="str">
        <f>INDEX($D$9:$D$13,MATCH(G18, $I$9:$I$13,0))</f>
        <v>Inspect and replace by priority over 7 years (2% failure rate)</v>
      </c>
      <c r="E18" s="340"/>
      <c r="F18" s="340"/>
      <c r="G18" s="104">
        <f>_xlfn.MAXIFS(I9:I13, IF(compliance, Data!$F$9:$F$13, Data!$C$9:$C$13),FALSE)</f>
        <v>9.8388330195765388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2">
        <f>output_dollars</f>
        <v>46203</v>
      </c>
      <c r="E29" s="187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2.854620938058571</v>
      </c>
      <c r="G30" s="105">
        <f>-INDEX(Consol!J$15:J$82,MATCH($C$26&amp;$C30,Consol!$D$15:$D$82,0))/mill_conv</f>
        <v>2.854620938058571</v>
      </c>
      <c r="H30" s="105">
        <f>-INDEX(Consol!K$15:K$82,MATCH($C$26&amp;$C30,Consol!$D$15:$D$82,0))/mill_conv</f>
        <v>2.793410742505658</v>
      </c>
      <c r="I30" s="105">
        <f>-INDEX(Consol!L$15:L$82,MATCH($C$26&amp;$C30,Consol!$D$15:$D$82,0))/mill_conv</f>
        <v>2.793410742505658</v>
      </c>
      <c r="J30" s="105">
        <f>-INDEX(Consol!M$15:M$82,MATCH($C$26&amp;$C30,Consol!$D$15:$D$82,0))/mill_conv</f>
        <v>2.7322005469527455</v>
      </c>
      <c r="K30" s="188"/>
      <c r="L30" s="188">
        <f>SUM(F30:J30)</f>
        <v>14.028263908081204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88"/>
      <c r="L31" s="188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</row>
    <row r="38" spans="1:13" s="8" customFormat="1" ht="12.75" x14ac:dyDescent="0.2">
      <c r="C38" s="260" t="s">
        <v>220</v>
      </c>
      <c r="D38" s="187">
        <f>output_dollars</f>
        <v>46203</v>
      </c>
      <c r="E38" s="187"/>
      <c r="F38" s="261" t="str">
        <f>Sensitivity_calcs!C89</f>
        <v>Option 1 (base case)</v>
      </c>
      <c r="G38" s="261" t="str">
        <f>Sensitivity_calcs!D89</f>
        <v>Option 2</v>
      </c>
      <c r="H38" s="261" t="str">
        <f>Sensitivity_calcs!E89</f>
        <v>Option 3</v>
      </c>
      <c r="I38" s="261" t="str">
        <f>Sensitivity_calcs!F89</f>
        <v>Option 4</v>
      </c>
      <c r="J38" s="261" t="str">
        <f>Sensitivity_calcs!G89</f>
        <v>Option 5</v>
      </c>
      <c r="K38" s="265"/>
      <c r="L38" s="290" t="s">
        <v>218</v>
      </c>
      <c r="M38" s="265"/>
    </row>
    <row r="39" spans="1:13" s="8" customFormat="1" ht="12.75" x14ac:dyDescent="0.2">
      <c r="C39" s="288" t="str">
        <f>Sensitivity_calcs!B90</f>
        <v>None</v>
      </c>
      <c r="D39" s="268"/>
      <c r="E39" s="268"/>
      <c r="F39" s="289">
        <f>Sensitivity_calcs!C90</f>
        <v>-1.9556325189494175</v>
      </c>
      <c r="G39" s="289">
        <f>Sensitivity_calcs!D90</f>
        <v>9.8388330195765388</v>
      </c>
      <c r="H39" s="289">
        <f>Sensitivity_calcs!E90</f>
        <v>7.7143634572861011</v>
      </c>
      <c r="I39" s="289">
        <f>Sensitivity_calcs!F90</f>
        <v>9.3918411433454878</v>
      </c>
      <c r="J39" s="289">
        <f>Sensitivity_calcs!G90</f>
        <v>6.90316407366445</v>
      </c>
      <c r="K39" s="259"/>
      <c r="L39" s="291" t="str">
        <f>Sensitivity_calcs!K90</f>
        <v>Option 2</v>
      </c>
      <c r="M39" s="259"/>
    </row>
    <row r="40" spans="1:13" s="8" customFormat="1" ht="12.75" x14ac:dyDescent="0.2">
      <c r="C40" s="267" t="str">
        <f>Sensitivity_calcs!B91</f>
        <v>Capex 10% higher</v>
      </c>
      <c r="D40" s="267"/>
      <c r="E40" s="267"/>
      <c r="F40" s="281">
        <f>Sensitivity_calcs!C91</f>
        <v>-1.523176581968537</v>
      </c>
      <c r="G40" s="276">
        <f>Sensitivity_calcs!D91</f>
        <v>8.9776782240208171</v>
      </c>
      <c r="H40" s="276">
        <f>Sensitivity_calcs!E91</f>
        <v>6.8579967424661854</v>
      </c>
      <c r="I40" s="276">
        <f>Sensitivity_calcs!F91</f>
        <v>8.616351043128244</v>
      </c>
      <c r="J40" s="276">
        <f>Sensitivity_calcs!G91</f>
        <v>6.1282823607780852</v>
      </c>
      <c r="K40" s="259"/>
      <c r="L40" s="284" t="str">
        <f>Sensitivity_calcs!K91</f>
        <v>Option 2</v>
      </c>
      <c r="M40" s="259"/>
    </row>
    <row r="41" spans="1:13" s="8" customFormat="1" ht="12.75" x14ac:dyDescent="0.2">
      <c r="C41" s="267" t="str">
        <f>Sensitivity_calcs!B92</f>
        <v>Capex 10% lower</v>
      </c>
      <c r="D41" s="267"/>
      <c r="E41" s="267"/>
      <c r="F41" s="282">
        <f>Sensitivity_calcs!C92</f>
        <v>-1.246235385246985</v>
      </c>
      <c r="G41" s="277">
        <f>Sensitivity_calcs!D92</f>
        <v>10.69998781513226</v>
      </c>
      <c r="H41" s="277">
        <f>Sensitivity_calcs!E92</f>
        <v>8.5707301721060141</v>
      </c>
      <c r="I41" s="277">
        <f>Sensitivity_calcs!F92</f>
        <v>10.167331243562733</v>
      </c>
      <c r="J41" s="277">
        <f>Sensitivity_calcs!G92</f>
        <v>7.6780457865508147</v>
      </c>
      <c r="K41" s="259"/>
      <c r="L41" s="284" t="str">
        <f>Sensitivity_calcs!K92</f>
        <v>Option 2</v>
      </c>
      <c r="M41" s="259"/>
    </row>
    <row r="42" spans="1:13" s="8" customFormat="1" ht="12.75" x14ac:dyDescent="0.2">
      <c r="C42" s="267" t="str">
        <f>Sensitivity_calcs!B93</f>
        <v>Total benefits 10% higher</v>
      </c>
      <c r="D42" s="267"/>
      <c r="E42" s="267"/>
      <c r="F42" s="282">
        <f>Sensitivity_calcs!C93</f>
        <v>-1.3847059836077611</v>
      </c>
      <c r="G42" s="277">
        <f>Sensitivity_calcs!D93</f>
        <v>11.683871117089915</v>
      </c>
      <c r="H42" s="277">
        <f>Sensitivity_calcs!E93</f>
        <v>9.3421665178346238</v>
      </c>
      <c r="I42" s="277">
        <f>Sensitivity_calcs!F93</f>
        <v>11.106515357897282</v>
      </c>
      <c r="J42" s="277">
        <f>Sensitivity_calcs!G93</f>
        <v>8.3683621939172603</v>
      </c>
      <c r="K42" s="259"/>
      <c r="L42" s="284" t="str">
        <f>Sensitivity_calcs!K93</f>
        <v>Option 2</v>
      </c>
      <c r="M42" s="259"/>
    </row>
    <row r="43" spans="1:13" s="8" customFormat="1" ht="12.75" x14ac:dyDescent="0.2">
      <c r="C43" s="267" t="str">
        <f>Sensitivity_calcs!B94</f>
        <v>Total benefits 10% lower</v>
      </c>
      <c r="D43" s="267"/>
      <c r="E43" s="267"/>
      <c r="F43" s="282">
        <f>Sensitivity_calcs!C94</f>
        <v>-1.3847059836077611</v>
      </c>
      <c r="G43" s="277">
        <f>Sensitivity_calcs!D94</f>
        <v>7.9937949220631568</v>
      </c>
      <c r="H43" s="277">
        <f>Sensitivity_calcs!E94</f>
        <v>6.0865603967375748</v>
      </c>
      <c r="I43" s="277">
        <f>Sensitivity_calcs!F94</f>
        <v>7.6771669287936968</v>
      </c>
      <c r="J43" s="277">
        <f>Sensitivity_calcs!G94</f>
        <v>5.4379659534116387</v>
      </c>
      <c r="K43" s="259"/>
      <c r="L43" s="284" t="str">
        <f>Sensitivity_calcs!K94</f>
        <v>Option 2</v>
      </c>
      <c r="M43" s="259"/>
    </row>
    <row r="44" spans="1:13" s="8" customFormat="1" ht="12.75" x14ac:dyDescent="0.2">
      <c r="C44" s="267" t="str">
        <f>Sensitivity_calcs!B95</f>
        <v>Capex 10% higher &amp; Total benefits 10% lower</v>
      </c>
      <c r="D44" s="267"/>
      <c r="E44" s="267"/>
      <c r="F44" s="282">
        <f>Sensitivity_calcs!C95</f>
        <v>-1.523176581968537</v>
      </c>
      <c r="G44" s="277">
        <f>Sensitivity_calcs!D95</f>
        <v>7.1326401265074351</v>
      </c>
      <c r="H44" s="277">
        <f>Sensitivity_calcs!E95</f>
        <v>5.2301936819176591</v>
      </c>
      <c r="I44" s="277">
        <f>Sensitivity_calcs!F95</f>
        <v>6.9016768285764538</v>
      </c>
      <c r="J44" s="277">
        <f>Sensitivity_calcs!G95</f>
        <v>4.6630842405252748</v>
      </c>
      <c r="K44" s="259"/>
      <c r="L44" s="284" t="str">
        <f>Sensitivity_calcs!K95</f>
        <v>Option 2</v>
      </c>
      <c r="M44" s="259"/>
    </row>
    <row r="45" spans="1:13" s="8" customFormat="1" ht="12.75" x14ac:dyDescent="0.2">
      <c r="C45" s="267">
        <f>Sensitivity_calcs!B96</f>
        <v>0</v>
      </c>
      <c r="D45" s="267"/>
      <c r="E45" s="267"/>
      <c r="F45" s="282" t="str">
        <f>Sensitivity_calcs!C96</f>
        <v/>
      </c>
      <c r="G45" s="277" t="str">
        <f>Sensitivity_calcs!D96</f>
        <v/>
      </c>
      <c r="H45" s="277" t="str">
        <f>Sensitivity_calcs!E96</f>
        <v/>
      </c>
      <c r="I45" s="277" t="str">
        <f>Sensitivity_calcs!F96</f>
        <v/>
      </c>
      <c r="J45" s="277" t="str">
        <f>Sensitivity_calcs!G96</f>
        <v/>
      </c>
      <c r="K45" s="259"/>
      <c r="L45" s="284" t="str">
        <f>Sensitivity_calcs!K96</f>
        <v/>
      </c>
      <c r="M45" s="259"/>
    </row>
    <row r="46" spans="1:13" s="8" customFormat="1" ht="12.75" x14ac:dyDescent="0.2">
      <c r="C46" s="267">
        <f>Sensitivity_calcs!B97</f>
        <v>0</v>
      </c>
      <c r="D46" s="262"/>
      <c r="E46" s="262"/>
      <c r="F46" s="282" t="str">
        <f>Sensitivity_calcs!C97</f>
        <v/>
      </c>
      <c r="G46" s="277" t="str">
        <f>Sensitivity_calcs!D97</f>
        <v/>
      </c>
      <c r="H46" s="277" t="str">
        <f>Sensitivity_calcs!E97</f>
        <v/>
      </c>
      <c r="I46" s="277" t="str">
        <f>Sensitivity_calcs!F97</f>
        <v/>
      </c>
      <c r="J46" s="277" t="str">
        <f>Sensitivity_calcs!G97</f>
        <v/>
      </c>
      <c r="K46" s="269">
        <f>IF(C46=0,0, INDEX($F$38:$J$38, MATCH(MAX($F46:$I46),$F46:$I46,0)))</f>
        <v>0</v>
      </c>
      <c r="L46" s="284" t="str">
        <f>Sensitivity_calcs!K97</f>
        <v/>
      </c>
    </row>
    <row r="47" spans="1:13" s="8" customFormat="1" ht="12.75" x14ac:dyDescent="0.2">
      <c r="D47" s="267">
        <f>Sensitivity_calcs!B98</f>
        <v>0</v>
      </c>
      <c r="E47" s="267"/>
      <c r="F47" s="282" t="str">
        <f>Sensitivity_calcs!C98</f>
        <v/>
      </c>
      <c r="G47" s="277" t="str">
        <f>Sensitivity_calcs!D98</f>
        <v/>
      </c>
      <c r="H47" s="277" t="str">
        <f>Sensitivity_calcs!E98</f>
        <v/>
      </c>
      <c r="I47" s="277" t="str">
        <f>Sensitivity_calcs!F98</f>
        <v/>
      </c>
      <c r="J47" s="277" t="str">
        <f>Sensitivity_calcs!G98</f>
        <v/>
      </c>
      <c r="K47" s="259"/>
      <c r="L47" s="284" t="str">
        <f>Sensitivity_calcs!K98</f>
        <v/>
      </c>
      <c r="M47" s="259"/>
    </row>
    <row r="48" spans="1:13" s="8" customFormat="1" ht="12.75" x14ac:dyDescent="0.2">
      <c r="D48" s="267">
        <f>Sensitivity_calcs!B99</f>
        <v>0</v>
      </c>
      <c r="E48" s="267"/>
      <c r="F48" s="283"/>
      <c r="G48" s="105"/>
      <c r="H48" s="105"/>
      <c r="I48" s="105"/>
      <c r="J48" s="105"/>
      <c r="K48" s="259"/>
      <c r="L48" s="259"/>
    </row>
    <row r="49" spans="4:10" s="8" customFormat="1" ht="12.75" x14ac:dyDescent="0.2">
      <c r="F49" s="266"/>
      <c r="G49" s="105"/>
      <c r="H49" s="105"/>
      <c r="I49" s="105"/>
      <c r="J49" s="105"/>
    </row>
    <row r="50" spans="4:10" s="8" customFormat="1" ht="12.75" x14ac:dyDescent="0.2">
      <c r="F50" s="266"/>
      <c r="G50" s="266"/>
      <c r="H50" s="266"/>
      <c r="I50" s="266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7"/>
      <c r="E53" s="247"/>
      <c r="F53" s="247"/>
    </row>
    <row r="54" spans="4:10" s="8" customFormat="1" ht="12.75" x14ac:dyDescent="0.2">
      <c r="D54" s="247"/>
      <c r="E54" s="247"/>
      <c r="F54" s="247"/>
    </row>
    <row r="55" spans="4:10" s="8" customFormat="1" ht="12.75" hidden="1" x14ac:dyDescent="0.2">
      <c r="D55" s="247"/>
      <c r="E55" s="247"/>
      <c r="F55" s="247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C4" sqref="C4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Replace compound filled cable terminations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8" t="s">
        <v>242</v>
      </c>
      <c r="F8" s="348"/>
      <c r="G8" s="348"/>
      <c r="H8" s="348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9" t="s">
        <v>58</v>
      </c>
      <c r="F14" s="349"/>
      <c r="G14" s="349"/>
      <c r="H14" s="349"/>
      <c r="I14" s="349"/>
      <c r="J14" s="349"/>
      <c r="K14" s="349"/>
      <c r="L14"/>
    </row>
    <row r="15" spans="1:16" s="1" customFormat="1" ht="12.75" customHeight="1" x14ac:dyDescent="0.2">
      <c r="C15" s="61" t="str">
        <v>Option 2</v>
      </c>
      <c r="D15" s="61"/>
      <c r="E15" s="350" t="s">
        <v>243</v>
      </c>
      <c r="F15" s="350"/>
      <c r="G15" s="350"/>
      <c r="H15" s="350"/>
      <c r="I15" s="350"/>
      <c r="J15" s="350"/>
      <c r="K15" s="350"/>
      <c r="L15"/>
    </row>
    <row r="16" spans="1:16" s="1" customFormat="1" ht="12.75" customHeight="1" x14ac:dyDescent="0.2">
      <c r="C16" s="61" t="str">
        <v>Option 3</v>
      </c>
      <c r="D16" s="61"/>
      <c r="E16" s="350" t="s">
        <v>244</v>
      </c>
      <c r="F16" s="350"/>
      <c r="G16" s="350"/>
      <c r="H16" s="350"/>
      <c r="I16" s="350"/>
      <c r="J16" s="350"/>
      <c r="K16" s="350"/>
      <c r="L16"/>
    </row>
    <row r="17" spans="1:16" s="1" customFormat="1" ht="12.75" customHeight="1" x14ac:dyDescent="0.2">
      <c r="C17" s="61" t="str">
        <v>Option 4</v>
      </c>
      <c r="D17" s="61"/>
      <c r="E17" s="350" t="s">
        <v>245</v>
      </c>
      <c r="F17" s="350"/>
      <c r="G17" s="350"/>
      <c r="H17" s="350"/>
      <c r="I17" s="350"/>
      <c r="J17" s="350"/>
      <c r="K17" s="350"/>
      <c r="L17"/>
    </row>
    <row r="18" spans="1:16" s="1" customFormat="1" ht="12.75" customHeight="1" x14ac:dyDescent="0.2">
      <c r="C18" s="61" t="str">
        <v>Option 5</v>
      </c>
      <c r="D18" s="61"/>
      <c r="E18" s="350" t="s">
        <v>246</v>
      </c>
      <c r="F18" s="350"/>
      <c r="G18" s="350"/>
      <c r="H18" s="350"/>
      <c r="I18" s="350"/>
      <c r="J18" s="350"/>
      <c r="K18" s="350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3" t="s">
        <v>223</v>
      </c>
      <c r="D20"/>
      <c r="E20" s="294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9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5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6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7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8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06">
        <v>45291</v>
      </c>
      <c r="H34" s="68" t="s">
        <v>72</v>
      </c>
      <c r="J34" s="68"/>
    </row>
    <row r="35" spans="1:20" s="1" customFormat="1" ht="13.5" x14ac:dyDescent="0.25">
      <c r="C35" s="1" t="s">
        <v>238</v>
      </c>
      <c r="G35" s="306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3" t="s">
        <v>142</v>
      </c>
      <c r="E41" s="167" t="s">
        <v>214</v>
      </c>
      <c r="F41" s="129"/>
      <c r="G41" s="313" t="s">
        <v>213</v>
      </c>
      <c r="H41" s="134">
        <v>47819.790378690712</v>
      </c>
      <c r="I41" s="242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9">
        <v>5400000</v>
      </c>
      <c r="H50" s="69">
        <v>45107</v>
      </c>
    </row>
    <row r="52" spans="3:8" x14ac:dyDescent="0.2">
      <c r="C52" s="8" t="s">
        <v>163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7">
        <f>Data!F85</f>
        <v>1</v>
      </c>
    </row>
    <row r="56" spans="3:8" x14ac:dyDescent="0.2">
      <c r="C56" s="8" t="str">
        <f>Data!B86</f>
        <v>Harm to property from bushfire</v>
      </c>
      <c r="G56" s="307">
        <f>Data!F86</f>
        <v>1</v>
      </c>
    </row>
    <row r="57" spans="3:8" x14ac:dyDescent="0.2">
      <c r="C57" s="8" t="str">
        <f>Data!B87</f>
        <v>Harm to environment</v>
      </c>
      <c r="G57" s="307">
        <f>Data!F87</f>
        <v>1</v>
      </c>
    </row>
    <row r="58" spans="3:8" x14ac:dyDescent="0.2">
      <c r="C58" s="8" t="str">
        <f>Data!B88</f>
        <v>Safety - Public trespass</v>
      </c>
      <c r="G58" s="307">
        <f>Data!F88</f>
        <v>1</v>
      </c>
    </row>
    <row r="59" spans="3:8" x14ac:dyDescent="0.2">
      <c r="C59" s="8" t="str">
        <f>Data!B89</f>
        <v>Safety - Single fatality or serious injury ^</v>
      </c>
      <c r="G59" s="307">
        <f>Data!F89</f>
        <v>3</v>
      </c>
    </row>
    <row r="60" spans="3:8" x14ac:dyDescent="0.2">
      <c r="C60" s="8" t="str">
        <f>Data!B90</f>
        <v>Safety from bushfire in HBRA</v>
      </c>
      <c r="G60" s="307">
        <f>Data!F90</f>
        <v>3</v>
      </c>
    </row>
    <row r="61" spans="3:8" x14ac:dyDescent="0.2">
      <c r="C61" s="8" t="str">
        <f>Data!B91</f>
        <v>Safety - Multiple fatality or serious injury ^</v>
      </c>
      <c r="G61" s="307">
        <f>Data!F91</f>
        <v>6</v>
      </c>
    </row>
    <row r="62" spans="3:8" x14ac:dyDescent="0.2">
      <c r="C62" s="8" t="str">
        <f>Data!B92</f>
        <v>Safety from bushfire (REFCL declared areas)</v>
      </c>
      <c r="G62" s="307">
        <f>Data!F92</f>
        <v>6</v>
      </c>
    </row>
    <row r="63" spans="3:8" x14ac:dyDescent="0.2">
      <c r="C63" s="8" t="str">
        <f>Data!B93</f>
        <v>Safety from bushfire (electric line construction areas)</v>
      </c>
      <c r="G63" s="307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60" t="s">
        <v>68</v>
      </c>
      <c r="H69" s="160" t="s">
        <v>164</v>
      </c>
      <c r="I69" s="160" t="s">
        <v>178</v>
      </c>
      <c r="J69" s="159" t="s">
        <v>182</v>
      </c>
      <c r="K69" s="160"/>
      <c r="L69" s="160"/>
      <c r="M69" s="160"/>
    </row>
    <row r="70" spans="2:16" x14ac:dyDescent="0.2">
      <c r="C70" s="8" t="s">
        <v>165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45">
        <v>0</v>
      </c>
      <c r="K70" s="346"/>
      <c r="L70" s="346"/>
      <c r="M70" s="347"/>
    </row>
    <row r="71" spans="2:16" x14ac:dyDescent="0.2">
      <c r="C71" s="8" t="s">
        <v>166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45">
        <v>0</v>
      </c>
      <c r="K71" s="346"/>
      <c r="L71" s="346"/>
      <c r="M71" s="347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7">
        <v>0</v>
      </c>
      <c r="H78" s="69">
        <f>input_dollars</f>
        <v>45291</v>
      </c>
    </row>
    <row r="79" spans="2:16" x14ac:dyDescent="0.2">
      <c r="C79" s="8" t="s">
        <v>168</v>
      </c>
      <c r="G79" s="157">
        <v>0</v>
      </c>
      <c r="H79" s="69">
        <f>input_dollars</f>
        <v>45291</v>
      </c>
    </row>
    <row r="81" spans="1:16" x14ac:dyDescent="0.2">
      <c r="C81" s="8" t="s">
        <v>169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0">
        <v>2.4730486797759084E-2</v>
      </c>
      <c r="L90" s="310">
        <v>2.2340740091772258E-2</v>
      </c>
      <c r="M90" s="310">
        <v>2.0196329122153123E-2</v>
      </c>
      <c r="N90" s="310">
        <v>1.806294207659629E-2</v>
      </c>
      <c r="O90" s="310">
        <v>1.5913397615084226E-2</v>
      </c>
      <c r="P90" s="310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9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9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9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0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0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0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0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0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3"/>
      <c r="C110" s="301"/>
      <c r="D110" s="59"/>
      <c r="E110" s="302"/>
      <c r="F110" s="301"/>
      <c r="G110" s="301" t="s">
        <v>17</v>
      </c>
      <c r="H110" s="301" t="s">
        <v>239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0"/>
      <c r="G111" s="311">
        <v>0.1</v>
      </c>
      <c r="H111" s="311">
        <v>0</v>
      </c>
      <c r="I111" s="264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0"/>
      <c r="G112" s="311">
        <v>-0.1</v>
      </c>
      <c r="H112" s="311">
        <v>0</v>
      </c>
      <c r="I112" s="264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0"/>
      <c r="G113" s="312">
        <v>0</v>
      </c>
      <c r="H113" s="311">
        <v>0.1</v>
      </c>
      <c r="I113" s="264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0"/>
      <c r="G114" s="312">
        <v>0</v>
      </c>
      <c r="H114" s="311">
        <v>-0.1</v>
      </c>
      <c r="I114" s="264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0"/>
      <c r="G115" s="311">
        <v>0.1</v>
      </c>
      <c r="H115" s="311">
        <v>-0.1</v>
      </c>
      <c r="I115" s="264"/>
      <c r="J115"/>
      <c r="K115"/>
      <c r="L115"/>
      <c r="M115"/>
      <c r="N115"/>
      <c r="O115"/>
      <c r="P115"/>
    </row>
    <row r="116" spans="2:16" x14ac:dyDescent="0.2">
      <c r="E116" s="270"/>
      <c r="H116"/>
      <c r="I116"/>
      <c r="J116"/>
      <c r="K116"/>
      <c r="L116"/>
      <c r="M116"/>
      <c r="N116"/>
      <c r="O116"/>
      <c r="P116"/>
    </row>
    <row r="117" spans="2:16" x14ac:dyDescent="0.2">
      <c r="E117" s="263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6"/>
  <sheetViews>
    <sheetView showGridLines="0" zoomScale="90" zoomScaleNormal="90" workbookViewId="0">
      <pane xSplit="7" ySplit="10" topLeftCell="H11" activePane="bottomRight" state="frozen"/>
      <selection activeCell="I24" sqref="I24"/>
      <selection pane="topRight" activeCell="I24" sqref="I24"/>
      <selection pane="bottomLeft" activeCell="I24" sqref="I24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Replace compound filled cable terminations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5" t="s">
        <v>143</v>
      </c>
      <c r="B3" s="5"/>
      <c r="C3" s="137"/>
      <c r="D3" s="94"/>
    </row>
    <row r="4" spans="1:43" x14ac:dyDescent="0.2">
      <c r="A4" s="171"/>
      <c r="B4" s="189"/>
      <c r="C4" s="240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3"/>
      <c r="B9" s="183"/>
      <c r="C9" s="183"/>
      <c r="D9" s="183"/>
      <c r="E9" s="183"/>
      <c r="F9" s="184"/>
      <c r="G9" s="183" t="s">
        <v>25</v>
      </c>
      <c r="H9" s="339">
        <f>DATE(LEFT(I9,4), 6,30)</f>
        <v>46203</v>
      </c>
      <c r="I9" s="185" t="str">
        <f>start</f>
        <v>2026-27</v>
      </c>
      <c r="J9" s="185" t="str">
        <f t="shared" ref="J9:AG9" si="1">LEFT(I9,4)+1&amp;"-"&amp;RIGHT(I9,2)+1</f>
        <v>2027-28</v>
      </c>
      <c r="K9" s="185" t="str">
        <f t="shared" si="1"/>
        <v>2028-29</v>
      </c>
      <c r="L9" s="185" t="str">
        <f t="shared" si="1"/>
        <v>2029-30</v>
      </c>
      <c r="M9" s="185" t="str">
        <f t="shared" si="1"/>
        <v>2030-31</v>
      </c>
      <c r="N9" s="185" t="str">
        <f t="shared" si="1"/>
        <v>2031-32</v>
      </c>
      <c r="O9" s="185" t="str">
        <f t="shared" si="1"/>
        <v>2032-33</v>
      </c>
      <c r="P9" s="185" t="str">
        <f t="shared" si="1"/>
        <v>2033-34</v>
      </c>
      <c r="Q9" s="185" t="str">
        <f t="shared" si="1"/>
        <v>2034-35</v>
      </c>
      <c r="R9" s="185" t="str">
        <f t="shared" si="1"/>
        <v>2035-36</v>
      </c>
      <c r="S9" s="185" t="str">
        <f t="shared" si="1"/>
        <v>2036-37</v>
      </c>
      <c r="T9" s="185" t="str">
        <f t="shared" si="1"/>
        <v>2037-38</v>
      </c>
      <c r="U9" s="185" t="str">
        <f t="shared" si="1"/>
        <v>2038-39</v>
      </c>
      <c r="V9" s="185" t="str">
        <f t="shared" si="1"/>
        <v>2039-40</v>
      </c>
      <c r="W9" s="185" t="str">
        <f t="shared" si="1"/>
        <v>2040-41</v>
      </c>
      <c r="X9" s="185" t="str">
        <f t="shared" si="1"/>
        <v>2041-42</v>
      </c>
      <c r="Y9" s="185" t="str">
        <f t="shared" si="1"/>
        <v>2042-43</v>
      </c>
      <c r="Z9" s="185" t="str">
        <f t="shared" si="1"/>
        <v>2043-44</v>
      </c>
      <c r="AA9" s="185" t="str">
        <f t="shared" si="1"/>
        <v>2044-45</v>
      </c>
      <c r="AB9" s="185" t="str">
        <f t="shared" si="1"/>
        <v>2045-46</v>
      </c>
      <c r="AC9" s="185" t="str">
        <f t="shared" si="1"/>
        <v>2046-47</v>
      </c>
      <c r="AD9" s="185" t="str">
        <f t="shared" si="1"/>
        <v>2047-48</v>
      </c>
      <c r="AE9" s="185" t="str">
        <f t="shared" si="1"/>
        <v>2048-49</v>
      </c>
      <c r="AF9" s="185" t="str">
        <f t="shared" si="1"/>
        <v>2049-50</v>
      </c>
      <c r="AG9" s="185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6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3" x14ac:dyDescent="0.2">
      <c r="A12" s="3"/>
      <c r="B12" s="3"/>
      <c r="C12" s="3"/>
      <c r="D12" s="3"/>
      <c r="G12" s="207"/>
    </row>
    <row r="13" spans="1:43" x14ac:dyDescent="0.2">
      <c r="C13" s="3" t="s">
        <v>17</v>
      </c>
      <c r="D13"/>
      <c r="E13" s="126" t="s">
        <v>69</v>
      </c>
      <c r="G13" s="20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51">
        <v>50</v>
      </c>
      <c r="G14" s="209">
        <f>input_dollars</f>
        <v>45291</v>
      </c>
      <c r="H14" s="2"/>
      <c r="I14" s="32">
        <v>275000</v>
      </c>
      <c r="J14" s="32">
        <v>275000</v>
      </c>
      <c r="K14" s="32">
        <v>275000</v>
      </c>
      <c r="L14" s="32">
        <v>275000</v>
      </c>
      <c r="M14" s="32">
        <v>275000</v>
      </c>
      <c r="N14" s="32">
        <v>220000</v>
      </c>
      <c r="O14" s="32">
        <v>220000</v>
      </c>
      <c r="P14" s="32">
        <v>220000</v>
      </c>
      <c r="Q14" s="32">
        <v>220000</v>
      </c>
      <c r="R14" s="32">
        <v>220000</v>
      </c>
      <c r="S14" s="32">
        <v>220000</v>
      </c>
      <c r="T14" s="32">
        <v>220000</v>
      </c>
      <c r="U14" s="32">
        <v>220000</v>
      </c>
      <c r="V14" s="32">
        <v>165000</v>
      </c>
      <c r="W14" s="32">
        <v>165000</v>
      </c>
      <c r="X14" s="32">
        <v>165000</v>
      </c>
      <c r="Y14" s="32">
        <v>165000</v>
      </c>
      <c r="Z14" s="32">
        <v>165000</v>
      </c>
      <c r="AA14" s="32">
        <v>165000</v>
      </c>
      <c r="AB14" s="32">
        <v>165000</v>
      </c>
      <c r="AC14" s="32">
        <v>165000</v>
      </c>
      <c r="AD14" s="32">
        <v>165000</v>
      </c>
      <c r="AE14" s="32">
        <v>165000</v>
      </c>
      <c r="AF14" s="32">
        <v>165000</v>
      </c>
      <c r="AG14" s="32">
        <v>110000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09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09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9">
        <f>input_dollars</f>
        <v>45291</v>
      </c>
      <c r="H17" s="107"/>
      <c r="I17" s="106">
        <f t="shared" ref="I17:AB17" si="2">SUM(I14:I16)</f>
        <v>275000</v>
      </c>
      <c r="J17" s="106">
        <f t="shared" si="2"/>
        <v>275000</v>
      </c>
      <c r="K17" s="106">
        <f t="shared" si="2"/>
        <v>275000</v>
      </c>
      <c r="L17" s="106">
        <f t="shared" si="2"/>
        <v>275000</v>
      </c>
      <c r="M17" s="106">
        <f t="shared" si="2"/>
        <v>275000</v>
      </c>
      <c r="N17" s="106">
        <f t="shared" si="2"/>
        <v>220000</v>
      </c>
      <c r="O17" s="106">
        <f t="shared" si="2"/>
        <v>220000</v>
      </c>
      <c r="P17" s="106">
        <f t="shared" si="2"/>
        <v>220000</v>
      </c>
      <c r="Q17" s="106">
        <f t="shared" si="2"/>
        <v>220000</v>
      </c>
      <c r="R17" s="106">
        <f t="shared" si="2"/>
        <v>220000</v>
      </c>
      <c r="S17" s="106">
        <f t="shared" si="2"/>
        <v>220000</v>
      </c>
      <c r="T17" s="106">
        <f t="shared" si="2"/>
        <v>220000</v>
      </c>
      <c r="U17" s="106">
        <f t="shared" si="2"/>
        <v>220000</v>
      </c>
      <c r="V17" s="106">
        <f t="shared" si="2"/>
        <v>165000</v>
      </c>
      <c r="W17" s="106">
        <f t="shared" si="2"/>
        <v>165000</v>
      </c>
      <c r="X17" s="106">
        <f t="shared" si="2"/>
        <v>165000</v>
      </c>
      <c r="Y17" s="106">
        <f t="shared" si="2"/>
        <v>165000</v>
      </c>
      <c r="Z17" s="106">
        <f t="shared" si="2"/>
        <v>165000</v>
      </c>
      <c r="AA17" s="106">
        <f t="shared" si="2"/>
        <v>165000</v>
      </c>
      <c r="AB17" s="106">
        <f t="shared" si="2"/>
        <v>165000</v>
      </c>
      <c r="AC17" s="106">
        <f>SUM(AC14:AC16)</f>
        <v>165000</v>
      </c>
      <c r="AD17" s="106">
        <f>SUM(AD14:AD16)</f>
        <v>165000</v>
      </c>
      <c r="AE17" s="106">
        <f>SUM(AE14:AE16)</f>
        <v>165000</v>
      </c>
      <c r="AF17" s="106">
        <f>SUM(AF14:AF16)</f>
        <v>165000</v>
      </c>
      <c r="AG17" s="106">
        <f>SUM(AG14:AG16)</f>
        <v>110000</v>
      </c>
    </row>
    <row r="18" spans="1:43" x14ac:dyDescent="0.2">
      <c r="C18"/>
      <c r="D18"/>
      <c r="E18"/>
      <c r="G18" s="20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9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7"/>
    </row>
    <row r="21" spans="1:43" x14ac:dyDescent="0.2">
      <c r="C21"/>
      <c r="D21"/>
      <c r="E21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268</v>
      </c>
      <c r="D24" s="111"/>
      <c r="E24" s="111"/>
      <c r="F24" s="111"/>
      <c r="G24" s="210"/>
      <c r="H24" s="111"/>
      <c r="I24" s="32">
        <f>INDEX(Workings_costs!G$21:G$25, MATCH($A$3, Workings_costs!$C$21:$C$25,0))</f>
        <v>5</v>
      </c>
      <c r="J24" s="32">
        <f>INDEX(Workings_costs!H$21:H$25, MATCH($A$3, Workings_costs!$C$21:$C$25,0))</f>
        <v>5</v>
      </c>
      <c r="K24" s="32">
        <f>INDEX(Workings_costs!I$21:I$25, MATCH($A$3, Workings_costs!$C$21:$C$25,0))</f>
        <v>5</v>
      </c>
      <c r="L24" s="32">
        <f>INDEX(Workings_costs!J$21:J$25, MATCH($A$3, Workings_costs!$C$21:$C$25,0))</f>
        <v>5</v>
      </c>
      <c r="M24" s="32">
        <f>INDEX(Workings_costs!K$21:K$25, MATCH($A$3, Workings_costs!$C$21:$C$25,0))</f>
        <v>5</v>
      </c>
      <c r="N24" s="32">
        <f>INDEX(Workings_costs!L$21:L$25, MATCH($A$3, Workings_costs!$C$21:$C$25,0))</f>
        <v>4</v>
      </c>
      <c r="O24" s="32">
        <f>INDEX(Workings_costs!M$21:M$25, MATCH($A$3, Workings_costs!$C$21:$C$25,0))</f>
        <v>4</v>
      </c>
      <c r="P24" s="32">
        <f>INDEX(Workings_costs!N$21:N$25, MATCH($A$3, Workings_costs!$C$21:$C$25,0))</f>
        <v>4</v>
      </c>
      <c r="Q24" s="32">
        <f>INDEX(Workings_costs!O$21:O$25, MATCH($A$3, Workings_costs!$C$21:$C$25,0))</f>
        <v>4</v>
      </c>
      <c r="R24" s="32">
        <f>INDEX(Workings_costs!P$21:P$25, MATCH($A$3, Workings_costs!$C$21:$C$25,0))</f>
        <v>4</v>
      </c>
      <c r="S24" s="32">
        <f>INDEX(Workings_costs!Q$21:Q$25, MATCH($A$3, Workings_costs!$C$21:$C$25,0))</f>
        <v>4</v>
      </c>
      <c r="T24" s="32">
        <f>INDEX(Workings_costs!R$21:R$25, MATCH($A$3, Workings_costs!$C$21:$C$25,0))</f>
        <v>4</v>
      </c>
      <c r="U24" s="32">
        <f>INDEX(Workings_costs!S$21:S$25, MATCH($A$3, Workings_costs!$C$21:$C$25,0))</f>
        <v>4</v>
      </c>
      <c r="V24" s="32">
        <f>INDEX(Workings_costs!T$21:T$25, MATCH($A$3, Workings_costs!$C$21:$C$25,0))</f>
        <v>3</v>
      </c>
      <c r="W24" s="32">
        <f>INDEX(Workings_costs!U$21:U$25, MATCH($A$3, Workings_costs!$C$21:$C$25,0))</f>
        <v>3</v>
      </c>
      <c r="X24" s="32">
        <f>INDEX(Workings_costs!V$21:V$25, MATCH($A$3, Workings_costs!$C$21:$C$25,0))</f>
        <v>3</v>
      </c>
      <c r="Y24" s="32">
        <f>INDEX(Workings_costs!W$21:W$25, MATCH($A$3, Workings_costs!$C$21:$C$25,0))</f>
        <v>3</v>
      </c>
      <c r="Z24" s="32">
        <f>INDEX(Workings_costs!X$21:X$25, MATCH($A$3, Workings_costs!$C$21:$C$25,0))</f>
        <v>3</v>
      </c>
      <c r="AA24" s="32">
        <f>INDEX(Workings_costs!Y$21:Y$25, MATCH($A$3, Workings_costs!$C$21:$C$25,0))</f>
        <v>3</v>
      </c>
      <c r="AB24" s="32">
        <f>INDEX(Workings_costs!Z$21:Z$25, MATCH($A$3, Workings_costs!$C$21:$C$25,0))</f>
        <v>3</v>
      </c>
      <c r="AC24" s="32">
        <f>INDEX(Workings_costs!AA$21:AA$25, MATCH($A$3, Workings_costs!$C$21:$C$25,0))</f>
        <v>3</v>
      </c>
      <c r="AD24" s="32">
        <f>INDEX(Workings_costs!AB$21:AB$25, MATCH($A$3, Workings_costs!$C$21:$C$25,0))</f>
        <v>3</v>
      </c>
      <c r="AE24" s="32">
        <f>INDEX(Workings_costs!AC$21:AC$25, MATCH($A$3, Workings_costs!$C$21:$C$25,0))</f>
        <v>3</v>
      </c>
      <c r="AF24" s="32">
        <f>INDEX(Workings_costs!AD$21:AD$25, MATCH($A$3, Workings_costs!$C$21:$C$25,0))</f>
        <v>3</v>
      </c>
      <c r="AG24" s="32">
        <f>INDEX(Workings_costs!AE$21:AE$25, MATCH($A$3, Workings_costs!$C$21:$C$25,0))</f>
        <v>2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D25" s="210"/>
      <c r="E25" s="111"/>
      <c r="F25" s="111"/>
      <c r="G25" s="2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/>
      <c r="AI25"/>
      <c r="AJ25"/>
      <c r="AK25"/>
      <c r="AL25"/>
      <c r="AM25"/>
      <c r="AN25"/>
      <c r="AO25"/>
      <c r="AP25"/>
      <c r="AQ25"/>
    </row>
    <row r="26" spans="1:43" x14ac:dyDescent="0.2">
      <c r="C26" s="1" t="s">
        <v>123</v>
      </c>
      <c r="D26" s="207"/>
      <c r="E26"/>
      <c r="G26" s="209" t="s">
        <v>40</v>
      </c>
      <c r="H26"/>
      <c r="I26" s="334">
        <f>I24*Workings_risks!$E$9*Workings_risks!$E$11/60</f>
        <v>22.154999999999998</v>
      </c>
      <c r="J26" s="334">
        <f>J24*Workings_risks!$E$9*Workings_risks!$E$11/60</f>
        <v>22.154999999999998</v>
      </c>
      <c r="K26" s="334">
        <f>K24*Workings_risks!$E$9*Workings_risks!$E$11/60</f>
        <v>22.154999999999998</v>
      </c>
      <c r="L26" s="334">
        <f>L24*Workings_risks!$E$9*Workings_risks!$E$11/60</f>
        <v>22.154999999999998</v>
      </c>
      <c r="M26" s="334">
        <f>M24*Workings_risks!$E$9*Workings_risks!$E$11/60</f>
        <v>22.154999999999998</v>
      </c>
      <c r="N26" s="334">
        <f>N24*Workings_risks!$E$9*Workings_risks!$E$11/60</f>
        <v>17.723999999999997</v>
      </c>
      <c r="O26" s="334">
        <f>O24*Workings_risks!$E$9*Workings_risks!$E$11/60</f>
        <v>17.723999999999997</v>
      </c>
      <c r="P26" s="334">
        <f>P24*Workings_risks!$E$9*Workings_risks!$E$11/60</f>
        <v>17.723999999999997</v>
      </c>
      <c r="Q26" s="334">
        <f>Q24*Workings_risks!$E$9*Workings_risks!$E$11/60</f>
        <v>17.723999999999997</v>
      </c>
      <c r="R26" s="334">
        <f>R24*Workings_risks!$E$9*Workings_risks!$E$11/60</f>
        <v>17.723999999999997</v>
      </c>
      <c r="S26" s="334">
        <f>S24*Workings_risks!$E$9*Workings_risks!$E$11/60</f>
        <v>17.723999999999997</v>
      </c>
      <c r="T26" s="334">
        <f>T24*Workings_risks!$E$9*Workings_risks!$E$11/60</f>
        <v>17.723999999999997</v>
      </c>
      <c r="U26" s="334">
        <f>U24*Workings_risks!$E$9*Workings_risks!$E$11/60</f>
        <v>17.723999999999997</v>
      </c>
      <c r="V26" s="334">
        <f>V24*Workings_risks!$E$9*Workings_risks!$E$11/60</f>
        <v>13.293000000000001</v>
      </c>
      <c r="W26" s="334">
        <f>W24*Workings_risks!$E$9*Workings_risks!$E$11/60</f>
        <v>13.293000000000001</v>
      </c>
      <c r="X26" s="334">
        <f>X24*Workings_risks!$E$9*Workings_risks!$E$11/60</f>
        <v>13.293000000000001</v>
      </c>
      <c r="Y26" s="334">
        <f>Y24*Workings_risks!$E$9*Workings_risks!$E$11/60</f>
        <v>13.293000000000001</v>
      </c>
      <c r="Z26" s="334">
        <f>Z24*Workings_risks!$E$9*Workings_risks!$E$11/60</f>
        <v>13.293000000000001</v>
      </c>
      <c r="AA26" s="334">
        <f>AA24*Workings_risks!$E$9*Workings_risks!$E$11/60</f>
        <v>13.293000000000001</v>
      </c>
      <c r="AB26" s="334">
        <f>AB24*Workings_risks!$E$9*Workings_risks!$E$11/60</f>
        <v>13.293000000000001</v>
      </c>
      <c r="AC26" s="334">
        <f>AC24*Workings_risks!$E$9*Workings_risks!$E$11/60</f>
        <v>13.293000000000001</v>
      </c>
      <c r="AD26" s="334">
        <f>AD24*Workings_risks!$E$9*Workings_risks!$E$11/60</f>
        <v>13.293000000000001</v>
      </c>
      <c r="AE26" s="334">
        <f>AE24*Workings_risks!$E$9*Workings_risks!$E$11/60</f>
        <v>13.293000000000001</v>
      </c>
      <c r="AF26" s="334">
        <f>AF24*Workings_risks!$E$9*Workings_risks!$E$11/60</f>
        <v>13.293000000000001</v>
      </c>
      <c r="AG26" s="334">
        <f>AG24*Workings_risks!$E$9*Workings_risks!$E$11/60</f>
        <v>8.8619999999999983</v>
      </c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124</v>
      </c>
      <c r="D27" s="207" t="s">
        <v>63</v>
      </c>
      <c r="E27" s="113">
        <f>Assumptions!H41*vcr_esc</f>
        <v>47819.790378690712</v>
      </c>
      <c r="F27" s="240" t="str">
        <f>IF(AND(SUM(I26:AG26)&lt;&gt;0, E27=0), "!", "")</f>
        <v/>
      </c>
      <c r="G27" s="209">
        <f>input_dollars</f>
        <v>45291</v>
      </c>
      <c r="H27"/>
      <c r="I27" s="119">
        <f>I26*$E$27*Workings_risks!$E$15</f>
        <v>1515009.8618510463</v>
      </c>
      <c r="J27" s="119">
        <f>J26*$E$27*Workings_risks!$E$15</f>
        <v>1515009.8618510463</v>
      </c>
      <c r="K27" s="119">
        <f>K26*$E$27*Workings_risks!$E$15</f>
        <v>1515009.8618510463</v>
      </c>
      <c r="L27" s="119">
        <f>L26*$E$27*Workings_risks!$E$15</f>
        <v>1515009.8618510463</v>
      </c>
      <c r="M27" s="119">
        <f>M26*$E$27*Workings_risks!$E$15</f>
        <v>1515009.8618510463</v>
      </c>
      <c r="N27" s="119">
        <f>N26*$E$27*Workings_risks!$E$15</f>
        <v>1212007.8894808369</v>
      </c>
      <c r="O27" s="119">
        <f>O26*$E$27*Workings_risks!$E$15</f>
        <v>1212007.8894808369</v>
      </c>
      <c r="P27" s="119">
        <f>P26*$E$27*Workings_risks!$E$15</f>
        <v>1212007.8894808369</v>
      </c>
      <c r="Q27" s="119">
        <f>Q26*$E$27*Workings_risks!$E$15</f>
        <v>1212007.8894808369</v>
      </c>
      <c r="R27" s="119">
        <f>R26*$E$27*Workings_risks!$E$15</f>
        <v>1212007.8894808369</v>
      </c>
      <c r="S27" s="119">
        <f>S26*$E$27*Workings_risks!$E$15</f>
        <v>1212007.8894808369</v>
      </c>
      <c r="T27" s="119">
        <f>T26*$E$27*Workings_risks!$E$15</f>
        <v>1212007.8894808369</v>
      </c>
      <c r="U27" s="119">
        <f>U26*$E$27*Workings_risks!$E$15</f>
        <v>1212007.8894808369</v>
      </c>
      <c r="V27" s="119">
        <f>V26*$E$27*Workings_risks!$E$15</f>
        <v>909005.9171106281</v>
      </c>
      <c r="W27" s="119">
        <f>W26*$E$27*Workings_risks!$E$15</f>
        <v>909005.9171106281</v>
      </c>
      <c r="X27" s="119">
        <f>X26*$E$27*Workings_risks!$E$15</f>
        <v>909005.9171106281</v>
      </c>
      <c r="Y27" s="119">
        <f>Y26*$E$27*Workings_risks!$E$15</f>
        <v>909005.9171106281</v>
      </c>
      <c r="Z27" s="119">
        <f>Z26*$E$27*Workings_risks!$E$15</f>
        <v>909005.9171106281</v>
      </c>
      <c r="AA27" s="119">
        <f>AA26*$E$27*Workings_risks!$E$15</f>
        <v>909005.9171106281</v>
      </c>
      <c r="AB27" s="119">
        <f>AB26*$E$27*Workings_risks!$E$15</f>
        <v>909005.9171106281</v>
      </c>
      <c r="AC27" s="119">
        <f>AC26*$E$27*Workings_risks!$E$15</f>
        <v>909005.9171106281</v>
      </c>
      <c r="AD27" s="119">
        <f>AD26*$E$27*Workings_risks!$E$15</f>
        <v>909005.9171106281</v>
      </c>
      <c r="AE27" s="119">
        <f>AE26*$E$27*Workings_risks!$E$15</f>
        <v>909005.9171106281</v>
      </c>
      <c r="AF27" s="119">
        <f>AF26*$E$27*Workings_risks!$E$15</f>
        <v>909005.9171106281</v>
      </c>
      <c r="AG27" s="119">
        <f>AG26*$E$27*Workings_risks!$E$15</f>
        <v>606003.94474041846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D28" s="208"/>
      <c r="E28"/>
      <c r="G28" s="20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287" t="s">
        <v>114</v>
      </c>
      <c r="D29" s="207" t="s">
        <v>206</v>
      </c>
      <c r="G29" s="209">
        <f>input_dollars</f>
        <v>45291</v>
      </c>
      <c r="H29" s="152"/>
      <c r="I29" s="32">
        <f>I$24*Workings_risks!$E17</f>
        <v>167450</v>
      </c>
      <c r="J29" s="32">
        <f>J$24*Workings_risks!$E17</f>
        <v>167450</v>
      </c>
      <c r="K29" s="32">
        <f>K$24*Workings_risks!$E17</f>
        <v>167450</v>
      </c>
      <c r="L29" s="32">
        <f>L$24*Workings_risks!$E17</f>
        <v>167450</v>
      </c>
      <c r="M29" s="32">
        <f>M$24*Workings_risks!$E17</f>
        <v>167450</v>
      </c>
      <c r="N29" s="32">
        <f>N$24*Workings_risks!$E17</f>
        <v>133960</v>
      </c>
      <c r="O29" s="32">
        <f>O$24*Workings_risks!$E17</f>
        <v>133960</v>
      </c>
      <c r="P29" s="32">
        <f>P$24*Workings_risks!$E17</f>
        <v>133960</v>
      </c>
      <c r="Q29" s="32">
        <f>Q$24*Workings_risks!$E17</f>
        <v>133960</v>
      </c>
      <c r="R29" s="32">
        <f>R$24*Workings_risks!$E17</f>
        <v>133960</v>
      </c>
      <c r="S29" s="32">
        <f>S$24*Workings_risks!$E17</f>
        <v>133960</v>
      </c>
      <c r="T29" s="32">
        <f>T$24*Workings_risks!$E17</f>
        <v>133960</v>
      </c>
      <c r="U29" s="32">
        <f>U$24*Workings_risks!$E17</f>
        <v>133960</v>
      </c>
      <c r="V29" s="32">
        <f>V$24*Workings_risks!$E17</f>
        <v>100470</v>
      </c>
      <c r="W29" s="32">
        <f>W$24*Workings_risks!$E17</f>
        <v>100470</v>
      </c>
      <c r="X29" s="32">
        <f>X$24*Workings_risks!$E17</f>
        <v>100470</v>
      </c>
      <c r="Y29" s="32">
        <f>Y$24*Workings_risks!$E17</f>
        <v>100470</v>
      </c>
      <c r="Z29" s="32">
        <f>Z$24*Workings_risks!$E17</f>
        <v>100470</v>
      </c>
      <c r="AA29" s="32">
        <f>AA$24*Workings_risks!$E17</f>
        <v>100470</v>
      </c>
      <c r="AB29" s="32">
        <f>AB$24*Workings_risks!$E17</f>
        <v>100470</v>
      </c>
      <c r="AC29" s="32">
        <f>AC$24*Workings_risks!$E17</f>
        <v>100470</v>
      </c>
      <c r="AD29" s="32">
        <f>AD$24*Workings_risks!$E17</f>
        <v>100470</v>
      </c>
      <c r="AE29" s="32">
        <f>AE$24*Workings_risks!$E17</f>
        <v>100470</v>
      </c>
      <c r="AF29" s="32">
        <f>AF$24*Workings_risks!$E17</f>
        <v>100470</v>
      </c>
      <c r="AG29" s="32">
        <f>AG$24*Workings_risks!$E17</f>
        <v>66980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287" t="s">
        <v>116</v>
      </c>
      <c r="D30" s="208"/>
      <c r="E30"/>
      <c r="G30" s="209">
        <f>input_dollars</f>
        <v>45291</v>
      </c>
      <c r="H30" s="152"/>
      <c r="I30" s="32" cm="1">
        <f t="array" ref="I30">(1+Assumptions!$G$81)*SUMPRODUCT((Assumptions!$G$78:$G$79)*('Option1 (base case)'!I$24:I$24))</f>
        <v>0</v>
      </c>
      <c r="J30" s="32" cm="1">
        <f t="array" ref="J30">(1+Assumptions!$G$81)*SUMPRODUCT((Assumptions!$G$78:$G$79)*('Option1 (base case)'!J$24:J$24))</f>
        <v>0</v>
      </c>
      <c r="K30" s="32" cm="1">
        <f t="array" ref="K30">(1+Assumptions!$G$81)*SUMPRODUCT((Assumptions!$G$78:$G$79)*('Option1 (base case)'!K$24:K$24))</f>
        <v>0</v>
      </c>
      <c r="L30" s="32" cm="1">
        <f t="array" ref="L30">(1+Assumptions!$G$81)*SUMPRODUCT((Assumptions!$G$78:$G$79)*('Option1 (base case)'!L$24:L$24))</f>
        <v>0</v>
      </c>
      <c r="M30" s="32" cm="1">
        <f t="array" ref="M30">(1+Assumptions!$G$81)*SUMPRODUCT((Assumptions!$G$78:$G$79)*('Option1 (base case)'!M$24:M$24))</f>
        <v>0</v>
      </c>
      <c r="N30" s="32" cm="1">
        <f t="array" ref="N30">(1+Assumptions!$G$81)*SUMPRODUCT((Assumptions!$G$78:$G$79)*('Option1 (base case)'!N$24:N$24))</f>
        <v>0</v>
      </c>
      <c r="O30" s="32" cm="1">
        <f t="array" ref="O30">(1+Assumptions!$G$81)*SUMPRODUCT((Assumptions!$G$78:$G$79)*('Option1 (base case)'!O$24:O$24))</f>
        <v>0</v>
      </c>
      <c r="P30" s="32" cm="1">
        <f t="array" ref="P30">(1+Assumptions!$G$81)*SUMPRODUCT((Assumptions!$G$78:$G$79)*('Option1 (base case)'!P$24:P$24))</f>
        <v>0</v>
      </c>
      <c r="Q30" s="32" cm="1">
        <f t="array" ref="Q30">(1+Assumptions!$G$81)*SUMPRODUCT((Assumptions!$G$78:$G$79)*('Option1 (base case)'!Q$24:Q$24))</f>
        <v>0</v>
      </c>
      <c r="R30" s="32" cm="1">
        <f t="array" ref="R30">(1+Assumptions!$G$81)*SUMPRODUCT((Assumptions!$G$78:$G$79)*('Option1 (base case)'!R$24:R$24))</f>
        <v>0</v>
      </c>
      <c r="S30" s="32" cm="1">
        <f t="array" ref="S30">(1+Assumptions!$G$81)*SUMPRODUCT((Assumptions!$G$78:$G$79)*('Option1 (base case)'!S$24:S$24))</f>
        <v>0</v>
      </c>
      <c r="T30" s="32" cm="1">
        <f t="array" ref="T30">(1+Assumptions!$G$81)*SUMPRODUCT((Assumptions!$G$78:$G$79)*('Option1 (base case)'!T$24:T$24))</f>
        <v>0</v>
      </c>
      <c r="U30" s="32" cm="1">
        <f t="array" ref="U30">(1+Assumptions!$G$81)*SUMPRODUCT((Assumptions!$G$78:$G$79)*('Option1 (base case)'!U$24:U$24))</f>
        <v>0</v>
      </c>
      <c r="V30" s="32" cm="1">
        <f t="array" ref="V30">(1+Assumptions!$G$81)*SUMPRODUCT((Assumptions!$G$78:$G$79)*('Option1 (base case)'!V$24:V$24))</f>
        <v>0</v>
      </c>
      <c r="W30" s="32" cm="1">
        <f t="array" ref="W30">(1+Assumptions!$G$81)*SUMPRODUCT((Assumptions!$G$78:$G$79)*('Option1 (base case)'!W$24:W$24))</f>
        <v>0</v>
      </c>
      <c r="X30" s="32" cm="1">
        <f t="array" ref="X30">(1+Assumptions!$G$81)*SUMPRODUCT((Assumptions!$G$78:$G$79)*('Option1 (base case)'!X$24:X$24))</f>
        <v>0</v>
      </c>
      <c r="Y30" s="32" cm="1">
        <f t="array" ref="Y30">(1+Assumptions!$G$81)*SUMPRODUCT((Assumptions!$G$78:$G$79)*('Option1 (base case)'!Y$24:Y$24))</f>
        <v>0</v>
      </c>
      <c r="Z30" s="32" cm="1">
        <f t="array" ref="Z30">(1+Assumptions!$G$81)*SUMPRODUCT((Assumptions!$G$78:$G$79)*('Option1 (base case)'!Z$24:Z$24))</f>
        <v>0</v>
      </c>
      <c r="AA30" s="32" cm="1">
        <f t="array" ref="AA30">(1+Assumptions!$G$81)*SUMPRODUCT((Assumptions!$G$78:$G$79)*('Option1 (base case)'!AA$24:AA$24))</f>
        <v>0</v>
      </c>
      <c r="AB30" s="32" cm="1">
        <f t="array" ref="AB30">(1+Assumptions!$G$81)*SUMPRODUCT((Assumptions!$G$78:$G$79)*('Option1 (base case)'!AB$24:AB$24))</f>
        <v>0</v>
      </c>
      <c r="AC30" s="32" cm="1">
        <f t="array" ref="AC30">(1+Assumptions!$G$81)*SUMPRODUCT((Assumptions!$G$78:$G$79)*('Option1 (base case)'!AC$24:AC$24))</f>
        <v>0</v>
      </c>
      <c r="AD30" s="32" cm="1">
        <f t="array" ref="AD30">(1+Assumptions!$G$81)*SUMPRODUCT((Assumptions!$G$78:$G$79)*('Option1 (base case)'!AD$24:AD$24))</f>
        <v>0</v>
      </c>
      <c r="AE30" s="32" cm="1">
        <f t="array" ref="AE30">(1+Assumptions!$G$81)*SUMPRODUCT((Assumptions!$G$78:$G$79)*('Option1 (base case)'!AE$24:AE$24))</f>
        <v>0</v>
      </c>
      <c r="AF30" s="32" cm="1">
        <f t="array" ref="AF30">(1+Assumptions!$G$81)*SUMPRODUCT((Assumptions!$G$78:$G$79)*('Option1 (base case)'!AF$24:AF$24))</f>
        <v>0</v>
      </c>
      <c r="AG30" s="32" cm="1">
        <f t="array" ref="AG30">(1+Assumptions!$G$81)*SUMPRODUCT((Assumptions!$G$78:$G$79)*('Option1 (base case)'!AG$24:AG$24))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287" t="s">
        <v>115</v>
      </c>
      <c r="D31" s="207" t="s">
        <v>206</v>
      </c>
      <c r="E31"/>
      <c r="G31" s="209">
        <f>input_dollars</f>
        <v>45291</v>
      </c>
      <c r="H31"/>
      <c r="I31" s="32">
        <f>I$24*Workings_risks!$E19</f>
        <v>2750</v>
      </c>
      <c r="J31" s="32">
        <f>J$24*Workings_risks!$E19</f>
        <v>2750</v>
      </c>
      <c r="K31" s="32">
        <f>K$24*Workings_risks!$E19</f>
        <v>2750</v>
      </c>
      <c r="L31" s="32">
        <f>L$24*Workings_risks!$E19</f>
        <v>2750</v>
      </c>
      <c r="M31" s="32">
        <f>M$24*Workings_risks!$E19</f>
        <v>2750</v>
      </c>
      <c r="N31" s="32">
        <f>N$24*Workings_risks!$E19</f>
        <v>2200</v>
      </c>
      <c r="O31" s="32">
        <f>O$24*Workings_risks!$E19</f>
        <v>2200</v>
      </c>
      <c r="P31" s="32">
        <f>P$24*Workings_risks!$E19</f>
        <v>2200</v>
      </c>
      <c r="Q31" s="32">
        <f>Q$24*Workings_risks!$E19</f>
        <v>2200</v>
      </c>
      <c r="R31" s="32">
        <f>R$24*Workings_risks!$E19</f>
        <v>2200</v>
      </c>
      <c r="S31" s="32">
        <f>S$24*Workings_risks!$E19</f>
        <v>2200</v>
      </c>
      <c r="T31" s="32">
        <f>T$24*Workings_risks!$E19</f>
        <v>2200</v>
      </c>
      <c r="U31" s="32">
        <f>U$24*Workings_risks!$E19</f>
        <v>2200</v>
      </c>
      <c r="V31" s="32">
        <f>V$24*Workings_risks!$E19</f>
        <v>1650</v>
      </c>
      <c r="W31" s="32">
        <f>W$24*Workings_risks!$E19</f>
        <v>1650</v>
      </c>
      <c r="X31" s="32">
        <f>X$24*Workings_risks!$E19</f>
        <v>1650</v>
      </c>
      <c r="Y31" s="32">
        <f>Y$24*Workings_risks!$E19</f>
        <v>1650</v>
      </c>
      <c r="Z31" s="32">
        <f>Z$24*Workings_risks!$E19</f>
        <v>1650</v>
      </c>
      <c r="AA31" s="32">
        <f>AA$24*Workings_risks!$E19</f>
        <v>1650</v>
      </c>
      <c r="AB31" s="32">
        <f>AB$24*Workings_risks!$E19</f>
        <v>1650</v>
      </c>
      <c r="AC31" s="32">
        <f>AC$24*Workings_risks!$E19</f>
        <v>1650</v>
      </c>
      <c r="AD31" s="32">
        <f>AD$24*Workings_risks!$E19</f>
        <v>1650</v>
      </c>
      <c r="AE31" s="32">
        <f>AE$24*Workings_risks!$E19</f>
        <v>1650</v>
      </c>
      <c r="AF31" s="32">
        <f>AF$24*Workings_risks!$E19</f>
        <v>1650</v>
      </c>
      <c r="AG31" s="32">
        <f>AG$24*Workings_risks!$E19</f>
        <v>1100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7" t="s">
        <v>258</v>
      </c>
      <c r="D32" s="221"/>
      <c r="E32"/>
      <c r="G32" s="209">
        <f>input_dollars</f>
        <v>45291</v>
      </c>
      <c r="H32"/>
      <c r="I32" s="32">
        <f>I$24*Workings_risks!$E21</f>
        <v>65000</v>
      </c>
      <c r="J32" s="32">
        <f>J$24*Workings_risks!$E21</f>
        <v>65000</v>
      </c>
      <c r="K32" s="32">
        <f>K$24*Workings_risks!$E21</f>
        <v>65000</v>
      </c>
      <c r="L32" s="32">
        <f>L$24*Workings_risks!$E21</f>
        <v>65000</v>
      </c>
      <c r="M32" s="32">
        <f>M$24*Workings_risks!$E21</f>
        <v>65000</v>
      </c>
      <c r="N32" s="32">
        <f>N$24*Workings_risks!$E21</f>
        <v>52000</v>
      </c>
      <c r="O32" s="32">
        <f>O$24*Workings_risks!$E21</f>
        <v>52000</v>
      </c>
      <c r="P32" s="32">
        <f>P$24*Workings_risks!$E21</f>
        <v>52000</v>
      </c>
      <c r="Q32" s="32">
        <f>Q$24*Workings_risks!$E21</f>
        <v>52000</v>
      </c>
      <c r="R32" s="32">
        <f>R$24*Workings_risks!$E21</f>
        <v>52000</v>
      </c>
      <c r="S32" s="32">
        <f>S$24*Workings_risks!$E21</f>
        <v>52000</v>
      </c>
      <c r="T32" s="32">
        <f>T$24*Workings_risks!$E21</f>
        <v>52000</v>
      </c>
      <c r="U32" s="32">
        <f>U$24*Workings_risks!$E21</f>
        <v>52000</v>
      </c>
      <c r="V32" s="32">
        <f>V$24*Workings_risks!$E21</f>
        <v>39000</v>
      </c>
      <c r="W32" s="32">
        <f>W$24*Workings_risks!$E21</f>
        <v>39000</v>
      </c>
      <c r="X32" s="32">
        <f>X$24*Workings_risks!$E21</f>
        <v>39000</v>
      </c>
      <c r="Y32" s="32">
        <f>Y$24*Workings_risks!$E21</f>
        <v>39000</v>
      </c>
      <c r="Z32" s="32">
        <f>Z$24*Workings_risks!$E21</f>
        <v>39000</v>
      </c>
      <c r="AA32" s="32">
        <f>AA$24*Workings_risks!$E21</f>
        <v>39000</v>
      </c>
      <c r="AB32" s="32">
        <f>AB$24*Workings_risks!$E21</f>
        <v>39000</v>
      </c>
      <c r="AC32" s="32">
        <f>AC$24*Workings_risks!$E21</f>
        <v>39000</v>
      </c>
      <c r="AD32" s="32">
        <f>AD$24*Workings_risks!$E21</f>
        <v>39000</v>
      </c>
      <c r="AE32" s="32">
        <f>AE$24*Workings_risks!$E21</f>
        <v>39000</v>
      </c>
      <c r="AF32" s="32">
        <f>AF$24*Workings_risks!$E21</f>
        <v>39000</v>
      </c>
      <c r="AG32" s="32">
        <f>AG$24*Workings_risks!$E21</f>
        <v>26000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7"/>
      <c r="D33" s="208"/>
      <c r="E33"/>
      <c r="G33" s="209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D34" s="208"/>
      <c r="E34"/>
      <c r="G34" s="20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pans="1:16372" x14ac:dyDescent="0.2">
      <c r="C35" s="3" t="s">
        <v>170</v>
      </c>
      <c r="D35" s="220"/>
      <c r="E35" s="107"/>
      <c r="F35" s="3"/>
      <c r="G35" s="211"/>
      <c r="H35" s="107"/>
      <c r="I35" s="106">
        <f>SUM(I27:I33)</f>
        <v>1750209.8618510463</v>
      </c>
      <c r="J35" s="106">
        <f t="shared" ref="J35:AB35" si="3">SUM(J27:J33)</f>
        <v>1750209.8618510463</v>
      </c>
      <c r="K35" s="106">
        <f t="shared" si="3"/>
        <v>1750209.8618510463</v>
      </c>
      <c r="L35" s="106">
        <f t="shared" si="3"/>
        <v>1750209.8618510463</v>
      </c>
      <c r="M35" s="106">
        <f t="shared" si="3"/>
        <v>1750209.8618510463</v>
      </c>
      <c r="N35" s="106">
        <f t="shared" si="3"/>
        <v>1400167.8894808369</v>
      </c>
      <c r="O35" s="106">
        <f t="shared" si="3"/>
        <v>1400167.8894808369</v>
      </c>
      <c r="P35" s="106">
        <f t="shared" si="3"/>
        <v>1400167.8894808369</v>
      </c>
      <c r="Q35" s="106">
        <f t="shared" si="3"/>
        <v>1400167.8894808369</v>
      </c>
      <c r="R35" s="106">
        <f t="shared" si="3"/>
        <v>1400167.8894808369</v>
      </c>
      <c r="S35" s="106">
        <f t="shared" si="3"/>
        <v>1400167.8894808369</v>
      </c>
      <c r="T35" s="106">
        <f t="shared" si="3"/>
        <v>1400167.8894808369</v>
      </c>
      <c r="U35" s="106">
        <f t="shared" si="3"/>
        <v>1400167.8894808369</v>
      </c>
      <c r="V35" s="106">
        <f t="shared" si="3"/>
        <v>1050125.917110628</v>
      </c>
      <c r="W35" s="106">
        <f t="shared" si="3"/>
        <v>1050125.917110628</v>
      </c>
      <c r="X35" s="106">
        <f t="shared" si="3"/>
        <v>1050125.917110628</v>
      </c>
      <c r="Y35" s="106">
        <f t="shared" si="3"/>
        <v>1050125.917110628</v>
      </c>
      <c r="Z35" s="106">
        <f t="shared" si="3"/>
        <v>1050125.917110628</v>
      </c>
      <c r="AA35" s="106">
        <f t="shared" si="3"/>
        <v>1050125.917110628</v>
      </c>
      <c r="AB35" s="106">
        <f t="shared" si="3"/>
        <v>1050125.917110628</v>
      </c>
      <c r="AC35" s="106">
        <f>SUM(AC27:AC33)</f>
        <v>1050125.917110628</v>
      </c>
      <c r="AD35" s="106">
        <f>SUM(AD27:AD33)</f>
        <v>1050125.917110628</v>
      </c>
      <c r="AE35" s="106">
        <f>SUM(AE27:AE33)</f>
        <v>1050125.917110628</v>
      </c>
      <c r="AF35" s="106">
        <f>SUM(AF27:AF33)</f>
        <v>1050125.917110628</v>
      </c>
      <c r="AG35" s="106">
        <f>SUM(AG27:AG33)</f>
        <v>700083.94474041846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D36"/>
      <c r="E36"/>
      <c r="G36" s="20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5" x14ac:dyDescent="0.2">
      <c r="A37" s="89" t="s">
        <v>56</v>
      </c>
      <c r="B37" s="89"/>
      <c r="C37" s="89"/>
      <c r="D37" s="89"/>
      <c r="E37" s="89"/>
      <c r="F37" s="89"/>
      <c r="G37" s="20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/>
      <c r="AI37"/>
      <c r="AJ37"/>
      <c r="AK37"/>
      <c r="AL37"/>
      <c r="AM37"/>
      <c r="AN37"/>
      <c r="AO37"/>
      <c r="AP37"/>
      <c r="AQ37"/>
    </row>
    <row r="38" spans="1:16372" x14ac:dyDescent="0.2">
      <c r="D38"/>
      <c r="E38"/>
      <c r="G38" s="20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25">
      <c r="C40" s="1" t="s">
        <v>59</v>
      </c>
      <c r="G40" s="207" t="s">
        <v>40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</row>
    <row r="41" spans="1:16372" ht="13.5" x14ac:dyDescent="0.25">
      <c r="C41" s="1" t="s">
        <v>129</v>
      </c>
      <c r="G41" s="207" t="s">
        <v>104</v>
      </c>
      <c r="I41" s="31">
        <f t="shared" ref="I41:AG41" si="4">I40*I7</f>
        <v>0</v>
      </c>
      <c r="J41" s="31">
        <f t="shared" si="4"/>
        <v>0</v>
      </c>
      <c r="K41" s="31">
        <f t="shared" si="4"/>
        <v>0</v>
      </c>
      <c r="L41" s="31">
        <f t="shared" si="4"/>
        <v>0</v>
      </c>
      <c r="M41" s="31">
        <f t="shared" si="4"/>
        <v>0</v>
      </c>
      <c r="N41" s="31">
        <f t="shared" si="4"/>
        <v>0</v>
      </c>
      <c r="O41" s="31">
        <f t="shared" si="4"/>
        <v>0</v>
      </c>
      <c r="P41" s="31">
        <f t="shared" si="4"/>
        <v>0</v>
      </c>
      <c r="Q41" s="31">
        <f t="shared" si="4"/>
        <v>0</v>
      </c>
      <c r="R41" s="31">
        <f t="shared" si="4"/>
        <v>0</v>
      </c>
      <c r="S41" s="31">
        <f t="shared" si="4"/>
        <v>0</v>
      </c>
      <c r="T41" s="31">
        <f t="shared" si="4"/>
        <v>0</v>
      </c>
      <c r="U41" s="31">
        <f t="shared" si="4"/>
        <v>0</v>
      </c>
      <c r="V41" s="31">
        <f t="shared" si="4"/>
        <v>0</v>
      </c>
      <c r="W41" s="31">
        <f t="shared" si="4"/>
        <v>0</v>
      </c>
      <c r="X41" s="31">
        <f t="shared" si="4"/>
        <v>0</v>
      </c>
      <c r="Y41" s="31">
        <f t="shared" si="4"/>
        <v>0</v>
      </c>
      <c r="Z41" s="31">
        <f t="shared" si="4"/>
        <v>0</v>
      </c>
      <c r="AA41" s="31">
        <f t="shared" si="4"/>
        <v>0</v>
      </c>
      <c r="AB41" s="31">
        <f t="shared" si="4"/>
        <v>0</v>
      </c>
      <c r="AC41" s="31">
        <f t="shared" si="4"/>
        <v>0</v>
      </c>
      <c r="AD41" s="31">
        <f t="shared" si="4"/>
        <v>0</v>
      </c>
      <c r="AE41" s="31">
        <f t="shared" si="4"/>
        <v>0</v>
      </c>
      <c r="AF41" s="31">
        <f t="shared" si="4"/>
        <v>0</v>
      </c>
      <c r="AG41" s="31">
        <f t="shared" si="4"/>
        <v>0</v>
      </c>
    </row>
    <row r="42" spans="1:16372" x14ac:dyDescent="0.2">
      <c r="D42"/>
      <c r="E42"/>
      <c r="G42" s="20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2">
      <c r="D43" s="208"/>
      <c r="E43"/>
      <c r="G43" s="20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C44" s="1" t="s">
        <v>14</v>
      </c>
      <c r="D44" s="207" t="s">
        <v>63</v>
      </c>
      <c r="E44" s="113">
        <f>Assumptions!G94</f>
        <v>0</v>
      </c>
      <c r="G44" s="209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2">
      <c r="C45" s="1" t="s">
        <v>4</v>
      </c>
      <c r="D45" s="207" t="s">
        <v>63</v>
      </c>
      <c r="E45" s="113">
        <f>Assumptions!G95</f>
        <v>0</v>
      </c>
      <c r="G45" s="209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5</v>
      </c>
      <c r="D46" s="207" t="s">
        <v>63</v>
      </c>
      <c r="E46" s="112">
        <f>Assumptions!G96</f>
        <v>4220.9953699573898</v>
      </c>
      <c r="G46" s="209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15</v>
      </c>
      <c r="D47" s="207" t="s">
        <v>126</v>
      </c>
      <c r="E47" s="112">
        <f>Assumptions!G97</f>
        <v>0</v>
      </c>
      <c r="G47" s="209" t="s">
        <v>203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201</v>
      </c>
      <c r="D48" s="207" t="s">
        <v>204</v>
      </c>
      <c r="E48" s="112">
        <f>Assumptions!G98</f>
        <v>0.54769380678923496</v>
      </c>
      <c r="G48" s="209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7" t="s">
        <v>204</v>
      </c>
      <c r="E49" s="112">
        <f>Assumptions!G99</f>
        <v>0.54769380678923496</v>
      </c>
      <c r="G49" s="209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6</v>
      </c>
      <c r="D50" s="207" t="s">
        <v>126</v>
      </c>
      <c r="E50" s="112">
        <f>Assumptions!G100</f>
        <v>0</v>
      </c>
      <c r="G50" s="209" t="s">
        <v>203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7</v>
      </c>
      <c r="D51" s="207" t="s">
        <v>126</v>
      </c>
      <c r="E51" s="112">
        <f>Assumptions!G101</f>
        <v>0</v>
      </c>
      <c r="G51" s="209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7"/>
      <c r="G52" s="20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43" x14ac:dyDescent="0.2">
      <c r="C53" s="1" t="s">
        <v>117</v>
      </c>
      <c r="D53" s="207"/>
      <c r="G53" s="209">
        <f>input_dollars</f>
        <v>45291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C54" s="1" t="s">
        <v>118</v>
      </c>
      <c r="D54" s="207"/>
      <c r="G54" s="209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D55" s="207"/>
      <c r="G55" s="207"/>
    </row>
    <row r="56" spans="1:43" x14ac:dyDescent="0.2">
      <c r="C56" s="3" t="s">
        <v>125</v>
      </c>
      <c r="D56" s="220"/>
      <c r="E56" s="107"/>
      <c r="F56" s="3"/>
      <c r="G56" s="212">
        <f>input_dollars</f>
        <v>45291</v>
      </c>
      <c r="H56" s="107"/>
      <c r="I56" s="106" cm="1">
        <f t="array" ref="I56">SUMPRODUCT((I$44:I$51)*($E$44:$E$51))+SUM(I53:I54)+I41</f>
        <v>0</v>
      </c>
      <c r="J56" s="106" cm="1">
        <f t="array" ref="J56">SUMPRODUCT((J$44:J$51)*($E$44:$E$51))+SUM(J53:J54)+J41</f>
        <v>0</v>
      </c>
      <c r="K56" s="106" cm="1">
        <f t="array" ref="K56">SUMPRODUCT((K$44:K$51)*($E$44:$E$51))+SUM(K53:K54)+K41</f>
        <v>0</v>
      </c>
      <c r="L56" s="106" cm="1">
        <f t="array" ref="L56">SUMPRODUCT((L$44:L$51)*($E$44:$E$51))+SUM(L53:L54)+L41</f>
        <v>0</v>
      </c>
      <c r="M56" s="106" cm="1">
        <f t="array" ref="M56">SUMPRODUCT((M$44:M$51)*($E$44:$E$51))+SUM(M53:M54)+M41</f>
        <v>0</v>
      </c>
      <c r="N56" s="106" cm="1">
        <f t="array" ref="N56">SUMPRODUCT((N$44:N$51)*($E$44:$E$51))+SUM(N53:N54)+N41</f>
        <v>0</v>
      </c>
      <c r="O56" s="106" cm="1">
        <f t="array" ref="O56">SUMPRODUCT((O$44:O$51)*($E$44:$E$51))+SUM(O53:O54)+O41</f>
        <v>0</v>
      </c>
      <c r="P56" s="106" cm="1">
        <f t="array" ref="P56">SUMPRODUCT((P$44:P$51)*($E$44:$E$51))+SUM(P53:P54)+P41</f>
        <v>0</v>
      </c>
      <c r="Q56" s="106" cm="1">
        <f t="array" ref="Q56">SUMPRODUCT((Q$44:Q$51)*($E$44:$E$51))+SUM(Q53:Q54)+Q41</f>
        <v>0</v>
      </c>
      <c r="R56" s="106" cm="1">
        <f t="array" ref="R56">SUMPRODUCT((R$44:R$51)*($E$44:$E$51))+SUM(R53:R54)+R41</f>
        <v>0</v>
      </c>
      <c r="S56" s="106" cm="1">
        <f t="array" ref="S56">SUMPRODUCT((S$44:S$51)*($E$44:$E$51))+SUM(S53:S54)+S41</f>
        <v>0</v>
      </c>
      <c r="T56" s="106" cm="1">
        <f t="array" ref="T56">SUMPRODUCT((T$44:T$51)*($E$44:$E$51))+SUM(T53:T54)+T41</f>
        <v>0</v>
      </c>
      <c r="U56" s="106" cm="1">
        <f t="array" ref="U56">SUMPRODUCT((U$44:U$51)*($E$44:$E$51))+SUM(U53:U54)+U41</f>
        <v>0</v>
      </c>
      <c r="V56" s="106" cm="1">
        <f t="array" ref="V56">SUMPRODUCT((V$44:V$51)*($E$44:$E$51))+SUM(V53:V54)+V41</f>
        <v>0</v>
      </c>
      <c r="W56" s="106" cm="1">
        <f t="array" ref="W56">SUMPRODUCT((W$44:W$51)*($E$44:$E$51))+SUM(W53:W54)+W41</f>
        <v>0</v>
      </c>
      <c r="X56" s="106" cm="1">
        <f t="array" ref="X56">SUMPRODUCT((X$44:X$51)*($E$44:$E$51))+SUM(X53:X54)+X41</f>
        <v>0</v>
      </c>
      <c r="Y56" s="106" cm="1">
        <f t="array" ref="Y56">SUMPRODUCT((Y$44:Y$51)*($E$44:$E$51))+SUM(Y53:Y54)+Y41</f>
        <v>0</v>
      </c>
      <c r="Z56" s="106" cm="1">
        <f t="array" ref="Z56">SUMPRODUCT((Z$44:Z$51)*($E$44:$E$51))+SUM(Z53:Z54)+Z41</f>
        <v>0</v>
      </c>
      <c r="AA56" s="106" cm="1">
        <f t="array" ref="AA56">SUMPRODUCT((AA$44:AA$51)*($E$44:$E$51))+SUM(AA53:AA54)+AA41</f>
        <v>0</v>
      </c>
      <c r="AB56" s="106" cm="1">
        <f t="array" ref="AB56">SUMPRODUCT((AB$44:AB$51)*($E$44:$E$51))+SUM(AB53:AB54)+AB41</f>
        <v>0</v>
      </c>
      <c r="AC56" s="106" cm="1">
        <f t="array" ref="AC56">SUMPRODUCT((AC$44:AC$51)*($E$44:$E$51))+SUM(AC53:AC54)+AC41</f>
        <v>0</v>
      </c>
      <c r="AD56" s="106" cm="1">
        <f t="array" ref="AD56">SUMPRODUCT((AD$44:AD$51)*($E$44:$E$51))+SUM(AD53:AD54)+AD41</f>
        <v>0</v>
      </c>
      <c r="AE56" s="106" cm="1">
        <f t="array" ref="AE56">SUMPRODUCT((AE$44:AE$51)*($E$44:$E$51))+SUM(AE53:AE54)+AE41</f>
        <v>0</v>
      </c>
      <c r="AF56" s="106" cm="1">
        <f t="array" ref="AF56">SUMPRODUCT((AF$44:AF$51)*($E$44:$E$51))+SUM(AF53:AF54)+AF41</f>
        <v>0</v>
      </c>
      <c r="AG56" s="106" cm="1">
        <f t="array" ref="AG56">SUMPRODUCT((AG$44:AG$51)*($E$44:$E$51))+SUM(AG53:AG54)+AG41</f>
        <v>0</v>
      </c>
    </row>
    <row r="57" spans="1:43" x14ac:dyDescent="0.2">
      <c r="D57" s="207"/>
      <c r="G57" s="207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3" x14ac:dyDescent="0.2">
      <c r="G58" s="207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ht="15" x14ac:dyDescent="0.2">
      <c r="A59" s="89" t="s">
        <v>16</v>
      </c>
      <c r="B59" s="89"/>
      <c r="C59" s="89"/>
      <c r="D59" s="89"/>
      <c r="E59" s="89"/>
      <c r="F59" s="89"/>
      <c r="G59" s="206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/>
      <c r="AI59"/>
      <c r="AJ59"/>
      <c r="AK59"/>
      <c r="AL59"/>
      <c r="AM59"/>
      <c r="AN59"/>
      <c r="AO59"/>
      <c r="AP59"/>
      <c r="AQ59"/>
    </row>
    <row r="60" spans="1:43" ht="15" x14ac:dyDescent="0.2">
      <c r="A60" s="111"/>
      <c r="B60" s="111"/>
      <c r="C60" s="111"/>
      <c r="D60" s="111"/>
      <c r="E60" s="111"/>
      <c r="F60" s="111"/>
      <c r="G60" s="2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/>
      <c r="AI60"/>
      <c r="AJ60"/>
      <c r="AK60"/>
      <c r="AL60"/>
      <c r="AM60"/>
      <c r="AN60"/>
      <c r="AO60"/>
      <c r="AP60"/>
      <c r="AQ60"/>
    </row>
    <row r="61" spans="1:43" ht="12.75" customHeight="1" x14ac:dyDescent="0.2">
      <c r="A61" s="111"/>
      <c r="B61" s="111"/>
      <c r="C61" s="111"/>
      <c r="D61" s="111"/>
      <c r="E61" s="111"/>
      <c r="F61"/>
      <c r="G61" s="2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3" x14ac:dyDescent="0.2">
      <c r="C62" s="4"/>
      <c r="F62" s="2"/>
      <c r="G62" s="214"/>
    </row>
    <row r="63" spans="1:43" x14ac:dyDescent="0.2">
      <c r="C63" s="4" t="s">
        <v>121</v>
      </c>
      <c r="G63" s="212">
        <f>input_dollars</f>
        <v>45291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G64" s="214"/>
    </row>
    <row r="65" spans="1:33" x14ac:dyDescent="0.2">
      <c r="A65" s="8"/>
      <c r="B65" s="8"/>
      <c r="C65" s="150" t="s">
        <v>30</v>
      </c>
      <c r="D65" s="38"/>
      <c r="F65" s="97"/>
      <c r="G65" s="21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2">
      <c r="A66" s="8"/>
      <c r="B66" s="8"/>
      <c r="C66" s="4" t="str">
        <f>C14</f>
        <v>Replace Failed Cable Boxes under Faults Capex</v>
      </c>
      <c r="D66" s="38"/>
      <c r="F66" s="97"/>
      <c r="G66" s="212">
        <f>input_dollars</f>
        <v>45291</v>
      </c>
      <c r="H66" s="31"/>
      <c r="I66" s="119">
        <f t="shared" ref="I66:AG66" si="5">-I14</f>
        <v>-275000</v>
      </c>
      <c r="J66" s="119">
        <f t="shared" si="5"/>
        <v>-275000</v>
      </c>
      <c r="K66" s="119">
        <f t="shared" si="5"/>
        <v>-275000</v>
      </c>
      <c r="L66" s="119">
        <f t="shared" si="5"/>
        <v>-275000</v>
      </c>
      <c r="M66" s="119">
        <f t="shared" si="5"/>
        <v>-275000</v>
      </c>
      <c r="N66" s="119">
        <f t="shared" si="5"/>
        <v>-220000</v>
      </c>
      <c r="O66" s="119">
        <f t="shared" si="5"/>
        <v>-220000</v>
      </c>
      <c r="P66" s="119">
        <f t="shared" si="5"/>
        <v>-220000</v>
      </c>
      <c r="Q66" s="119">
        <f t="shared" si="5"/>
        <v>-220000</v>
      </c>
      <c r="R66" s="119">
        <f t="shared" si="5"/>
        <v>-220000</v>
      </c>
      <c r="S66" s="119">
        <f t="shared" si="5"/>
        <v>-220000</v>
      </c>
      <c r="T66" s="119">
        <f t="shared" si="5"/>
        <v>-220000</v>
      </c>
      <c r="U66" s="119">
        <f t="shared" si="5"/>
        <v>-220000</v>
      </c>
      <c r="V66" s="119">
        <f t="shared" si="5"/>
        <v>-165000</v>
      </c>
      <c r="W66" s="119">
        <f t="shared" si="5"/>
        <v>-165000</v>
      </c>
      <c r="X66" s="119">
        <f t="shared" si="5"/>
        <v>-165000</v>
      </c>
      <c r="Y66" s="119">
        <f t="shared" si="5"/>
        <v>-165000</v>
      </c>
      <c r="Z66" s="119">
        <f t="shared" si="5"/>
        <v>-165000</v>
      </c>
      <c r="AA66" s="119">
        <f t="shared" si="5"/>
        <v>-165000</v>
      </c>
      <c r="AB66" s="119">
        <f t="shared" si="5"/>
        <v>-165000</v>
      </c>
      <c r="AC66" s="119">
        <f t="shared" si="5"/>
        <v>-165000</v>
      </c>
      <c r="AD66" s="119">
        <f t="shared" si="5"/>
        <v>-165000</v>
      </c>
      <c r="AE66" s="119">
        <f t="shared" si="5"/>
        <v>-165000</v>
      </c>
      <c r="AF66" s="119">
        <f t="shared" si="5"/>
        <v>-165000</v>
      </c>
      <c r="AG66" s="119">
        <f t="shared" si="5"/>
        <v>-110000</v>
      </c>
    </row>
    <row r="67" spans="1:33" x14ac:dyDescent="0.2">
      <c r="A67" s="8"/>
      <c r="B67" s="8"/>
      <c r="C67" s="4">
        <f>C15</f>
        <v>0</v>
      </c>
      <c r="D67" s="38"/>
      <c r="F67" s="97"/>
      <c r="G67" s="212">
        <f>input_dollars</f>
        <v>45291</v>
      </c>
      <c r="H67" s="31"/>
      <c r="I67" s="119">
        <f t="shared" ref="I67:AG67" si="6">-I15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>
        <f>C16</f>
        <v>0</v>
      </c>
      <c r="D68" s="38"/>
      <c r="F68" s="97"/>
      <c r="G68" s="212">
        <f>input_dollars</f>
        <v>45291</v>
      </c>
      <c r="H68" s="31"/>
      <c r="I68" s="119">
        <f t="shared" ref="I68:AG68" si="7">-I16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/>
      <c r="D69" s="38"/>
      <c r="F69" s="97"/>
      <c r="G69" s="216"/>
      <c r="H69" s="31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x14ac:dyDescent="0.2">
      <c r="A70" s="8"/>
      <c r="B70" s="8"/>
      <c r="C70" s="150" t="s">
        <v>155</v>
      </c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4" t="str">
        <f>C14</f>
        <v>Replace Failed Cable Boxes under Faults Capex</v>
      </c>
      <c r="D71" s="38"/>
      <c r="F71" s="97"/>
      <c r="G71" s="212">
        <f>input_dollars</f>
        <v>45291</v>
      </c>
      <c r="H71" s="31"/>
      <c r="I71" s="119" cm="1">
        <f t="array" ref="I71">SUMPRODUCT(($I66:I66))-SUMPRODUCT(($I66:I66)*($I$6:I$6&lt;=(I$6-$E14)))</f>
        <v>-275000</v>
      </c>
      <c r="J71" s="119" cm="1">
        <f t="array" ref="J71">SUMPRODUCT(($I66:J66))-SUMPRODUCT(($I66:J66)*($I$6:J$6&lt;=(J$6-$E14)))</f>
        <v>-550000</v>
      </c>
      <c r="K71" s="119" cm="1">
        <f t="array" ref="K71">SUMPRODUCT(($I66:K66))-SUMPRODUCT(($I66:K66)*($I$6:K$6&lt;=(K$6-$E14)))</f>
        <v>-825000</v>
      </c>
      <c r="L71" s="119" cm="1">
        <f t="array" ref="L71">SUMPRODUCT(($I66:L66))-SUMPRODUCT(($I66:L66)*($I$6:L$6&lt;=(L$6-$E14)))</f>
        <v>-1100000</v>
      </c>
      <c r="M71" s="119" cm="1">
        <f t="array" ref="M71">SUMPRODUCT(($I66:M66))-SUMPRODUCT(($I66:M66)*($I$6:M$6&lt;=(M$6-$E14)))</f>
        <v>-1375000</v>
      </c>
      <c r="N71" s="119" cm="1">
        <f t="array" ref="N71">SUMPRODUCT(($I66:N66))-SUMPRODUCT(($I66:N66)*($I$6:N$6&lt;=(N$6-$E14)))</f>
        <v>-1595000</v>
      </c>
      <c r="O71" s="119" cm="1">
        <f t="array" ref="O71">SUMPRODUCT(($I66:O66))-SUMPRODUCT(($I66:O66)*($I$6:O$6&lt;=(O$6-$E14)))</f>
        <v>-1815000</v>
      </c>
      <c r="P71" s="119" cm="1">
        <f t="array" ref="P71">SUMPRODUCT(($I66:P66))-SUMPRODUCT(($I66:P66)*($I$6:P$6&lt;=(P$6-$E14)))</f>
        <v>-2035000</v>
      </c>
      <c r="Q71" s="119" cm="1">
        <f t="array" ref="Q71">SUMPRODUCT(($I66:Q66))-SUMPRODUCT(($I66:Q66)*($I$6:Q$6&lt;=(Q$6-$E14)))</f>
        <v>-2255000</v>
      </c>
      <c r="R71" s="119" cm="1">
        <f t="array" ref="R71">SUMPRODUCT(($I66:R66))-SUMPRODUCT(($I66:R66)*($I$6:R$6&lt;=(R$6-$E14)))</f>
        <v>-2475000</v>
      </c>
      <c r="S71" s="119" cm="1">
        <f t="array" ref="S71">SUMPRODUCT(($I66:S66))-SUMPRODUCT(($I66:S66)*($I$6:S$6&lt;=(S$6-$E14)))</f>
        <v>-2695000</v>
      </c>
      <c r="T71" s="119" cm="1">
        <f t="array" ref="T71">SUMPRODUCT(($I66:T66))-SUMPRODUCT(($I66:T66)*($I$6:T$6&lt;=(T$6-$E14)))</f>
        <v>-2915000</v>
      </c>
      <c r="U71" s="119" cm="1">
        <f t="array" ref="U71">SUMPRODUCT(($I66:U66))-SUMPRODUCT(($I66:U66)*($I$6:U$6&lt;=(U$6-$E14)))</f>
        <v>-3135000</v>
      </c>
      <c r="V71" s="119" cm="1">
        <f t="array" ref="V71">SUMPRODUCT(($I66:V66))-SUMPRODUCT(($I66:V66)*($I$6:V$6&lt;=(V$6-$E14)))</f>
        <v>-3300000</v>
      </c>
      <c r="W71" s="119" cm="1">
        <f t="array" ref="W71">SUMPRODUCT(($I66:W66))-SUMPRODUCT(($I66:W66)*($I$6:W$6&lt;=(W$6-$E14)))</f>
        <v>-3465000</v>
      </c>
      <c r="X71" s="119" cm="1">
        <f t="array" ref="X71">SUMPRODUCT(($I66:X66))-SUMPRODUCT(($I66:X66)*($I$6:X$6&lt;=(X$6-$E14)))</f>
        <v>-3630000</v>
      </c>
      <c r="Y71" s="119" cm="1">
        <f t="array" ref="Y71">SUMPRODUCT(($I66:Y66))-SUMPRODUCT(($I66:Y66)*($I$6:Y$6&lt;=(Y$6-$E14)))</f>
        <v>-3795000</v>
      </c>
      <c r="Z71" s="119" cm="1">
        <f t="array" ref="Z71">SUMPRODUCT(($I66:Z66))-SUMPRODUCT(($I66:Z66)*($I$6:Z$6&lt;=(Z$6-$E14)))</f>
        <v>-3960000</v>
      </c>
      <c r="AA71" s="119" cm="1">
        <f t="array" ref="AA71">SUMPRODUCT(($I66:AA66))-SUMPRODUCT(($I66:AA66)*($I$6:AA$6&lt;=(AA$6-$E14)))</f>
        <v>-4125000</v>
      </c>
      <c r="AB71" s="119" cm="1">
        <f t="array" ref="AB71">SUMPRODUCT(($I66:AB66))-SUMPRODUCT(($I66:AB66)*($I$6:AB$6&lt;=(AB$6-$E14)))</f>
        <v>-4290000</v>
      </c>
      <c r="AC71" s="119" cm="1">
        <f t="array" ref="AC71">SUMPRODUCT(($I66:AC66))-SUMPRODUCT(($I66:AC66)*($I$6:AC$6&lt;=(AC$6-$E14)))</f>
        <v>-4455000</v>
      </c>
      <c r="AD71" s="119" cm="1">
        <f t="array" ref="AD71">SUMPRODUCT(($I66:AD66))-SUMPRODUCT(($I66:AD66)*($I$6:AD$6&lt;=(AD$6-$E14)))</f>
        <v>-4620000</v>
      </c>
      <c r="AE71" s="119" cm="1">
        <f t="array" ref="AE71">SUMPRODUCT(($I66:AE66))-SUMPRODUCT(($I66:AE66)*($I$6:AE$6&lt;=(AE$6-$E14)))</f>
        <v>-4785000</v>
      </c>
      <c r="AF71" s="119" cm="1">
        <f t="array" ref="AF71">SUMPRODUCT(($I66:AF66))-SUMPRODUCT(($I66:AF66)*($I$6:AF$6&lt;=(AF$6-$E14)))</f>
        <v>-4950000</v>
      </c>
      <c r="AG71" s="119" cm="1">
        <f t="array" ref="AG71">SUMPRODUCT(($I66:AG66))-SUMPRODUCT(($I66:AG66)*($I$6:AG$6&lt;=(AG$6-$E14)))</f>
        <v>-5060000</v>
      </c>
    </row>
    <row r="72" spans="1:33" x14ac:dyDescent="0.2">
      <c r="A72" s="8"/>
      <c r="B72" s="8"/>
      <c r="C72" s="4">
        <f>C15</f>
        <v>0</v>
      </c>
      <c r="D72" s="38"/>
      <c r="F72" s="97"/>
      <c r="G72" s="212">
        <f>input_dollars</f>
        <v>45291</v>
      </c>
      <c r="H72" s="31"/>
      <c r="I72" s="119" cm="1">
        <f t="array" ref="I72">SUMPRODUCT(($I67:I67))-SUMPRODUCT(($I67:I67)*($I$6:I$6&lt;=(I$6-$E15)))</f>
        <v>0</v>
      </c>
      <c r="J72" s="119" cm="1">
        <f t="array" ref="J72">SUMPRODUCT(($I67:J67))-SUMPRODUCT(($I67:J67)*($I$6:J$6&lt;=(J$6-$E15)))</f>
        <v>0</v>
      </c>
      <c r="K72" s="119" cm="1">
        <f t="array" ref="K72">SUMPRODUCT(($I67:K67))-SUMPRODUCT(($I67:K67)*($I$6:K$6&lt;=(K$6-$E15)))</f>
        <v>0</v>
      </c>
      <c r="L72" s="119" cm="1">
        <f t="array" ref="L72">SUMPRODUCT(($I67:L67))-SUMPRODUCT(($I67:L67)*($I$6:L$6&lt;=(L$6-$E15)))</f>
        <v>0</v>
      </c>
      <c r="M72" s="119" cm="1">
        <f t="array" ref="M72">SUMPRODUCT(($I67:M67))-SUMPRODUCT(($I67:M67)*($I$6:M$6&lt;=(M$6-$E15)))</f>
        <v>0</v>
      </c>
      <c r="N72" s="119" cm="1">
        <f t="array" ref="N72">SUMPRODUCT(($I67:N67))-SUMPRODUCT(($I67:N67)*($I$6:N$6&lt;=(N$6-$E15)))</f>
        <v>0</v>
      </c>
      <c r="O72" s="119" cm="1">
        <f t="array" ref="O72">SUMPRODUCT(($I67:O67))-SUMPRODUCT(($I67:O67)*($I$6:O$6&lt;=(O$6-$E15)))</f>
        <v>0</v>
      </c>
      <c r="P72" s="119" cm="1">
        <f t="array" ref="P72">SUMPRODUCT(($I67:P67))-SUMPRODUCT(($I67:P67)*($I$6:P$6&lt;=(P$6-$E15)))</f>
        <v>0</v>
      </c>
      <c r="Q72" s="119" cm="1">
        <f t="array" ref="Q72">SUMPRODUCT(($I67:Q67))-SUMPRODUCT(($I67:Q67)*($I$6:Q$6&lt;=(Q$6-$E15)))</f>
        <v>0</v>
      </c>
      <c r="R72" s="119" cm="1">
        <f t="array" ref="R72">SUMPRODUCT(($I67:R67))-SUMPRODUCT(($I67:R67)*($I$6:R$6&lt;=(R$6-$E15)))</f>
        <v>0</v>
      </c>
      <c r="S72" s="119" cm="1">
        <f t="array" ref="S72">SUMPRODUCT(($I67:S67))-SUMPRODUCT(($I67:S67)*($I$6:S$6&lt;=(S$6-$E15)))</f>
        <v>0</v>
      </c>
      <c r="T72" s="119" cm="1">
        <f t="array" ref="T72">SUMPRODUCT(($I67:T67))-SUMPRODUCT(($I67:T67)*($I$6:T$6&lt;=(T$6-$E15)))</f>
        <v>0</v>
      </c>
      <c r="U72" s="119" cm="1">
        <f t="array" ref="U72">SUMPRODUCT(($I67:U67))-SUMPRODUCT(($I67:U67)*($I$6:U$6&lt;=(U$6-$E15)))</f>
        <v>0</v>
      </c>
      <c r="V72" s="119" cm="1">
        <f t="array" ref="V72">SUMPRODUCT(($I67:V67))-SUMPRODUCT(($I67:V67)*($I$6:V$6&lt;=(V$6-$E15)))</f>
        <v>0</v>
      </c>
      <c r="W72" s="119" cm="1">
        <f t="array" ref="W72">SUMPRODUCT(($I67:W67))-SUMPRODUCT(($I67:W67)*($I$6:W$6&lt;=(W$6-$E15)))</f>
        <v>0</v>
      </c>
      <c r="X72" s="119" cm="1">
        <f t="array" ref="X72">SUMPRODUCT(($I67:X67))-SUMPRODUCT(($I67:X67)*($I$6:X$6&lt;=(X$6-$E15)))</f>
        <v>0</v>
      </c>
      <c r="Y72" s="119" cm="1">
        <f t="array" ref="Y72">SUMPRODUCT(($I67:Y67))-SUMPRODUCT(($I67:Y67)*($I$6:Y$6&lt;=(Y$6-$E15)))</f>
        <v>0</v>
      </c>
      <c r="Z72" s="119" cm="1">
        <f t="array" ref="Z72">SUMPRODUCT(($I67:Z67))-SUMPRODUCT(($I67:Z67)*($I$6:Z$6&lt;=(Z$6-$E15)))</f>
        <v>0</v>
      </c>
      <c r="AA72" s="119" cm="1">
        <f t="array" ref="AA72">SUMPRODUCT(($I67:AA67))-SUMPRODUCT(($I67:AA67)*($I$6:AA$6&lt;=(AA$6-$E15)))</f>
        <v>0</v>
      </c>
      <c r="AB72" s="119" cm="1">
        <f t="array" ref="AB72">SUMPRODUCT(($I67:AB67))-SUMPRODUCT(($I67:AB67)*($I$6:AB$6&lt;=(AB$6-$E15)))</f>
        <v>0</v>
      </c>
      <c r="AC72" s="119" cm="1">
        <f t="array" ref="AC72">SUMPRODUCT(($I67:AC67))-SUMPRODUCT(($I67:AC67)*($I$6:AC$6&lt;=(AC$6-$E15)))</f>
        <v>0</v>
      </c>
      <c r="AD72" s="119" cm="1">
        <f t="array" ref="AD72">SUMPRODUCT(($I67:AD67))-SUMPRODUCT(($I67:AD67)*($I$6:AD$6&lt;=(AD$6-$E15)))</f>
        <v>0</v>
      </c>
      <c r="AE72" s="119" cm="1">
        <f t="array" ref="AE72">SUMPRODUCT(($I67:AE67))-SUMPRODUCT(($I67:AE67)*($I$6:AE$6&lt;=(AE$6-$E15)))</f>
        <v>0</v>
      </c>
      <c r="AF72" s="119" cm="1">
        <f t="array" ref="AF72">SUMPRODUCT(($I67:AF67))-SUMPRODUCT(($I67:AF67)*($I$6:AF$6&lt;=(AF$6-$E15)))</f>
        <v>0</v>
      </c>
      <c r="AG72" s="119" cm="1">
        <f t="array" ref="AG72">SUMPRODUCT(($I67:AG67))-SUMPRODUCT(($I67:AG67)*($I$6:AG$6&lt;=(AG$6-$E15)))</f>
        <v>0</v>
      </c>
    </row>
    <row r="73" spans="1:33" x14ac:dyDescent="0.2">
      <c r="A73" s="8"/>
      <c r="B73" s="8"/>
      <c r="C73" s="4">
        <f>C16</f>
        <v>0</v>
      </c>
      <c r="D73" s="38"/>
      <c r="F73" s="97"/>
      <c r="G73" s="212">
        <f>input_dollars</f>
        <v>45291</v>
      </c>
      <c r="H73" s="31"/>
      <c r="I73" s="119" cm="1">
        <f t="array" ref="I73">SUMPRODUCT(($I68:I68))-SUMPRODUCT(($I68:I68)*($I$6:I$6&lt;=(I$6-$E16)))</f>
        <v>0</v>
      </c>
      <c r="J73" s="119" cm="1">
        <f t="array" ref="J73">SUMPRODUCT(($I68:J68))-SUMPRODUCT(($I68:J68)*($I$6:J$6&lt;=(J$6-$E16)))</f>
        <v>0</v>
      </c>
      <c r="K73" s="119" cm="1">
        <f t="array" ref="K73">SUMPRODUCT(($I68:K68))-SUMPRODUCT(($I68:K68)*($I$6:K$6&lt;=(K$6-$E16)))</f>
        <v>0</v>
      </c>
      <c r="L73" s="119" cm="1">
        <f t="array" ref="L73">SUMPRODUCT(($I68:L68))-SUMPRODUCT(($I68:L68)*($I$6:L$6&lt;=(L$6-$E16)))</f>
        <v>0</v>
      </c>
      <c r="M73" s="119" cm="1">
        <f t="array" ref="M73">SUMPRODUCT(($I68:M68))-SUMPRODUCT(($I68:M68)*($I$6:M$6&lt;=(M$6-$E16)))</f>
        <v>0</v>
      </c>
      <c r="N73" s="119" cm="1">
        <f t="array" ref="N73">SUMPRODUCT(($I68:N68))-SUMPRODUCT(($I68:N68)*($I$6:N$6&lt;=(N$6-$E16)))</f>
        <v>0</v>
      </c>
      <c r="O73" s="119" cm="1">
        <f t="array" ref="O73">SUMPRODUCT(($I68:O68))-SUMPRODUCT(($I68:O68)*($I$6:O$6&lt;=(O$6-$E16)))</f>
        <v>0</v>
      </c>
      <c r="P73" s="119" cm="1">
        <f t="array" ref="P73">SUMPRODUCT(($I68:P68))-SUMPRODUCT(($I68:P68)*($I$6:P$6&lt;=(P$6-$E16)))</f>
        <v>0</v>
      </c>
      <c r="Q73" s="119" cm="1">
        <f t="array" ref="Q73">SUMPRODUCT(($I68:Q68))-SUMPRODUCT(($I68:Q68)*($I$6:Q$6&lt;=(Q$6-$E16)))</f>
        <v>0</v>
      </c>
      <c r="R73" s="119" cm="1">
        <f t="array" ref="R73">SUMPRODUCT(($I68:R68))-SUMPRODUCT(($I68:R68)*($I$6:R$6&lt;=(R$6-$E16)))</f>
        <v>0</v>
      </c>
      <c r="S73" s="119" cm="1">
        <f t="array" ref="S73">SUMPRODUCT(($I68:S68))-SUMPRODUCT(($I68:S68)*($I$6:S$6&lt;=(S$6-$E16)))</f>
        <v>0</v>
      </c>
      <c r="T73" s="119" cm="1">
        <f t="array" ref="T73">SUMPRODUCT(($I68:T68))-SUMPRODUCT(($I68:T68)*($I$6:T$6&lt;=(T$6-$E16)))</f>
        <v>0</v>
      </c>
      <c r="U73" s="119" cm="1">
        <f t="array" ref="U73">SUMPRODUCT(($I68:U68))-SUMPRODUCT(($I68:U68)*($I$6:U$6&lt;=(U$6-$E16)))</f>
        <v>0</v>
      </c>
      <c r="V73" s="119" cm="1">
        <f t="array" ref="V73">SUMPRODUCT(($I68:V68))-SUMPRODUCT(($I68:V68)*($I$6:V$6&lt;=(V$6-$E16)))</f>
        <v>0</v>
      </c>
      <c r="W73" s="119" cm="1">
        <f t="array" ref="W73">SUMPRODUCT(($I68:W68))-SUMPRODUCT(($I68:W68)*($I$6:W$6&lt;=(W$6-$E16)))</f>
        <v>0</v>
      </c>
      <c r="X73" s="119" cm="1">
        <f t="array" ref="X73">SUMPRODUCT(($I68:X68))-SUMPRODUCT(($I68:X68)*($I$6:X$6&lt;=(X$6-$E16)))</f>
        <v>0</v>
      </c>
      <c r="Y73" s="119" cm="1">
        <f t="array" ref="Y73">SUMPRODUCT(($I68:Y68))-SUMPRODUCT(($I68:Y68)*($I$6:Y$6&lt;=(Y$6-$E16)))</f>
        <v>0</v>
      </c>
      <c r="Z73" s="119" cm="1">
        <f t="array" ref="Z73">SUMPRODUCT(($I68:Z68))-SUMPRODUCT(($I68:Z68)*($I$6:Z$6&lt;=(Z$6-$E16)))</f>
        <v>0</v>
      </c>
      <c r="AA73" s="119" cm="1">
        <f t="array" ref="AA73">SUMPRODUCT(($I68:AA68))-SUMPRODUCT(($I68:AA68)*($I$6:AA$6&lt;=(AA$6-$E16)))</f>
        <v>0</v>
      </c>
      <c r="AB73" s="119" cm="1">
        <f t="array" ref="AB73">SUMPRODUCT(($I68:AB68))-SUMPRODUCT(($I68:AB68)*($I$6:AB$6&lt;=(AB$6-$E16)))</f>
        <v>0</v>
      </c>
      <c r="AC73" s="119" cm="1">
        <f t="array" ref="AC73">SUMPRODUCT(($I68:AC68))-SUMPRODUCT(($I68:AC68)*($I$6:AC$6&lt;=(AC$6-$E16)))</f>
        <v>0</v>
      </c>
      <c r="AD73" s="119" cm="1">
        <f t="array" ref="AD73">SUMPRODUCT(($I68:AD68))-SUMPRODUCT(($I68:AD68)*($I$6:AD$6&lt;=(AD$6-$E16)))</f>
        <v>0</v>
      </c>
      <c r="AE73" s="119" cm="1">
        <f t="array" ref="AE73">SUMPRODUCT(($I68:AE68))-SUMPRODUCT(($I68:AE68)*($I$6:AE$6&lt;=(AE$6-$E16)))</f>
        <v>0</v>
      </c>
      <c r="AF73" s="119" cm="1">
        <f t="array" ref="AF73">SUMPRODUCT(($I68:AF68))-SUMPRODUCT(($I68:AF68)*($I$6:AF$6&lt;=(AF$6-$E16)))</f>
        <v>0</v>
      </c>
      <c r="AG73" s="119" cm="1">
        <f t="array" ref="AG73">SUMPRODUCT(($I68:AG68))-SUMPRODUCT(($I68:AG68)*($I$6:AG$6&lt;=(AG$6-$E16)))</f>
        <v>0</v>
      </c>
    </row>
    <row r="74" spans="1:33" x14ac:dyDescent="0.2">
      <c r="A74" s="8"/>
      <c r="B74" s="8"/>
      <c r="C74" s="4"/>
      <c r="D74" s="38"/>
      <c r="F74" s="97"/>
      <c r="G74" s="216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x14ac:dyDescent="0.2">
      <c r="A75" s="8"/>
      <c r="B75" s="8"/>
      <c r="C75" s="150" t="s">
        <v>91</v>
      </c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4" t="str">
        <f>$C$75&amp;" - "&amp;C14</f>
        <v>Annualised capex - Replace Failed Cable Boxes under Faults Capex</v>
      </c>
      <c r="D76" s="38"/>
      <c r="F76" s="97"/>
      <c r="G76" s="212">
        <f>input_dollars</f>
        <v>45291</v>
      </c>
      <c r="H76" s="31"/>
      <c r="I76" s="119">
        <f t="shared" ref="I76:AG76" si="8">IF($E14=0,0,-PMT(real_disc, $E14,H71,))</f>
        <v>0</v>
      </c>
      <c r="J76" s="119">
        <f t="shared" si="8"/>
        <v>-11724.270130800694</v>
      </c>
      <c r="K76" s="119">
        <f t="shared" si="8"/>
        <v>-23448.540261601389</v>
      </c>
      <c r="L76" s="119">
        <f t="shared" si="8"/>
        <v>-35172.810392402083</v>
      </c>
      <c r="M76" s="119">
        <f t="shared" si="8"/>
        <v>-46897.080523202778</v>
      </c>
      <c r="N76" s="119">
        <f t="shared" si="8"/>
        <v>-58621.350654003472</v>
      </c>
      <c r="O76" s="119">
        <f t="shared" si="8"/>
        <v>-68000.766758644037</v>
      </c>
      <c r="P76" s="119">
        <f t="shared" si="8"/>
        <v>-77380.182863284586</v>
      </c>
      <c r="Q76" s="119">
        <f t="shared" si="8"/>
        <v>-86759.598967925136</v>
      </c>
      <c r="R76" s="119">
        <f t="shared" si="8"/>
        <v>-96139.015072565686</v>
      </c>
      <c r="S76" s="119">
        <f t="shared" si="8"/>
        <v>-105518.43117720625</v>
      </c>
      <c r="T76" s="119">
        <f t="shared" si="8"/>
        <v>-114897.84728184681</v>
      </c>
      <c r="U76" s="119">
        <f t="shared" si="8"/>
        <v>-124277.26338648736</v>
      </c>
      <c r="V76" s="119">
        <f t="shared" si="8"/>
        <v>-133656.67949112793</v>
      </c>
      <c r="W76" s="119">
        <f t="shared" si="8"/>
        <v>-140691.24156960833</v>
      </c>
      <c r="X76" s="119">
        <f t="shared" si="8"/>
        <v>-147725.80364808877</v>
      </c>
      <c r="Y76" s="119">
        <f t="shared" si="8"/>
        <v>-154760.36572656917</v>
      </c>
      <c r="Z76" s="119">
        <f t="shared" si="8"/>
        <v>-161794.92780504958</v>
      </c>
      <c r="AA76" s="119">
        <f t="shared" si="8"/>
        <v>-168829.48988352998</v>
      </c>
      <c r="AB76" s="119">
        <f t="shared" si="8"/>
        <v>-175864.05196201042</v>
      </c>
      <c r="AC76" s="119">
        <f t="shared" si="8"/>
        <v>-182898.61404049085</v>
      </c>
      <c r="AD76" s="119">
        <f t="shared" si="8"/>
        <v>-189933.17611897126</v>
      </c>
      <c r="AE76" s="119">
        <f t="shared" si="8"/>
        <v>-196967.73819745169</v>
      </c>
      <c r="AF76" s="119">
        <f t="shared" si="8"/>
        <v>-204002.30027593207</v>
      </c>
      <c r="AG76" s="119">
        <f t="shared" si="8"/>
        <v>-211036.8623544125</v>
      </c>
    </row>
    <row r="77" spans="1:33" x14ac:dyDescent="0.2">
      <c r="A77" s="8"/>
      <c r="B77" s="8"/>
      <c r="C77" s="4" t="str">
        <f>$C$75&amp;" - "&amp;C15</f>
        <v xml:space="preserve">Annualised capex - </v>
      </c>
      <c r="D77" s="38"/>
      <c r="F77" s="97"/>
      <c r="G77" s="212">
        <f>input_dollars</f>
        <v>45291</v>
      </c>
      <c r="H77" s="31"/>
      <c r="I77" s="119">
        <f t="shared" ref="I77:AG77" si="9">IF($E15=0,0,-PMT(real_disc, $E15,H72,))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$C$75&amp;" - "&amp;C16</f>
        <v xml:space="preserve">Annualised capex - </v>
      </c>
      <c r="D78" s="38"/>
      <c r="F78" s="97"/>
      <c r="G78" s="212">
        <f>input_dollars</f>
        <v>45291</v>
      </c>
      <c r="H78" s="31"/>
      <c r="I78" s="119">
        <f t="shared" ref="I78:AG78" si="10">IF($E16=0,0,-PMT(real_disc, $E16,H73,))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174" t="s">
        <v>156</v>
      </c>
      <c r="D79" s="174"/>
      <c r="E79" s="175"/>
      <c r="F79" s="176"/>
      <c r="G79" s="217">
        <f>input_dollars</f>
        <v>45291</v>
      </c>
      <c r="H79" s="177"/>
      <c r="I79" s="178">
        <f>SUM(I76:I78)</f>
        <v>0</v>
      </c>
      <c r="J79" s="178">
        <f t="shared" ref="J79:AB79" si="11">SUM(J76:J78)</f>
        <v>-11724.270130800694</v>
      </c>
      <c r="K79" s="178">
        <f t="shared" si="11"/>
        <v>-23448.540261601389</v>
      </c>
      <c r="L79" s="178">
        <f t="shared" si="11"/>
        <v>-35172.810392402083</v>
      </c>
      <c r="M79" s="178">
        <f t="shared" si="11"/>
        <v>-46897.080523202778</v>
      </c>
      <c r="N79" s="178">
        <f t="shared" si="11"/>
        <v>-58621.350654003472</v>
      </c>
      <c r="O79" s="178">
        <f t="shared" si="11"/>
        <v>-68000.766758644037</v>
      </c>
      <c r="P79" s="178">
        <f t="shared" si="11"/>
        <v>-77380.182863284586</v>
      </c>
      <c r="Q79" s="178">
        <f t="shared" si="11"/>
        <v>-86759.598967925136</v>
      </c>
      <c r="R79" s="178">
        <f t="shared" si="11"/>
        <v>-96139.015072565686</v>
      </c>
      <c r="S79" s="178">
        <f t="shared" si="11"/>
        <v>-105518.43117720625</v>
      </c>
      <c r="T79" s="178">
        <f t="shared" si="11"/>
        <v>-114897.84728184681</v>
      </c>
      <c r="U79" s="178">
        <f t="shared" si="11"/>
        <v>-124277.26338648736</v>
      </c>
      <c r="V79" s="178">
        <f t="shared" si="11"/>
        <v>-133656.67949112793</v>
      </c>
      <c r="W79" s="178">
        <f t="shared" si="11"/>
        <v>-140691.24156960833</v>
      </c>
      <c r="X79" s="178">
        <f t="shared" si="11"/>
        <v>-147725.80364808877</v>
      </c>
      <c r="Y79" s="178">
        <f t="shared" si="11"/>
        <v>-154760.36572656917</v>
      </c>
      <c r="Z79" s="178">
        <f t="shared" si="11"/>
        <v>-161794.92780504958</v>
      </c>
      <c r="AA79" s="178">
        <f t="shared" si="11"/>
        <v>-168829.48988352998</v>
      </c>
      <c r="AB79" s="178">
        <f t="shared" si="11"/>
        <v>-175864.05196201042</v>
      </c>
      <c r="AC79" s="178">
        <f>SUM(AC76:AC78)</f>
        <v>-182898.61404049085</v>
      </c>
      <c r="AD79" s="178">
        <f>SUM(AD76:AD78)</f>
        <v>-189933.17611897126</v>
      </c>
      <c r="AE79" s="178">
        <f>SUM(AE76:AE78)</f>
        <v>-196967.73819745169</v>
      </c>
      <c r="AF79" s="178">
        <f>SUM(AF76:AF78)</f>
        <v>-204002.30027593207</v>
      </c>
      <c r="AG79" s="178">
        <f>SUM(AG76:AG78)</f>
        <v>-211036.8623544125</v>
      </c>
    </row>
    <row r="80" spans="1:33" x14ac:dyDescent="0.2">
      <c r="A80" s="8"/>
      <c r="B80" s="8"/>
      <c r="C80" s="75"/>
      <c r="D80" s="38"/>
      <c r="F80"/>
      <c r="G80" s="21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">
      <c r="A81" s="8"/>
      <c r="B81" s="8"/>
      <c r="C81" s="4" t="s">
        <v>91</v>
      </c>
      <c r="D81" s="38"/>
      <c r="F81" s="97"/>
      <c r="G81" s="212">
        <f t="shared" ref="G81:G86" si="12">input_dollars</f>
        <v>45291</v>
      </c>
      <c r="H81" s="31"/>
      <c r="I81" s="119">
        <f>I79</f>
        <v>0</v>
      </c>
      <c r="J81" s="119">
        <f t="shared" ref="J81:AB81" si="13">J79</f>
        <v>-11724.270130800694</v>
      </c>
      <c r="K81" s="119">
        <f t="shared" si="13"/>
        <v>-23448.540261601389</v>
      </c>
      <c r="L81" s="119">
        <f t="shared" si="13"/>
        <v>-35172.810392402083</v>
      </c>
      <c r="M81" s="119">
        <f t="shared" si="13"/>
        <v>-46897.080523202778</v>
      </c>
      <c r="N81" s="119">
        <f t="shared" si="13"/>
        <v>-58621.350654003472</v>
      </c>
      <c r="O81" s="119">
        <f t="shared" si="13"/>
        <v>-68000.766758644037</v>
      </c>
      <c r="P81" s="119">
        <f t="shared" si="13"/>
        <v>-77380.182863284586</v>
      </c>
      <c r="Q81" s="119">
        <f t="shared" si="13"/>
        <v>-86759.598967925136</v>
      </c>
      <c r="R81" s="119">
        <f t="shared" si="13"/>
        <v>-96139.015072565686</v>
      </c>
      <c r="S81" s="119">
        <f t="shared" si="13"/>
        <v>-105518.43117720625</v>
      </c>
      <c r="T81" s="119">
        <f t="shared" si="13"/>
        <v>-114897.84728184681</v>
      </c>
      <c r="U81" s="119">
        <f t="shared" si="13"/>
        <v>-124277.26338648736</v>
      </c>
      <c r="V81" s="119">
        <f t="shared" si="13"/>
        <v>-133656.67949112793</v>
      </c>
      <c r="W81" s="119">
        <f t="shared" si="13"/>
        <v>-140691.24156960833</v>
      </c>
      <c r="X81" s="119">
        <f t="shared" si="13"/>
        <v>-147725.80364808877</v>
      </c>
      <c r="Y81" s="119">
        <f t="shared" si="13"/>
        <v>-154760.36572656917</v>
      </c>
      <c r="Z81" s="119">
        <f t="shared" si="13"/>
        <v>-161794.92780504958</v>
      </c>
      <c r="AA81" s="119">
        <f t="shared" si="13"/>
        <v>-168829.48988352998</v>
      </c>
      <c r="AB81" s="119">
        <f t="shared" si="13"/>
        <v>-175864.05196201042</v>
      </c>
      <c r="AC81" s="119">
        <f>AC79</f>
        <v>-182898.61404049085</v>
      </c>
      <c r="AD81" s="119">
        <f>AD79</f>
        <v>-189933.17611897126</v>
      </c>
      <c r="AE81" s="119">
        <f>AE79</f>
        <v>-196967.73819745169</v>
      </c>
      <c r="AF81" s="119">
        <f>AF79</f>
        <v>-204002.30027593207</v>
      </c>
      <c r="AG81" s="119">
        <f>AG79</f>
        <v>-211036.8623544125</v>
      </c>
    </row>
    <row r="82" spans="1:33" x14ac:dyDescent="0.2">
      <c r="A82" s="8"/>
      <c r="B82" s="8"/>
      <c r="C82" s="4" t="s">
        <v>31</v>
      </c>
      <c r="D82" s="38"/>
      <c r="F82" s="97"/>
      <c r="G82" s="212">
        <f t="shared" si="12"/>
        <v>45291</v>
      </c>
      <c r="H82" s="31"/>
      <c r="I82" s="31">
        <f t="shared" ref="I82:AG82" si="14">-I19</f>
        <v>0</v>
      </c>
      <c r="J82" s="31">
        <f t="shared" si="14"/>
        <v>0</v>
      </c>
      <c r="K82" s="31">
        <f t="shared" si="14"/>
        <v>0</v>
      </c>
      <c r="L82" s="31">
        <f t="shared" si="14"/>
        <v>0</v>
      </c>
      <c r="M82" s="31">
        <f t="shared" si="14"/>
        <v>0</v>
      </c>
      <c r="N82" s="31">
        <f t="shared" si="14"/>
        <v>0</v>
      </c>
      <c r="O82" s="31">
        <f t="shared" si="14"/>
        <v>0</v>
      </c>
      <c r="P82" s="31">
        <f t="shared" si="14"/>
        <v>0</v>
      </c>
      <c r="Q82" s="31">
        <f t="shared" si="14"/>
        <v>0</v>
      </c>
      <c r="R82" s="31">
        <f t="shared" si="14"/>
        <v>0</v>
      </c>
      <c r="S82" s="31">
        <f t="shared" si="14"/>
        <v>0</v>
      </c>
      <c r="T82" s="31">
        <f t="shared" si="14"/>
        <v>0</v>
      </c>
      <c r="U82" s="31">
        <f t="shared" si="14"/>
        <v>0</v>
      </c>
      <c r="V82" s="31">
        <f t="shared" si="14"/>
        <v>0</v>
      </c>
      <c r="W82" s="31">
        <f t="shared" si="14"/>
        <v>0</v>
      </c>
      <c r="X82" s="31">
        <f t="shared" si="14"/>
        <v>0</v>
      </c>
      <c r="Y82" s="31">
        <f t="shared" si="14"/>
        <v>0</v>
      </c>
      <c r="Z82" s="31">
        <f t="shared" si="14"/>
        <v>0</v>
      </c>
      <c r="AA82" s="31">
        <f t="shared" si="14"/>
        <v>0</v>
      </c>
      <c r="AB82" s="31">
        <f t="shared" si="14"/>
        <v>0</v>
      </c>
      <c r="AC82" s="31">
        <f t="shared" si="14"/>
        <v>0</v>
      </c>
      <c r="AD82" s="31">
        <f t="shared" si="14"/>
        <v>0</v>
      </c>
      <c r="AE82" s="31">
        <f t="shared" si="14"/>
        <v>0</v>
      </c>
      <c r="AF82" s="31">
        <f t="shared" si="14"/>
        <v>0</v>
      </c>
      <c r="AG82" s="31">
        <f t="shared" si="14"/>
        <v>0</v>
      </c>
    </row>
    <row r="83" spans="1:33" x14ac:dyDescent="0.2">
      <c r="A83" s="8"/>
      <c r="B83" s="8"/>
      <c r="C83" s="4" t="s">
        <v>140</v>
      </c>
      <c r="D83" s="38"/>
      <c r="F83" s="97"/>
      <c r="G83" s="212">
        <f t="shared" si="12"/>
        <v>45291</v>
      </c>
      <c r="H83" s="31"/>
      <c r="I83" s="31">
        <f>I63</f>
        <v>0</v>
      </c>
      <c r="J83" s="31">
        <f t="shared" ref="J83:AB83" si="15">J63</f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>AC63</f>
        <v>0</v>
      </c>
      <c r="AD83" s="31">
        <f>AD63</f>
        <v>0</v>
      </c>
      <c r="AE83" s="31">
        <f>AE63</f>
        <v>0</v>
      </c>
      <c r="AF83" s="31">
        <f>AF63</f>
        <v>0</v>
      </c>
      <c r="AG83" s="31">
        <f>AG63</f>
        <v>0</v>
      </c>
    </row>
    <row r="84" spans="1:33" x14ac:dyDescent="0.2">
      <c r="A84" s="8"/>
      <c r="B84" s="8"/>
      <c r="C84" s="4" t="s">
        <v>122</v>
      </c>
      <c r="D84" s="38"/>
      <c r="F84" s="97"/>
      <c r="G84" s="212">
        <f t="shared" si="12"/>
        <v>45291</v>
      </c>
      <c r="H84" s="31"/>
      <c r="I84" s="31">
        <f t="shared" ref="I84:AG84" si="16">I56</f>
        <v>0</v>
      </c>
      <c r="J84" s="31">
        <f t="shared" si="16"/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 t="shared" si="16"/>
        <v>0</v>
      </c>
      <c r="AD84" s="31">
        <f t="shared" si="16"/>
        <v>0</v>
      </c>
      <c r="AE84" s="31">
        <f t="shared" si="16"/>
        <v>0</v>
      </c>
      <c r="AF84" s="31">
        <f t="shared" si="16"/>
        <v>0</v>
      </c>
      <c r="AG84" s="31">
        <f t="shared" si="16"/>
        <v>0</v>
      </c>
    </row>
    <row r="85" spans="1:33" x14ac:dyDescent="0.2">
      <c r="A85" s="8"/>
      <c r="B85" s="8"/>
      <c r="C85" s="4"/>
      <c r="D85" s="38"/>
      <c r="F85" s="31"/>
      <c r="G85" s="21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">
      <c r="A86" s="8"/>
      <c r="B86" s="8"/>
      <c r="C86" s="182" t="s">
        <v>186</v>
      </c>
      <c r="D86" s="180"/>
      <c r="E86" s="175"/>
      <c r="F86" s="181"/>
      <c r="G86" s="217">
        <f t="shared" si="12"/>
        <v>45291</v>
      </c>
      <c r="H86" s="181"/>
      <c r="I86" s="181">
        <f t="shared" ref="I86:AB86" si="17">SUM(I81:I85)</f>
        <v>0</v>
      </c>
      <c r="J86" s="181">
        <f t="shared" si="17"/>
        <v>-11724.270130800694</v>
      </c>
      <c r="K86" s="181">
        <f t="shared" si="17"/>
        <v>-23448.540261601389</v>
      </c>
      <c r="L86" s="181">
        <f t="shared" si="17"/>
        <v>-35172.810392402083</v>
      </c>
      <c r="M86" s="181">
        <f t="shared" si="17"/>
        <v>-46897.080523202778</v>
      </c>
      <c r="N86" s="181">
        <f t="shared" si="17"/>
        <v>-58621.350654003472</v>
      </c>
      <c r="O86" s="181">
        <f t="shared" si="17"/>
        <v>-68000.766758644037</v>
      </c>
      <c r="P86" s="181">
        <f t="shared" si="17"/>
        <v>-77380.182863284586</v>
      </c>
      <c r="Q86" s="181">
        <f t="shared" si="17"/>
        <v>-86759.598967925136</v>
      </c>
      <c r="R86" s="181">
        <f t="shared" si="17"/>
        <v>-96139.015072565686</v>
      </c>
      <c r="S86" s="181">
        <f t="shared" si="17"/>
        <v>-105518.43117720625</v>
      </c>
      <c r="T86" s="181">
        <f t="shared" si="17"/>
        <v>-114897.84728184681</v>
      </c>
      <c r="U86" s="181">
        <f t="shared" si="17"/>
        <v>-124277.26338648736</v>
      </c>
      <c r="V86" s="181">
        <f t="shared" si="17"/>
        <v>-133656.67949112793</v>
      </c>
      <c r="W86" s="181">
        <f t="shared" si="17"/>
        <v>-140691.24156960833</v>
      </c>
      <c r="X86" s="181">
        <f t="shared" si="17"/>
        <v>-147725.80364808877</v>
      </c>
      <c r="Y86" s="181">
        <f t="shared" si="17"/>
        <v>-154760.36572656917</v>
      </c>
      <c r="Z86" s="181">
        <f t="shared" si="17"/>
        <v>-161794.92780504958</v>
      </c>
      <c r="AA86" s="181">
        <f t="shared" si="17"/>
        <v>-168829.48988352998</v>
      </c>
      <c r="AB86" s="181">
        <f t="shared" si="17"/>
        <v>-175864.05196201042</v>
      </c>
      <c r="AC86" s="181">
        <f>SUM(AC81:AC85)</f>
        <v>-182898.61404049085</v>
      </c>
      <c r="AD86" s="181">
        <f>SUM(AD81:AD85)</f>
        <v>-189933.17611897126</v>
      </c>
      <c r="AE86" s="181">
        <f>SUM(AE81:AE85)</f>
        <v>-196967.73819745169</v>
      </c>
      <c r="AF86" s="181">
        <f>SUM(AF81:AF85)</f>
        <v>-204002.30027593207</v>
      </c>
      <c r="AG86" s="181">
        <f>SUM(AG81:AG85)</f>
        <v>-211036.8623544125</v>
      </c>
    </row>
    <row r="87" spans="1:33" x14ac:dyDescent="0.2">
      <c r="A87" s="8"/>
      <c r="B87" s="8"/>
      <c r="C87" s="75"/>
      <c r="D87" s="141"/>
      <c r="E87" s="64"/>
      <c r="F87" s="143"/>
      <c r="G87" s="21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spans="1:33" x14ac:dyDescent="0.2">
      <c r="A88" s="8"/>
      <c r="B88" s="8"/>
      <c r="C88" s="75"/>
      <c r="D88" s="141"/>
      <c r="E88" s="64"/>
      <c r="F88" s="143"/>
      <c r="G88" s="21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232"/>
      <c r="D89" s="82"/>
      <c r="E89" s="233"/>
      <c r="F89" s="234"/>
      <c r="G89" s="233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C90" s="233"/>
      <c r="D90" s="233"/>
      <c r="E90" s="233"/>
      <c r="F90" s="233"/>
      <c r="G90" s="233"/>
    </row>
    <row r="91" spans="1:33" x14ac:dyDescent="0.2">
      <c r="C91" s="233"/>
      <c r="D91" s="233"/>
      <c r="E91" s="233"/>
      <c r="F91" s="233"/>
      <c r="G91" s="233"/>
    </row>
    <row r="93" spans="1:33" x14ac:dyDescent="0.2">
      <c r="G93" s="12"/>
    </row>
    <row r="101" spans="1:43" ht="15" x14ac:dyDescent="0.2">
      <c r="A101" s="89" t="s">
        <v>216</v>
      </c>
      <c r="B101" s="89"/>
      <c r="C101" s="89"/>
      <c r="D101" s="89"/>
      <c r="E101" s="89"/>
      <c r="F101" s="89"/>
      <c r="G101" s="206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/>
      <c r="AI101"/>
      <c r="AJ101"/>
      <c r="AK101"/>
      <c r="AL101"/>
      <c r="AM101"/>
      <c r="AN101"/>
      <c r="AO101"/>
      <c r="AP101"/>
      <c r="AQ101"/>
    </row>
    <row r="103" spans="1:43" x14ac:dyDescent="0.2"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43" x14ac:dyDescent="0.2">
      <c r="E104"/>
      <c r="F104"/>
      <c r="G104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43" x14ac:dyDescent="0.2">
      <c r="A105" s="1" t="s">
        <v>119</v>
      </c>
      <c r="C105" s="1" t="s">
        <v>186</v>
      </c>
      <c r="D105"/>
      <c r="E105"/>
      <c r="F105"/>
      <c r="G105" s="38" t="str">
        <f>PROPER($A$3)&amp;A105</f>
        <v>Option 1 (Base Case)NPV</v>
      </c>
      <c r="I105" s="31">
        <f>I86</f>
        <v>0</v>
      </c>
      <c r="J105" s="31">
        <f t="shared" ref="J105:AG105" si="18">J86</f>
        <v>-11724.270130800694</v>
      </c>
      <c r="K105" s="31">
        <f t="shared" si="18"/>
        <v>-23448.540261601389</v>
      </c>
      <c r="L105" s="31">
        <f t="shared" si="18"/>
        <v>-35172.810392402083</v>
      </c>
      <c r="M105" s="31">
        <f t="shared" si="18"/>
        <v>-46897.080523202778</v>
      </c>
      <c r="N105" s="31">
        <f t="shared" si="18"/>
        <v>-58621.350654003472</v>
      </c>
      <c r="O105" s="31">
        <f t="shared" si="18"/>
        <v>-68000.766758644037</v>
      </c>
      <c r="P105" s="31">
        <f t="shared" si="18"/>
        <v>-77380.182863284586</v>
      </c>
      <c r="Q105" s="31">
        <f t="shared" si="18"/>
        <v>-86759.598967925136</v>
      </c>
      <c r="R105" s="31">
        <f t="shared" si="18"/>
        <v>-96139.015072565686</v>
      </c>
      <c r="S105" s="31">
        <f t="shared" si="18"/>
        <v>-105518.43117720625</v>
      </c>
      <c r="T105" s="31">
        <f t="shared" si="18"/>
        <v>-114897.84728184681</v>
      </c>
      <c r="U105" s="31">
        <f t="shared" si="18"/>
        <v>-124277.26338648736</v>
      </c>
      <c r="V105" s="31">
        <f t="shared" si="18"/>
        <v>-133656.67949112793</v>
      </c>
      <c r="W105" s="31">
        <f t="shared" si="18"/>
        <v>-140691.24156960833</v>
      </c>
      <c r="X105" s="31">
        <f t="shared" si="18"/>
        <v>-147725.80364808877</v>
      </c>
      <c r="Y105" s="31">
        <f t="shared" si="18"/>
        <v>-154760.36572656917</v>
      </c>
      <c r="Z105" s="31">
        <f t="shared" si="18"/>
        <v>-161794.92780504958</v>
      </c>
      <c r="AA105" s="31">
        <f t="shared" si="18"/>
        <v>-168829.48988352998</v>
      </c>
      <c r="AB105" s="31">
        <f t="shared" si="18"/>
        <v>-175864.05196201042</v>
      </c>
      <c r="AC105" s="31">
        <f t="shared" si="18"/>
        <v>-182898.61404049085</v>
      </c>
      <c r="AD105" s="31">
        <f t="shared" si="18"/>
        <v>-189933.17611897126</v>
      </c>
      <c r="AE105" s="31">
        <f t="shared" si="18"/>
        <v>-196967.73819745169</v>
      </c>
      <c r="AF105" s="31">
        <f t="shared" si="18"/>
        <v>-204002.30027593207</v>
      </c>
      <c r="AG105" s="31">
        <f t="shared" si="18"/>
        <v>-211036.8623544125</v>
      </c>
    </row>
    <row r="106" spans="1:43" x14ac:dyDescent="0.2">
      <c r="C106" s="1" t="s">
        <v>156</v>
      </c>
      <c r="D106"/>
      <c r="E106"/>
      <c r="F106"/>
      <c r="G106"/>
      <c r="I106" s="31">
        <f>I81</f>
        <v>0</v>
      </c>
      <c r="J106" s="31">
        <f t="shared" ref="J106:AG106" si="19">J81</f>
        <v>-11724.270130800694</v>
      </c>
      <c r="K106" s="31">
        <f t="shared" si="19"/>
        <v>-23448.540261601389</v>
      </c>
      <c r="L106" s="31">
        <f t="shared" si="19"/>
        <v>-35172.810392402083</v>
      </c>
      <c r="M106" s="31">
        <f t="shared" si="19"/>
        <v>-46897.080523202778</v>
      </c>
      <c r="N106" s="31">
        <f t="shared" si="19"/>
        <v>-58621.350654003472</v>
      </c>
      <c r="O106" s="31">
        <f t="shared" si="19"/>
        <v>-68000.766758644037</v>
      </c>
      <c r="P106" s="31">
        <f t="shared" si="19"/>
        <v>-77380.182863284586</v>
      </c>
      <c r="Q106" s="31">
        <f t="shared" si="19"/>
        <v>-86759.598967925136</v>
      </c>
      <c r="R106" s="31">
        <f t="shared" si="19"/>
        <v>-96139.015072565686</v>
      </c>
      <c r="S106" s="31">
        <f t="shared" si="19"/>
        <v>-105518.43117720625</v>
      </c>
      <c r="T106" s="31">
        <f t="shared" si="19"/>
        <v>-114897.84728184681</v>
      </c>
      <c r="U106" s="31">
        <f t="shared" si="19"/>
        <v>-124277.26338648736</v>
      </c>
      <c r="V106" s="31">
        <f t="shared" si="19"/>
        <v>-133656.67949112793</v>
      </c>
      <c r="W106" s="31">
        <f t="shared" si="19"/>
        <v>-140691.24156960833</v>
      </c>
      <c r="X106" s="31">
        <f t="shared" si="19"/>
        <v>-147725.80364808877</v>
      </c>
      <c r="Y106" s="31">
        <f t="shared" si="19"/>
        <v>-154760.36572656917</v>
      </c>
      <c r="Z106" s="31">
        <f t="shared" si="19"/>
        <v>-161794.92780504958</v>
      </c>
      <c r="AA106" s="31">
        <f t="shared" si="19"/>
        <v>-168829.48988352998</v>
      </c>
      <c r="AB106" s="31">
        <f t="shared" si="19"/>
        <v>-175864.05196201042</v>
      </c>
      <c r="AC106" s="31">
        <f t="shared" si="19"/>
        <v>-182898.61404049085</v>
      </c>
      <c r="AD106" s="31">
        <f t="shared" si="19"/>
        <v>-189933.17611897126</v>
      </c>
      <c r="AE106" s="31">
        <f t="shared" si="19"/>
        <v>-196967.73819745169</v>
      </c>
      <c r="AF106" s="31">
        <f t="shared" si="19"/>
        <v>-204002.30027593207</v>
      </c>
      <c r="AG106" s="31">
        <f t="shared" si="19"/>
        <v>-211036.8623544125</v>
      </c>
    </row>
    <row r="107" spans="1:43" x14ac:dyDescent="0.2">
      <c r="C107" s="1" t="s">
        <v>239</v>
      </c>
      <c r="D107" s="255"/>
      <c r="E107" s="38"/>
      <c r="I107" s="31">
        <f>SUM(I83:I84)</f>
        <v>0</v>
      </c>
      <c r="J107" s="31">
        <f t="shared" ref="J107:AG107" si="20">SUM(J83:J84)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D108" s="304" t="str">
        <f>Assumptions!G110</f>
        <v>Capex</v>
      </c>
      <c r="E108" s="304" t="str">
        <f>Assumptions!H110</f>
        <v>Total benefits</v>
      </c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43" x14ac:dyDescent="0.2">
      <c r="A109" s="1" t="str">
        <f>"sens"&amp;Assumptions!B111</f>
        <v>sens1</v>
      </c>
      <c r="C109" s="303" t="str">
        <f>Assumptions!C111</f>
        <v>Capex 10% higher</v>
      </c>
      <c r="D109" s="304">
        <f>Assumptions!G111</f>
        <v>0.1</v>
      </c>
      <c r="E109" s="304">
        <f>Assumptions!H111</f>
        <v>0</v>
      </c>
      <c r="G109" s="38" t="str">
        <f>PROPER($A$3)&amp;A109</f>
        <v>Option 1 (Base Case)sens1</v>
      </c>
      <c r="I109" s="31" cm="1">
        <f t="array" ref="I109">I$105+IF($C109&lt;&gt;0,SUMPRODUCT((I$106:I$107)*TRANSPOSE(($D109:$E109))),0)</f>
        <v>0</v>
      </c>
      <c r="J109" s="31" cm="1">
        <f t="array" ref="J109">J$105+IF($C109&lt;&gt;0,SUMPRODUCT((J$106:J$107)*TRANSPOSE(($D109:$E109))),0)</f>
        <v>-12896.697143880763</v>
      </c>
      <c r="K109" s="31" cm="1">
        <f t="array" ref="K109">K$105+IF($C109&lt;&gt;0,SUMPRODUCT((K$106:K$107)*TRANSPOSE(($D109:$E109))),0)</f>
        <v>-25793.394287761526</v>
      </c>
      <c r="L109" s="31" cm="1">
        <f t="array" ref="L109">L$105+IF($C109&lt;&gt;0,SUMPRODUCT((L$106:L$107)*TRANSPOSE(($D109:$E109))),0)</f>
        <v>-38690.091431642293</v>
      </c>
      <c r="M109" s="31" cm="1">
        <f t="array" ref="M109">M$105+IF($C109&lt;&gt;0,SUMPRODUCT((M$106:M$107)*TRANSPOSE(($D109:$E109))),0)</f>
        <v>-51586.788575523053</v>
      </c>
      <c r="N109" s="31" cm="1">
        <f t="array" ref="N109">N$105+IF($C109&lt;&gt;0,SUMPRODUCT((N$106:N$107)*TRANSPOSE(($D109:$E109))),0)</f>
        <v>-64483.48571940382</v>
      </c>
      <c r="O109" s="31" cm="1">
        <f t="array" ref="O109">O$105+IF($C109&lt;&gt;0,SUMPRODUCT((O$106:O$107)*TRANSPOSE(($D109:$E109))),0)</f>
        <v>-74800.843434508439</v>
      </c>
      <c r="P109" s="31" cm="1">
        <f t="array" ref="P109">P$105+IF($C109&lt;&gt;0,SUMPRODUCT((P$106:P$107)*TRANSPOSE(($D109:$E109))),0)</f>
        <v>-85118.201149613044</v>
      </c>
      <c r="Q109" s="31" cm="1">
        <f t="array" ref="Q109">Q$105+IF($C109&lt;&gt;0,SUMPRODUCT((Q$106:Q$107)*TRANSPOSE(($D109:$E109))),0)</f>
        <v>-95435.558864717648</v>
      </c>
      <c r="R109" s="31" cm="1">
        <f t="array" ref="R109">R$105+IF($C109&lt;&gt;0,SUMPRODUCT((R$106:R$107)*TRANSPOSE(($D109:$E109))),0)</f>
        <v>-105752.91657982225</v>
      </c>
      <c r="S109" s="31" cm="1">
        <f t="array" ref="S109">S$105+IF($C109&lt;&gt;0,SUMPRODUCT((S$106:S$107)*TRANSPOSE(($D109:$E109))),0)</f>
        <v>-116070.27429492687</v>
      </c>
      <c r="T109" s="31" cm="1">
        <f t="array" ref="T109">T$105+IF($C109&lt;&gt;0,SUMPRODUCT((T$106:T$107)*TRANSPOSE(($D109:$E109))),0)</f>
        <v>-126387.63201003149</v>
      </c>
      <c r="U109" s="31" cm="1">
        <f t="array" ref="U109">U$105+IF($C109&lt;&gt;0,SUMPRODUCT((U$106:U$107)*TRANSPOSE(($D109:$E109))),0)</f>
        <v>-136704.98972513611</v>
      </c>
      <c r="V109" s="31" cm="1">
        <f t="array" ref="V109">V$105+IF($C109&lt;&gt;0,SUMPRODUCT((V$106:V$107)*TRANSPOSE(($D109:$E109))),0)</f>
        <v>-147022.34744024073</v>
      </c>
      <c r="W109" s="31" cm="1">
        <f t="array" ref="W109">W$105+IF($C109&lt;&gt;0,SUMPRODUCT((W$106:W$107)*TRANSPOSE(($D109:$E109))),0)</f>
        <v>-154760.36572656917</v>
      </c>
      <c r="X109" s="31" cm="1">
        <f t="array" ref="X109">X$105+IF($C109&lt;&gt;0,SUMPRODUCT((X$106:X$107)*TRANSPOSE(($D109:$E109))),0)</f>
        <v>-162498.38401289764</v>
      </c>
      <c r="Y109" s="31" cm="1">
        <f t="array" ref="Y109">Y$105+IF($C109&lt;&gt;0,SUMPRODUCT((Y$106:Y$107)*TRANSPOSE(($D109:$E109))),0)</f>
        <v>-170236.40229922609</v>
      </c>
      <c r="Z109" s="31" cm="1">
        <f t="array" ref="Z109">Z$105+IF($C109&lt;&gt;0,SUMPRODUCT((Z$106:Z$107)*TRANSPOSE(($D109:$E109))),0)</f>
        <v>-177974.42058555453</v>
      </c>
      <c r="AA109" s="31" cm="1">
        <f t="array" ref="AA109">AA$105+IF($C109&lt;&gt;0,SUMPRODUCT((AA$106:AA$107)*TRANSPOSE(($D109:$E109))),0)</f>
        <v>-185712.43887188297</v>
      </c>
      <c r="AB109" s="31" cm="1">
        <f t="array" ref="AB109">AB$105+IF($C109&lt;&gt;0,SUMPRODUCT((AB$106:AB$107)*TRANSPOSE(($D109:$E109))),0)</f>
        <v>-193450.45715821144</v>
      </c>
      <c r="AC109" s="31" cm="1">
        <f t="array" ref="AC109">AC$105+IF($C109&lt;&gt;0,SUMPRODUCT((AC$106:AC$107)*TRANSPOSE(($D109:$E109))),0)</f>
        <v>-201188.47544453994</v>
      </c>
      <c r="AD109" s="31" cm="1">
        <f t="array" ref="AD109">AD$105+IF($C109&lt;&gt;0,SUMPRODUCT((AD$106:AD$107)*TRANSPOSE(($D109:$E109))),0)</f>
        <v>-208926.49373086839</v>
      </c>
      <c r="AE109" s="31" cm="1">
        <f t="array" ref="AE109">AE$105+IF($C109&lt;&gt;0,SUMPRODUCT((AE$106:AE$107)*TRANSPOSE(($D109:$E109))),0)</f>
        <v>-216664.51201719686</v>
      </c>
      <c r="AF109" s="31" cm="1">
        <f t="array" ref="AF109">AF$105+IF($C109&lt;&gt;0,SUMPRODUCT((AF$106:AF$107)*TRANSPOSE(($D109:$E109))),0)</f>
        <v>-224402.53030352527</v>
      </c>
      <c r="AG109" s="31" cm="1">
        <f t="array" ref="AG109">AG$105+IF($C109&lt;&gt;0,SUMPRODUCT((AG$106:AG$107)*TRANSPOSE(($D109:$E109))),0)</f>
        <v>-232140.54858985374</v>
      </c>
    </row>
    <row r="110" spans="1:43" x14ac:dyDescent="0.2">
      <c r="A110" s="1" t="str">
        <f>"sens"&amp;Assumptions!B112</f>
        <v>sens2</v>
      </c>
      <c r="C110" s="303" t="str">
        <f>Assumptions!C112</f>
        <v>Capex 10% lower</v>
      </c>
      <c r="D110" s="304">
        <f>Assumptions!G112</f>
        <v>-0.1</v>
      </c>
      <c r="E110" s="304">
        <f>Assumptions!H112</f>
        <v>0</v>
      </c>
      <c r="G110" s="38" t="str">
        <f t="shared" ref="G110:G116" si="21">PROPER($A$3)&amp;A110</f>
        <v>Option 1 (Base Case)sens2</v>
      </c>
      <c r="I110" s="31" cm="1">
        <f t="array" ref="I110">I$105+IF($C110&lt;&gt;0,SUMPRODUCT((I$106:I$107)*TRANSPOSE(($D110:$E110))),0)</f>
        <v>0</v>
      </c>
      <c r="J110" s="31" cm="1">
        <f t="array" ref="J110">J$105+IF($C110&lt;&gt;0,SUMPRODUCT((J$106:J$107)*TRANSPOSE(($D110:$E110))),0)</f>
        <v>-10551.843117720626</v>
      </c>
      <c r="K110" s="31" cm="1">
        <f t="array" ref="K110">K$105+IF($C110&lt;&gt;0,SUMPRODUCT((K$106:K$107)*TRANSPOSE(($D110:$E110))),0)</f>
        <v>-21103.686235441251</v>
      </c>
      <c r="L110" s="31" cm="1">
        <f t="array" ref="L110">L$105+IF($C110&lt;&gt;0,SUMPRODUCT((L$106:L$107)*TRANSPOSE(($D110:$E110))),0)</f>
        <v>-31655.529353161874</v>
      </c>
      <c r="M110" s="31" cm="1">
        <f t="array" ref="M110">M$105+IF($C110&lt;&gt;0,SUMPRODUCT((M$106:M$107)*TRANSPOSE(($D110:$E110))),0)</f>
        <v>-42207.372470882503</v>
      </c>
      <c r="N110" s="31" cm="1">
        <f t="array" ref="N110">N$105+IF($C110&lt;&gt;0,SUMPRODUCT((N$106:N$107)*TRANSPOSE(($D110:$E110))),0)</f>
        <v>-52759.215588603125</v>
      </c>
      <c r="O110" s="31" cm="1">
        <f t="array" ref="O110">O$105+IF($C110&lt;&gt;0,SUMPRODUCT((O$106:O$107)*TRANSPOSE(($D110:$E110))),0)</f>
        <v>-61200.690082779634</v>
      </c>
      <c r="P110" s="31" cm="1">
        <f t="array" ref="P110">P$105+IF($C110&lt;&gt;0,SUMPRODUCT((P$106:P$107)*TRANSPOSE(($D110:$E110))),0)</f>
        <v>-69642.164576956129</v>
      </c>
      <c r="Q110" s="31" cm="1">
        <f t="array" ref="Q110">Q$105+IF($C110&lt;&gt;0,SUMPRODUCT((Q$106:Q$107)*TRANSPOSE(($D110:$E110))),0)</f>
        <v>-78083.639071132624</v>
      </c>
      <c r="R110" s="31" cm="1">
        <f t="array" ref="R110">R$105+IF($C110&lt;&gt;0,SUMPRODUCT((R$106:R$107)*TRANSPOSE(($D110:$E110))),0)</f>
        <v>-86525.113565309119</v>
      </c>
      <c r="S110" s="31" cm="1">
        <f t="array" ref="S110">S$105+IF($C110&lt;&gt;0,SUMPRODUCT((S$106:S$107)*TRANSPOSE(($D110:$E110))),0)</f>
        <v>-94966.588059485628</v>
      </c>
      <c r="T110" s="31" cm="1">
        <f t="array" ref="T110">T$105+IF($C110&lt;&gt;0,SUMPRODUCT((T$106:T$107)*TRANSPOSE(($D110:$E110))),0)</f>
        <v>-103408.06255366214</v>
      </c>
      <c r="U110" s="31" cm="1">
        <f t="array" ref="U110">U$105+IF($C110&lt;&gt;0,SUMPRODUCT((U$106:U$107)*TRANSPOSE(($D110:$E110))),0)</f>
        <v>-111849.53704783863</v>
      </c>
      <c r="V110" s="31" cm="1">
        <f t="array" ref="V110">V$105+IF($C110&lt;&gt;0,SUMPRODUCT((V$106:V$107)*TRANSPOSE(($D110:$E110))),0)</f>
        <v>-120291.01154201513</v>
      </c>
      <c r="W110" s="31" cm="1">
        <f t="array" ref="W110">W$105+IF($C110&lt;&gt;0,SUMPRODUCT((W$106:W$107)*TRANSPOSE(($D110:$E110))),0)</f>
        <v>-126622.11741264749</v>
      </c>
      <c r="X110" s="31" cm="1">
        <f t="array" ref="X110">X$105+IF($C110&lt;&gt;0,SUMPRODUCT((X$106:X$107)*TRANSPOSE(($D110:$E110))),0)</f>
        <v>-132953.22328327989</v>
      </c>
      <c r="Y110" s="31" cm="1">
        <f t="array" ref="Y110">Y$105+IF($C110&lt;&gt;0,SUMPRODUCT((Y$106:Y$107)*TRANSPOSE(($D110:$E110))),0)</f>
        <v>-139284.32915391226</v>
      </c>
      <c r="Z110" s="31" cm="1">
        <f t="array" ref="Z110">Z$105+IF($C110&lt;&gt;0,SUMPRODUCT((Z$106:Z$107)*TRANSPOSE(($D110:$E110))),0)</f>
        <v>-145615.43502454463</v>
      </c>
      <c r="AA110" s="31" cm="1">
        <f t="array" ref="AA110">AA$105+IF($C110&lt;&gt;0,SUMPRODUCT((AA$106:AA$107)*TRANSPOSE(($D110:$E110))),0)</f>
        <v>-151946.54089517699</v>
      </c>
      <c r="AB110" s="31" cm="1">
        <f t="array" ref="AB110">AB$105+IF($C110&lt;&gt;0,SUMPRODUCT((AB$106:AB$107)*TRANSPOSE(($D110:$E110))),0)</f>
        <v>-158277.64676580939</v>
      </c>
      <c r="AC110" s="31" cm="1">
        <f t="array" ref="AC110">AC$105+IF($C110&lt;&gt;0,SUMPRODUCT((AC$106:AC$107)*TRANSPOSE(($D110:$E110))),0)</f>
        <v>-164608.75263644176</v>
      </c>
      <c r="AD110" s="31" cm="1">
        <f t="array" ref="AD110">AD$105+IF($C110&lt;&gt;0,SUMPRODUCT((AD$106:AD$107)*TRANSPOSE(($D110:$E110))),0)</f>
        <v>-170939.85850707412</v>
      </c>
      <c r="AE110" s="31" cm="1">
        <f t="array" ref="AE110">AE$105+IF($C110&lt;&gt;0,SUMPRODUCT((AE$106:AE$107)*TRANSPOSE(($D110:$E110))),0)</f>
        <v>-177270.96437770652</v>
      </c>
      <c r="AF110" s="31" cm="1">
        <f t="array" ref="AF110">AF$105+IF($C110&lt;&gt;0,SUMPRODUCT((AF$106:AF$107)*TRANSPOSE(($D110:$E110))),0)</f>
        <v>-183602.07024833886</v>
      </c>
      <c r="AG110" s="31" cm="1">
        <f t="array" ref="AG110">AG$105+IF($C110&lt;&gt;0,SUMPRODUCT((AG$106:AG$107)*TRANSPOSE(($D110:$E110))),0)</f>
        <v>-189933.17611897126</v>
      </c>
    </row>
    <row r="111" spans="1:43" x14ac:dyDescent="0.2">
      <c r="A111" s="1" t="str">
        <f>"sens"&amp;Assumptions!B113</f>
        <v>sens3</v>
      </c>
      <c r="C111" s="303" t="str">
        <f>Assumptions!C113</f>
        <v>Total benefits 10% higher</v>
      </c>
      <c r="D111" s="304">
        <f>Assumptions!G113</f>
        <v>0</v>
      </c>
      <c r="E111" s="304">
        <f>Assumptions!H113</f>
        <v>0.1</v>
      </c>
      <c r="G111" s="38" t="str">
        <f t="shared" si="21"/>
        <v>Option 1 (Base Case)sens3</v>
      </c>
      <c r="I111" s="31" cm="1">
        <f t="array" ref="I111">I$105+IF($C111&lt;&gt;0,SUMPRODUCT((I$106:I$107)*TRANSPOSE(($D111:$E111))),0)</f>
        <v>0</v>
      </c>
      <c r="J111" s="31" cm="1">
        <f t="array" ref="J111">J$105+IF($C111&lt;&gt;0,SUMPRODUCT((J$106:J$107)*TRANSPOSE(($D111:$E111))),0)</f>
        <v>-11724.270130800694</v>
      </c>
      <c r="K111" s="31" cm="1">
        <f t="array" ref="K111">K$105+IF($C111&lt;&gt;0,SUMPRODUCT((K$106:K$107)*TRANSPOSE(($D111:$E111))),0)</f>
        <v>-23448.540261601389</v>
      </c>
      <c r="L111" s="31" cm="1">
        <f t="array" ref="L111">L$105+IF($C111&lt;&gt;0,SUMPRODUCT((L$106:L$107)*TRANSPOSE(($D111:$E111))),0)</f>
        <v>-35172.810392402083</v>
      </c>
      <c r="M111" s="31" cm="1">
        <f t="array" ref="M111">M$105+IF($C111&lt;&gt;0,SUMPRODUCT((M$106:M$107)*TRANSPOSE(($D111:$E111))),0)</f>
        <v>-46897.080523202778</v>
      </c>
      <c r="N111" s="31" cm="1">
        <f t="array" ref="N111">N$105+IF($C111&lt;&gt;0,SUMPRODUCT((N$106:N$107)*TRANSPOSE(($D111:$E111))),0)</f>
        <v>-58621.350654003472</v>
      </c>
      <c r="O111" s="31" cm="1">
        <f t="array" ref="O111">O$105+IF($C111&lt;&gt;0,SUMPRODUCT((O$106:O$107)*TRANSPOSE(($D111:$E111))),0)</f>
        <v>-68000.766758644037</v>
      </c>
      <c r="P111" s="31" cm="1">
        <f t="array" ref="P111">P$105+IF($C111&lt;&gt;0,SUMPRODUCT((P$106:P$107)*TRANSPOSE(($D111:$E111))),0)</f>
        <v>-77380.182863284586</v>
      </c>
      <c r="Q111" s="31" cm="1">
        <f t="array" ref="Q111">Q$105+IF($C111&lt;&gt;0,SUMPRODUCT((Q$106:Q$107)*TRANSPOSE(($D111:$E111))),0)</f>
        <v>-86759.598967925136</v>
      </c>
      <c r="R111" s="31" cm="1">
        <f t="array" ref="R111">R$105+IF($C111&lt;&gt;0,SUMPRODUCT((R$106:R$107)*TRANSPOSE(($D111:$E111))),0)</f>
        <v>-96139.015072565686</v>
      </c>
      <c r="S111" s="31" cm="1">
        <f t="array" ref="S111">S$105+IF($C111&lt;&gt;0,SUMPRODUCT((S$106:S$107)*TRANSPOSE(($D111:$E111))),0)</f>
        <v>-105518.43117720625</v>
      </c>
      <c r="T111" s="31" cm="1">
        <f t="array" ref="T111">T$105+IF($C111&lt;&gt;0,SUMPRODUCT((T$106:T$107)*TRANSPOSE(($D111:$E111))),0)</f>
        <v>-114897.84728184681</v>
      </c>
      <c r="U111" s="31" cm="1">
        <f t="array" ref="U111">U$105+IF($C111&lt;&gt;0,SUMPRODUCT((U$106:U$107)*TRANSPOSE(($D111:$E111))),0)</f>
        <v>-124277.26338648736</v>
      </c>
      <c r="V111" s="31" cm="1">
        <f t="array" ref="V111">V$105+IF($C111&lt;&gt;0,SUMPRODUCT((V$106:V$107)*TRANSPOSE(($D111:$E111))),0)</f>
        <v>-133656.67949112793</v>
      </c>
      <c r="W111" s="31" cm="1">
        <f t="array" ref="W111">W$105+IF($C111&lt;&gt;0,SUMPRODUCT((W$106:W$107)*TRANSPOSE(($D111:$E111))),0)</f>
        <v>-140691.24156960833</v>
      </c>
      <c r="X111" s="31" cm="1">
        <f t="array" ref="X111">X$105+IF($C111&lt;&gt;0,SUMPRODUCT((X$106:X$107)*TRANSPOSE(($D111:$E111))),0)</f>
        <v>-147725.80364808877</v>
      </c>
      <c r="Y111" s="31" cm="1">
        <f t="array" ref="Y111">Y$105+IF($C111&lt;&gt;0,SUMPRODUCT((Y$106:Y$107)*TRANSPOSE(($D111:$E111))),0)</f>
        <v>-154760.36572656917</v>
      </c>
      <c r="Z111" s="31" cm="1">
        <f t="array" ref="Z111">Z$105+IF($C111&lt;&gt;0,SUMPRODUCT((Z$106:Z$107)*TRANSPOSE(($D111:$E111))),0)</f>
        <v>-161794.92780504958</v>
      </c>
      <c r="AA111" s="31" cm="1">
        <f t="array" ref="AA111">AA$105+IF($C111&lt;&gt;0,SUMPRODUCT((AA$106:AA$107)*TRANSPOSE(($D111:$E111))),0)</f>
        <v>-168829.48988352998</v>
      </c>
      <c r="AB111" s="31" cm="1">
        <f t="array" ref="AB111">AB$105+IF($C111&lt;&gt;0,SUMPRODUCT((AB$106:AB$107)*TRANSPOSE(($D111:$E111))),0)</f>
        <v>-175864.05196201042</v>
      </c>
      <c r="AC111" s="31" cm="1">
        <f t="array" ref="AC111">AC$105+IF($C111&lt;&gt;0,SUMPRODUCT((AC$106:AC$107)*TRANSPOSE(($D111:$E111))),0)</f>
        <v>-182898.61404049085</v>
      </c>
      <c r="AD111" s="31" cm="1">
        <f t="array" ref="AD111">AD$105+IF($C111&lt;&gt;0,SUMPRODUCT((AD$106:AD$107)*TRANSPOSE(($D111:$E111))),0)</f>
        <v>-189933.17611897126</v>
      </c>
      <c r="AE111" s="31" cm="1">
        <f t="array" ref="AE111">AE$105+IF($C111&lt;&gt;0,SUMPRODUCT((AE$106:AE$107)*TRANSPOSE(($D111:$E111))),0)</f>
        <v>-196967.73819745169</v>
      </c>
      <c r="AF111" s="31" cm="1">
        <f t="array" ref="AF111">AF$105+IF($C111&lt;&gt;0,SUMPRODUCT((AF$106:AF$107)*TRANSPOSE(($D111:$E111))),0)</f>
        <v>-204002.30027593207</v>
      </c>
      <c r="AG111" s="31" cm="1">
        <f t="array" ref="AG111">AG$105+IF($C111&lt;&gt;0,SUMPRODUCT((AG$106:AG$107)*TRANSPOSE(($D111:$E111))),0)</f>
        <v>-211036.8623544125</v>
      </c>
    </row>
    <row r="112" spans="1:43" x14ac:dyDescent="0.2">
      <c r="A112" s="1" t="str">
        <f>"sens"&amp;Assumptions!B114</f>
        <v>sens4</v>
      </c>
      <c r="C112" s="303" t="str">
        <f>Assumptions!C114</f>
        <v>Total benefits 10% lower</v>
      </c>
      <c r="D112" s="304">
        <f>Assumptions!G114</f>
        <v>0</v>
      </c>
      <c r="E112" s="304">
        <f>Assumptions!H114</f>
        <v>-0.1</v>
      </c>
      <c r="G112" s="38" t="str">
        <f t="shared" si="21"/>
        <v>Option 1 (Base Case)sens4</v>
      </c>
      <c r="I112" s="31" cm="1">
        <f t="array" ref="I112">I$105+IF($C112&lt;&gt;0,SUMPRODUCT((I$106:I$107)*TRANSPOSE(($D112:$E112))),0)</f>
        <v>0</v>
      </c>
      <c r="J112" s="31" cm="1">
        <f t="array" ref="J112">J$105+IF($C112&lt;&gt;0,SUMPRODUCT((J$106:J$107)*TRANSPOSE(($D112:$E112))),0)</f>
        <v>-11724.270130800694</v>
      </c>
      <c r="K112" s="31" cm="1">
        <f t="array" ref="K112">K$105+IF($C112&lt;&gt;0,SUMPRODUCT((K$106:K$107)*TRANSPOSE(($D112:$E112))),0)</f>
        <v>-23448.540261601389</v>
      </c>
      <c r="L112" s="31" cm="1">
        <f t="array" ref="L112">L$105+IF($C112&lt;&gt;0,SUMPRODUCT((L$106:L$107)*TRANSPOSE(($D112:$E112))),0)</f>
        <v>-35172.810392402083</v>
      </c>
      <c r="M112" s="31" cm="1">
        <f t="array" ref="M112">M$105+IF($C112&lt;&gt;0,SUMPRODUCT((M$106:M$107)*TRANSPOSE(($D112:$E112))),0)</f>
        <v>-46897.080523202778</v>
      </c>
      <c r="N112" s="31" cm="1">
        <f t="array" ref="N112">N$105+IF($C112&lt;&gt;0,SUMPRODUCT((N$106:N$107)*TRANSPOSE(($D112:$E112))),0)</f>
        <v>-58621.350654003472</v>
      </c>
      <c r="O112" s="31" cm="1">
        <f t="array" ref="O112">O$105+IF($C112&lt;&gt;0,SUMPRODUCT((O$106:O$107)*TRANSPOSE(($D112:$E112))),0)</f>
        <v>-68000.766758644037</v>
      </c>
      <c r="P112" s="31" cm="1">
        <f t="array" ref="P112">P$105+IF($C112&lt;&gt;0,SUMPRODUCT((P$106:P$107)*TRANSPOSE(($D112:$E112))),0)</f>
        <v>-77380.182863284586</v>
      </c>
      <c r="Q112" s="31" cm="1">
        <f t="array" ref="Q112">Q$105+IF($C112&lt;&gt;0,SUMPRODUCT((Q$106:Q$107)*TRANSPOSE(($D112:$E112))),0)</f>
        <v>-86759.598967925136</v>
      </c>
      <c r="R112" s="31" cm="1">
        <f t="array" ref="R112">R$105+IF($C112&lt;&gt;0,SUMPRODUCT((R$106:R$107)*TRANSPOSE(($D112:$E112))),0)</f>
        <v>-96139.015072565686</v>
      </c>
      <c r="S112" s="31" cm="1">
        <f t="array" ref="S112">S$105+IF($C112&lt;&gt;0,SUMPRODUCT((S$106:S$107)*TRANSPOSE(($D112:$E112))),0)</f>
        <v>-105518.43117720625</v>
      </c>
      <c r="T112" s="31" cm="1">
        <f t="array" ref="T112">T$105+IF($C112&lt;&gt;0,SUMPRODUCT((T$106:T$107)*TRANSPOSE(($D112:$E112))),0)</f>
        <v>-114897.84728184681</v>
      </c>
      <c r="U112" s="31" cm="1">
        <f t="array" ref="U112">U$105+IF($C112&lt;&gt;0,SUMPRODUCT((U$106:U$107)*TRANSPOSE(($D112:$E112))),0)</f>
        <v>-124277.26338648736</v>
      </c>
      <c r="V112" s="31" cm="1">
        <f t="array" ref="V112">V$105+IF($C112&lt;&gt;0,SUMPRODUCT((V$106:V$107)*TRANSPOSE(($D112:$E112))),0)</f>
        <v>-133656.67949112793</v>
      </c>
      <c r="W112" s="31" cm="1">
        <f t="array" ref="W112">W$105+IF($C112&lt;&gt;0,SUMPRODUCT((W$106:W$107)*TRANSPOSE(($D112:$E112))),0)</f>
        <v>-140691.24156960833</v>
      </c>
      <c r="X112" s="31" cm="1">
        <f t="array" ref="X112">X$105+IF($C112&lt;&gt;0,SUMPRODUCT((X$106:X$107)*TRANSPOSE(($D112:$E112))),0)</f>
        <v>-147725.80364808877</v>
      </c>
      <c r="Y112" s="31" cm="1">
        <f t="array" ref="Y112">Y$105+IF($C112&lt;&gt;0,SUMPRODUCT((Y$106:Y$107)*TRANSPOSE(($D112:$E112))),0)</f>
        <v>-154760.36572656917</v>
      </c>
      <c r="Z112" s="31" cm="1">
        <f t="array" ref="Z112">Z$105+IF($C112&lt;&gt;0,SUMPRODUCT((Z$106:Z$107)*TRANSPOSE(($D112:$E112))),0)</f>
        <v>-161794.92780504958</v>
      </c>
      <c r="AA112" s="31" cm="1">
        <f t="array" ref="AA112">AA$105+IF($C112&lt;&gt;0,SUMPRODUCT((AA$106:AA$107)*TRANSPOSE(($D112:$E112))),0)</f>
        <v>-168829.48988352998</v>
      </c>
      <c r="AB112" s="31" cm="1">
        <f t="array" ref="AB112">AB$105+IF($C112&lt;&gt;0,SUMPRODUCT((AB$106:AB$107)*TRANSPOSE(($D112:$E112))),0)</f>
        <v>-175864.05196201042</v>
      </c>
      <c r="AC112" s="31" cm="1">
        <f t="array" ref="AC112">AC$105+IF($C112&lt;&gt;0,SUMPRODUCT((AC$106:AC$107)*TRANSPOSE(($D112:$E112))),0)</f>
        <v>-182898.61404049085</v>
      </c>
      <c r="AD112" s="31" cm="1">
        <f t="array" ref="AD112">AD$105+IF($C112&lt;&gt;0,SUMPRODUCT((AD$106:AD$107)*TRANSPOSE(($D112:$E112))),0)</f>
        <v>-189933.17611897126</v>
      </c>
      <c r="AE112" s="31" cm="1">
        <f t="array" ref="AE112">AE$105+IF($C112&lt;&gt;0,SUMPRODUCT((AE$106:AE$107)*TRANSPOSE(($D112:$E112))),0)</f>
        <v>-196967.73819745169</v>
      </c>
      <c r="AF112" s="31" cm="1">
        <f t="array" ref="AF112">AF$105+IF($C112&lt;&gt;0,SUMPRODUCT((AF$106:AF$107)*TRANSPOSE(($D112:$E112))),0)</f>
        <v>-204002.30027593207</v>
      </c>
      <c r="AG112" s="31" cm="1">
        <f t="array" ref="AG112">AG$105+IF($C112&lt;&gt;0,SUMPRODUCT((AG$106:AG$107)*TRANSPOSE(($D112:$E112))),0)</f>
        <v>-211036.8623544125</v>
      </c>
    </row>
    <row r="113" spans="1:33" x14ac:dyDescent="0.2">
      <c r="A113" s="1" t="str">
        <f>"sens"&amp;Assumptions!B115</f>
        <v>sens5</v>
      </c>
      <c r="C113" s="303" t="str">
        <f>Assumptions!C115</f>
        <v>Capex 10% higher &amp; Total benefits 10% lower</v>
      </c>
      <c r="D113" s="304">
        <f>Assumptions!G115</f>
        <v>0.1</v>
      </c>
      <c r="E113" s="304">
        <f>Assumptions!H115</f>
        <v>-0.1</v>
      </c>
      <c r="G113" s="38" t="str">
        <f t="shared" si="21"/>
        <v>Option 1 (Base Case)sens5</v>
      </c>
      <c r="I113" s="31" cm="1">
        <f t="array" ref="I113">I$105+IF($C113&lt;&gt;0,SUMPRODUCT((I$106:I$107)*TRANSPOSE(($D113:$E113))),0)</f>
        <v>0</v>
      </c>
      <c r="J113" s="31" cm="1">
        <f t="array" ref="J113">J$105+IF($C113&lt;&gt;0,SUMPRODUCT((J$106:J$107)*TRANSPOSE(($D113:$E113))),0)</f>
        <v>-12896.697143880763</v>
      </c>
      <c r="K113" s="31" cm="1">
        <f t="array" ref="K113">K$105+IF($C113&lt;&gt;0,SUMPRODUCT((K$106:K$107)*TRANSPOSE(($D113:$E113))),0)</f>
        <v>-25793.394287761526</v>
      </c>
      <c r="L113" s="31" cm="1">
        <f t="array" ref="L113">L$105+IF($C113&lt;&gt;0,SUMPRODUCT((L$106:L$107)*TRANSPOSE(($D113:$E113))),0)</f>
        <v>-38690.091431642293</v>
      </c>
      <c r="M113" s="31" cm="1">
        <f t="array" ref="M113">M$105+IF($C113&lt;&gt;0,SUMPRODUCT((M$106:M$107)*TRANSPOSE(($D113:$E113))),0)</f>
        <v>-51586.788575523053</v>
      </c>
      <c r="N113" s="31" cm="1">
        <f t="array" ref="N113">N$105+IF($C113&lt;&gt;0,SUMPRODUCT((N$106:N$107)*TRANSPOSE(($D113:$E113))),0)</f>
        <v>-64483.48571940382</v>
      </c>
      <c r="O113" s="31" cm="1">
        <f t="array" ref="O113">O$105+IF($C113&lt;&gt;0,SUMPRODUCT((O$106:O$107)*TRANSPOSE(($D113:$E113))),0)</f>
        <v>-74800.843434508439</v>
      </c>
      <c r="P113" s="31" cm="1">
        <f t="array" ref="P113">P$105+IF($C113&lt;&gt;0,SUMPRODUCT((P$106:P$107)*TRANSPOSE(($D113:$E113))),0)</f>
        <v>-85118.201149613044</v>
      </c>
      <c r="Q113" s="31" cm="1">
        <f t="array" ref="Q113">Q$105+IF($C113&lt;&gt;0,SUMPRODUCT((Q$106:Q$107)*TRANSPOSE(($D113:$E113))),0)</f>
        <v>-95435.558864717648</v>
      </c>
      <c r="R113" s="31" cm="1">
        <f t="array" ref="R113">R$105+IF($C113&lt;&gt;0,SUMPRODUCT((R$106:R$107)*TRANSPOSE(($D113:$E113))),0)</f>
        <v>-105752.91657982225</v>
      </c>
      <c r="S113" s="31" cm="1">
        <f t="array" ref="S113">S$105+IF($C113&lt;&gt;0,SUMPRODUCT((S$106:S$107)*TRANSPOSE(($D113:$E113))),0)</f>
        <v>-116070.27429492687</v>
      </c>
      <c r="T113" s="31" cm="1">
        <f t="array" ref="T113">T$105+IF($C113&lt;&gt;0,SUMPRODUCT((T$106:T$107)*TRANSPOSE(($D113:$E113))),0)</f>
        <v>-126387.63201003149</v>
      </c>
      <c r="U113" s="31" cm="1">
        <f t="array" ref="U113">U$105+IF($C113&lt;&gt;0,SUMPRODUCT((U$106:U$107)*TRANSPOSE(($D113:$E113))),0)</f>
        <v>-136704.98972513611</v>
      </c>
      <c r="V113" s="31" cm="1">
        <f t="array" ref="V113">V$105+IF($C113&lt;&gt;0,SUMPRODUCT((V$106:V$107)*TRANSPOSE(($D113:$E113))),0)</f>
        <v>-147022.34744024073</v>
      </c>
      <c r="W113" s="31" cm="1">
        <f t="array" ref="W113">W$105+IF($C113&lt;&gt;0,SUMPRODUCT((W$106:W$107)*TRANSPOSE(($D113:$E113))),0)</f>
        <v>-154760.36572656917</v>
      </c>
      <c r="X113" s="31" cm="1">
        <f t="array" ref="X113">X$105+IF($C113&lt;&gt;0,SUMPRODUCT((X$106:X$107)*TRANSPOSE(($D113:$E113))),0)</f>
        <v>-162498.38401289764</v>
      </c>
      <c r="Y113" s="31" cm="1">
        <f t="array" ref="Y113">Y$105+IF($C113&lt;&gt;0,SUMPRODUCT((Y$106:Y$107)*TRANSPOSE(($D113:$E113))),0)</f>
        <v>-170236.40229922609</v>
      </c>
      <c r="Z113" s="31" cm="1">
        <f t="array" ref="Z113">Z$105+IF($C113&lt;&gt;0,SUMPRODUCT((Z$106:Z$107)*TRANSPOSE(($D113:$E113))),0)</f>
        <v>-177974.42058555453</v>
      </c>
      <c r="AA113" s="31" cm="1">
        <f t="array" ref="AA113">AA$105+IF($C113&lt;&gt;0,SUMPRODUCT((AA$106:AA$107)*TRANSPOSE(($D113:$E113))),0)</f>
        <v>-185712.43887188297</v>
      </c>
      <c r="AB113" s="31" cm="1">
        <f t="array" ref="AB113">AB$105+IF($C113&lt;&gt;0,SUMPRODUCT((AB$106:AB$107)*TRANSPOSE(($D113:$E113))),0)</f>
        <v>-193450.45715821144</v>
      </c>
      <c r="AC113" s="31" cm="1">
        <f t="array" ref="AC113">AC$105+IF($C113&lt;&gt;0,SUMPRODUCT((AC$106:AC$107)*TRANSPOSE(($D113:$E113))),0)</f>
        <v>-201188.47544453994</v>
      </c>
      <c r="AD113" s="31" cm="1">
        <f t="array" ref="AD113">AD$105+IF($C113&lt;&gt;0,SUMPRODUCT((AD$106:AD$107)*TRANSPOSE(($D113:$E113))),0)</f>
        <v>-208926.49373086839</v>
      </c>
      <c r="AE113" s="31" cm="1">
        <f t="array" ref="AE113">AE$105+IF($C113&lt;&gt;0,SUMPRODUCT((AE$106:AE$107)*TRANSPOSE(($D113:$E113))),0)</f>
        <v>-216664.51201719686</v>
      </c>
      <c r="AF113" s="31" cm="1">
        <f t="array" ref="AF113">AF$105+IF($C113&lt;&gt;0,SUMPRODUCT((AF$106:AF$107)*TRANSPOSE(($D113:$E113))),0)</f>
        <v>-224402.53030352527</v>
      </c>
      <c r="AG113" s="31" cm="1">
        <f t="array" ref="AG113">AG$105+IF($C113&lt;&gt;0,SUMPRODUCT((AG$106:AG$107)*TRANSPOSE(($D113:$E113))),0)</f>
        <v>-232140.54858985374</v>
      </c>
    </row>
    <row r="114" spans="1:33" x14ac:dyDescent="0.2">
      <c r="A114" s="1" t="str">
        <f>"sens"&amp;Assumptions!B116</f>
        <v>sens</v>
      </c>
      <c r="C114" s="303">
        <f>Assumptions!C116</f>
        <v>0</v>
      </c>
      <c r="D114" s="304">
        <f>Assumptions!G116</f>
        <v>0</v>
      </c>
      <c r="E114" s="304">
        <f>Assumptions!H116</f>
        <v>0</v>
      </c>
      <c r="G114" s="38" t="str">
        <f t="shared" si="21"/>
        <v>Option 1 (Base Case)sens</v>
      </c>
      <c r="I114" s="31" cm="1">
        <f t="array" ref="I114">I$105+IF($C114&lt;&gt;0,SUMPRODUCT((I$106:I$107)*TRANSPOSE(($D114:$E114))),0)</f>
        <v>0</v>
      </c>
      <c r="J114" s="31" cm="1">
        <f t="array" ref="J114">J$105+IF($C114&lt;&gt;0,SUMPRODUCT((J$106:J$107)*TRANSPOSE(($D114:$E114))),0)</f>
        <v>-11724.270130800694</v>
      </c>
      <c r="K114" s="31" cm="1">
        <f t="array" ref="K114">K$105+IF($C114&lt;&gt;0,SUMPRODUCT((K$106:K$107)*TRANSPOSE(($D114:$E114))),0)</f>
        <v>-23448.540261601389</v>
      </c>
      <c r="L114" s="31" cm="1">
        <f t="array" ref="L114">L$105+IF($C114&lt;&gt;0,SUMPRODUCT((L$106:L$107)*TRANSPOSE(($D114:$E114))),0)</f>
        <v>-35172.810392402083</v>
      </c>
      <c r="M114" s="31" cm="1">
        <f t="array" ref="M114">M$105+IF($C114&lt;&gt;0,SUMPRODUCT((M$106:M$107)*TRANSPOSE(($D114:$E114))),0)</f>
        <v>-46897.080523202778</v>
      </c>
      <c r="N114" s="31" cm="1">
        <f t="array" ref="N114">N$105+IF($C114&lt;&gt;0,SUMPRODUCT((N$106:N$107)*TRANSPOSE(($D114:$E114))),0)</f>
        <v>-58621.350654003472</v>
      </c>
      <c r="O114" s="31" cm="1">
        <f t="array" ref="O114">O$105+IF($C114&lt;&gt;0,SUMPRODUCT((O$106:O$107)*TRANSPOSE(($D114:$E114))),0)</f>
        <v>-68000.766758644037</v>
      </c>
      <c r="P114" s="31" cm="1">
        <f t="array" ref="P114">P$105+IF($C114&lt;&gt;0,SUMPRODUCT((P$106:P$107)*TRANSPOSE(($D114:$E114))),0)</f>
        <v>-77380.182863284586</v>
      </c>
      <c r="Q114" s="31" cm="1">
        <f t="array" ref="Q114">Q$105+IF($C114&lt;&gt;0,SUMPRODUCT((Q$106:Q$107)*TRANSPOSE(($D114:$E114))),0)</f>
        <v>-86759.598967925136</v>
      </c>
      <c r="R114" s="31" cm="1">
        <f t="array" ref="R114">R$105+IF($C114&lt;&gt;0,SUMPRODUCT((R$106:R$107)*TRANSPOSE(($D114:$E114))),0)</f>
        <v>-96139.015072565686</v>
      </c>
      <c r="S114" s="31" cm="1">
        <f t="array" ref="S114">S$105+IF($C114&lt;&gt;0,SUMPRODUCT((S$106:S$107)*TRANSPOSE(($D114:$E114))),0)</f>
        <v>-105518.43117720625</v>
      </c>
      <c r="T114" s="31" cm="1">
        <f t="array" ref="T114">T$105+IF($C114&lt;&gt;0,SUMPRODUCT((T$106:T$107)*TRANSPOSE(($D114:$E114))),0)</f>
        <v>-114897.84728184681</v>
      </c>
      <c r="U114" s="31" cm="1">
        <f t="array" ref="U114">U$105+IF($C114&lt;&gt;0,SUMPRODUCT((U$106:U$107)*TRANSPOSE(($D114:$E114))),0)</f>
        <v>-124277.26338648736</v>
      </c>
      <c r="V114" s="31" cm="1">
        <f t="array" ref="V114">V$105+IF($C114&lt;&gt;0,SUMPRODUCT((V$106:V$107)*TRANSPOSE(($D114:$E114))),0)</f>
        <v>-133656.67949112793</v>
      </c>
      <c r="W114" s="31" cm="1">
        <f t="array" ref="W114">W$105+IF($C114&lt;&gt;0,SUMPRODUCT((W$106:W$107)*TRANSPOSE(($D114:$E114))),0)</f>
        <v>-140691.24156960833</v>
      </c>
      <c r="X114" s="31" cm="1">
        <f t="array" ref="X114">X$105+IF($C114&lt;&gt;0,SUMPRODUCT((X$106:X$107)*TRANSPOSE(($D114:$E114))),0)</f>
        <v>-147725.80364808877</v>
      </c>
      <c r="Y114" s="31" cm="1">
        <f t="array" ref="Y114">Y$105+IF($C114&lt;&gt;0,SUMPRODUCT((Y$106:Y$107)*TRANSPOSE(($D114:$E114))),0)</f>
        <v>-154760.36572656917</v>
      </c>
      <c r="Z114" s="31" cm="1">
        <f t="array" ref="Z114">Z$105+IF($C114&lt;&gt;0,SUMPRODUCT((Z$106:Z$107)*TRANSPOSE(($D114:$E114))),0)</f>
        <v>-161794.92780504958</v>
      </c>
      <c r="AA114" s="31" cm="1">
        <f t="array" ref="AA114">AA$105+IF($C114&lt;&gt;0,SUMPRODUCT((AA$106:AA$107)*TRANSPOSE(($D114:$E114))),0)</f>
        <v>-168829.48988352998</v>
      </c>
      <c r="AB114" s="31" cm="1">
        <f t="array" ref="AB114">AB$105+IF($C114&lt;&gt;0,SUMPRODUCT((AB$106:AB$107)*TRANSPOSE(($D114:$E114))),0)</f>
        <v>-175864.05196201042</v>
      </c>
      <c r="AC114" s="31" cm="1">
        <f t="array" ref="AC114">AC$105+IF($C114&lt;&gt;0,SUMPRODUCT((AC$106:AC$107)*TRANSPOSE(($D114:$E114))),0)</f>
        <v>-182898.61404049085</v>
      </c>
      <c r="AD114" s="31" cm="1">
        <f t="array" ref="AD114">AD$105+IF($C114&lt;&gt;0,SUMPRODUCT((AD$106:AD$107)*TRANSPOSE(($D114:$E114))),0)</f>
        <v>-189933.17611897126</v>
      </c>
      <c r="AE114" s="31" cm="1">
        <f t="array" ref="AE114">AE$105+IF($C114&lt;&gt;0,SUMPRODUCT((AE$106:AE$107)*TRANSPOSE(($D114:$E114))),0)</f>
        <v>-196967.73819745169</v>
      </c>
      <c r="AF114" s="31" cm="1">
        <f t="array" ref="AF114">AF$105+IF($C114&lt;&gt;0,SUMPRODUCT((AF$106:AF$107)*TRANSPOSE(($D114:$E114))),0)</f>
        <v>-204002.30027593207</v>
      </c>
      <c r="AG114" s="31" cm="1">
        <f t="array" ref="AG114">AG$105+IF($C114&lt;&gt;0,SUMPRODUCT((AG$106:AG$107)*TRANSPOSE(($D114:$E114))),0)</f>
        <v>-211036.8623544125</v>
      </c>
    </row>
    <row r="115" spans="1:33" x14ac:dyDescent="0.2">
      <c r="A115" s="1" t="str">
        <f>"sens"&amp;Assumptions!B117</f>
        <v>sens</v>
      </c>
      <c r="C115" s="303">
        <f>Assumptions!C117</f>
        <v>0</v>
      </c>
      <c r="D115" s="304">
        <f>Assumptions!G117</f>
        <v>0</v>
      </c>
      <c r="E115" s="304">
        <f>Assumptions!H117</f>
        <v>0</v>
      </c>
      <c r="G115" s="38" t="str">
        <f t="shared" si="21"/>
        <v>Option 1 (Base Case)sens</v>
      </c>
      <c r="I115" s="31" cm="1">
        <f t="array" ref="I115">I$105+IF($C115&lt;&gt;0,SUMPRODUCT((I$106:I$107)*TRANSPOSE(($D115:$E115))),0)</f>
        <v>0</v>
      </c>
      <c r="J115" s="31" cm="1">
        <f t="array" ref="J115">J$105+IF($C115&lt;&gt;0,SUMPRODUCT((J$106:J$107)*TRANSPOSE(($D115:$E115))),0)</f>
        <v>-11724.270130800694</v>
      </c>
      <c r="K115" s="31" cm="1">
        <f t="array" ref="K115">K$105+IF($C115&lt;&gt;0,SUMPRODUCT((K$106:K$107)*TRANSPOSE(($D115:$E115))),0)</f>
        <v>-23448.540261601389</v>
      </c>
      <c r="L115" s="31" cm="1">
        <f t="array" ref="L115">L$105+IF($C115&lt;&gt;0,SUMPRODUCT((L$106:L$107)*TRANSPOSE(($D115:$E115))),0)</f>
        <v>-35172.810392402083</v>
      </c>
      <c r="M115" s="31" cm="1">
        <f t="array" ref="M115">M$105+IF($C115&lt;&gt;0,SUMPRODUCT((M$106:M$107)*TRANSPOSE(($D115:$E115))),0)</f>
        <v>-46897.080523202778</v>
      </c>
      <c r="N115" s="31" cm="1">
        <f t="array" ref="N115">N$105+IF($C115&lt;&gt;0,SUMPRODUCT((N$106:N$107)*TRANSPOSE(($D115:$E115))),0)</f>
        <v>-58621.350654003472</v>
      </c>
      <c r="O115" s="31" cm="1">
        <f t="array" ref="O115">O$105+IF($C115&lt;&gt;0,SUMPRODUCT((O$106:O$107)*TRANSPOSE(($D115:$E115))),0)</f>
        <v>-68000.766758644037</v>
      </c>
      <c r="P115" s="31" cm="1">
        <f t="array" ref="P115">P$105+IF($C115&lt;&gt;0,SUMPRODUCT((P$106:P$107)*TRANSPOSE(($D115:$E115))),0)</f>
        <v>-77380.182863284586</v>
      </c>
      <c r="Q115" s="31" cm="1">
        <f t="array" ref="Q115">Q$105+IF($C115&lt;&gt;0,SUMPRODUCT((Q$106:Q$107)*TRANSPOSE(($D115:$E115))),0)</f>
        <v>-86759.598967925136</v>
      </c>
      <c r="R115" s="31" cm="1">
        <f t="array" ref="R115">R$105+IF($C115&lt;&gt;0,SUMPRODUCT((R$106:R$107)*TRANSPOSE(($D115:$E115))),0)</f>
        <v>-96139.015072565686</v>
      </c>
      <c r="S115" s="31" cm="1">
        <f t="array" ref="S115">S$105+IF($C115&lt;&gt;0,SUMPRODUCT((S$106:S$107)*TRANSPOSE(($D115:$E115))),0)</f>
        <v>-105518.43117720625</v>
      </c>
      <c r="T115" s="31" cm="1">
        <f t="array" ref="T115">T$105+IF($C115&lt;&gt;0,SUMPRODUCT((T$106:T$107)*TRANSPOSE(($D115:$E115))),0)</f>
        <v>-114897.84728184681</v>
      </c>
      <c r="U115" s="31" cm="1">
        <f t="array" ref="U115">U$105+IF($C115&lt;&gt;0,SUMPRODUCT((U$106:U$107)*TRANSPOSE(($D115:$E115))),0)</f>
        <v>-124277.26338648736</v>
      </c>
      <c r="V115" s="31" cm="1">
        <f t="array" ref="V115">V$105+IF($C115&lt;&gt;0,SUMPRODUCT((V$106:V$107)*TRANSPOSE(($D115:$E115))),0)</f>
        <v>-133656.67949112793</v>
      </c>
      <c r="W115" s="31" cm="1">
        <f t="array" ref="W115">W$105+IF($C115&lt;&gt;0,SUMPRODUCT((W$106:W$107)*TRANSPOSE(($D115:$E115))),0)</f>
        <v>-140691.24156960833</v>
      </c>
      <c r="X115" s="31" cm="1">
        <f t="array" ref="X115">X$105+IF($C115&lt;&gt;0,SUMPRODUCT((X$106:X$107)*TRANSPOSE(($D115:$E115))),0)</f>
        <v>-147725.80364808877</v>
      </c>
      <c r="Y115" s="31" cm="1">
        <f t="array" ref="Y115">Y$105+IF($C115&lt;&gt;0,SUMPRODUCT((Y$106:Y$107)*TRANSPOSE(($D115:$E115))),0)</f>
        <v>-154760.36572656917</v>
      </c>
      <c r="Z115" s="31" cm="1">
        <f t="array" ref="Z115">Z$105+IF($C115&lt;&gt;0,SUMPRODUCT((Z$106:Z$107)*TRANSPOSE(($D115:$E115))),0)</f>
        <v>-161794.92780504958</v>
      </c>
      <c r="AA115" s="31" cm="1">
        <f t="array" ref="AA115">AA$105+IF($C115&lt;&gt;0,SUMPRODUCT((AA$106:AA$107)*TRANSPOSE(($D115:$E115))),0)</f>
        <v>-168829.48988352998</v>
      </c>
      <c r="AB115" s="31" cm="1">
        <f t="array" ref="AB115">AB$105+IF($C115&lt;&gt;0,SUMPRODUCT((AB$106:AB$107)*TRANSPOSE(($D115:$E115))),0)</f>
        <v>-175864.05196201042</v>
      </c>
      <c r="AC115" s="31" cm="1">
        <f t="array" ref="AC115">AC$105+IF($C115&lt;&gt;0,SUMPRODUCT((AC$106:AC$107)*TRANSPOSE(($D115:$E115))),0)</f>
        <v>-182898.61404049085</v>
      </c>
      <c r="AD115" s="31" cm="1">
        <f t="array" ref="AD115">AD$105+IF($C115&lt;&gt;0,SUMPRODUCT((AD$106:AD$107)*TRANSPOSE(($D115:$E115))),0)</f>
        <v>-189933.17611897126</v>
      </c>
      <c r="AE115" s="31" cm="1">
        <f t="array" ref="AE115">AE$105+IF($C115&lt;&gt;0,SUMPRODUCT((AE$106:AE$107)*TRANSPOSE(($D115:$E115))),0)</f>
        <v>-196967.73819745169</v>
      </c>
      <c r="AF115" s="31" cm="1">
        <f t="array" ref="AF115">AF$105+IF($C115&lt;&gt;0,SUMPRODUCT((AF$106:AF$107)*TRANSPOSE(($D115:$E115))),0)</f>
        <v>-204002.30027593207</v>
      </c>
      <c r="AG115" s="31" cm="1">
        <f t="array" ref="AG115">AG$105+IF($C115&lt;&gt;0,SUMPRODUCT((AG$106:AG$107)*TRANSPOSE(($D115:$E115))),0)</f>
        <v>-211036.8623544125</v>
      </c>
    </row>
    <row r="116" spans="1:33" x14ac:dyDescent="0.2">
      <c r="A116" s="1" t="str">
        <f>"sens"&amp;Assumptions!B118</f>
        <v>sens</v>
      </c>
      <c r="C116" s="303">
        <f>Assumptions!C118</f>
        <v>0</v>
      </c>
      <c r="D116" s="304">
        <f>Assumptions!G118</f>
        <v>0</v>
      </c>
      <c r="E116" s="304">
        <f>Assumptions!H118</f>
        <v>0</v>
      </c>
      <c r="G116" s="38" t="str">
        <f t="shared" si="21"/>
        <v>Option 1 (Base Case)sens</v>
      </c>
      <c r="I116" s="31" cm="1">
        <f t="array" ref="I116">I$105+IF($C116&lt;&gt;0,SUMPRODUCT((I$106:I$107)*TRANSPOSE(($D116:$E116))),0)</f>
        <v>0</v>
      </c>
      <c r="J116" s="31" cm="1">
        <f t="array" ref="J116">J$105+IF($C116&lt;&gt;0,SUMPRODUCT((J$106:J$107)*TRANSPOSE(($D116:$E116))),0)</f>
        <v>-11724.270130800694</v>
      </c>
      <c r="K116" s="31" cm="1">
        <f t="array" ref="K116">K$105+IF($C116&lt;&gt;0,SUMPRODUCT((K$106:K$107)*TRANSPOSE(($D116:$E116))),0)</f>
        <v>-23448.540261601389</v>
      </c>
      <c r="L116" s="31" cm="1">
        <f t="array" ref="L116">L$105+IF($C116&lt;&gt;0,SUMPRODUCT((L$106:L$107)*TRANSPOSE(($D116:$E116))),0)</f>
        <v>-35172.810392402083</v>
      </c>
      <c r="M116" s="31" cm="1">
        <f t="array" ref="M116">M$105+IF($C116&lt;&gt;0,SUMPRODUCT((M$106:M$107)*TRANSPOSE(($D116:$E116))),0)</f>
        <v>-46897.080523202778</v>
      </c>
      <c r="N116" s="31" cm="1">
        <f t="array" ref="N116">N$105+IF($C116&lt;&gt;0,SUMPRODUCT((N$106:N$107)*TRANSPOSE(($D116:$E116))),0)</f>
        <v>-58621.350654003472</v>
      </c>
      <c r="O116" s="31" cm="1">
        <f t="array" ref="O116">O$105+IF($C116&lt;&gt;0,SUMPRODUCT((O$106:O$107)*TRANSPOSE(($D116:$E116))),0)</f>
        <v>-68000.766758644037</v>
      </c>
      <c r="P116" s="31" cm="1">
        <f t="array" ref="P116">P$105+IF($C116&lt;&gt;0,SUMPRODUCT((P$106:P$107)*TRANSPOSE(($D116:$E116))),0)</f>
        <v>-77380.182863284586</v>
      </c>
      <c r="Q116" s="31" cm="1">
        <f t="array" ref="Q116">Q$105+IF($C116&lt;&gt;0,SUMPRODUCT((Q$106:Q$107)*TRANSPOSE(($D116:$E116))),0)</f>
        <v>-86759.598967925136</v>
      </c>
      <c r="R116" s="31" cm="1">
        <f t="array" ref="R116">R$105+IF($C116&lt;&gt;0,SUMPRODUCT((R$106:R$107)*TRANSPOSE(($D116:$E116))),0)</f>
        <v>-96139.015072565686</v>
      </c>
      <c r="S116" s="31" cm="1">
        <f t="array" ref="S116">S$105+IF($C116&lt;&gt;0,SUMPRODUCT((S$106:S$107)*TRANSPOSE(($D116:$E116))),0)</f>
        <v>-105518.43117720625</v>
      </c>
      <c r="T116" s="31" cm="1">
        <f t="array" ref="T116">T$105+IF($C116&lt;&gt;0,SUMPRODUCT((T$106:T$107)*TRANSPOSE(($D116:$E116))),0)</f>
        <v>-114897.84728184681</v>
      </c>
      <c r="U116" s="31" cm="1">
        <f t="array" ref="U116">U$105+IF($C116&lt;&gt;0,SUMPRODUCT((U$106:U$107)*TRANSPOSE(($D116:$E116))),0)</f>
        <v>-124277.26338648736</v>
      </c>
      <c r="V116" s="31" cm="1">
        <f t="array" ref="V116">V$105+IF($C116&lt;&gt;0,SUMPRODUCT((V$106:V$107)*TRANSPOSE(($D116:$E116))),0)</f>
        <v>-133656.67949112793</v>
      </c>
      <c r="W116" s="31" cm="1">
        <f t="array" ref="W116">W$105+IF($C116&lt;&gt;0,SUMPRODUCT((W$106:W$107)*TRANSPOSE(($D116:$E116))),0)</f>
        <v>-140691.24156960833</v>
      </c>
      <c r="X116" s="31" cm="1">
        <f t="array" ref="X116">X$105+IF($C116&lt;&gt;0,SUMPRODUCT((X$106:X$107)*TRANSPOSE(($D116:$E116))),0)</f>
        <v>-147725.80364808877</v>
      </c>
      <c r="Y116" s="31" cm="1">
        <f t="array" ref="Y116">Y$105+IF($C116&lt;&gt;0,SUMPRODUCT((Y$106:Y$107)*TRANSPOSE(($D116:$E116))),0)</f>
        <v>-154760.36572656917</v>
      </c>
      <c r="Z116" s="31" cm="1">
        <f t="array" ref="Z116">Z$105+IF($C116&lt;&gt;0,SUMPRODUCT((Z$106:Z$107)*TRANSPOSE(($D116:$E116))),0)</f>
        <v>-161794.92780504958</v>
      </c>
      <c r="AA116" s="31" cm="1">
        <f t="array" ref="AA116">AA$105+IF($C116&lt;&gt;0,SUMPRODUCT((AA$106:AA$107)*TRANSPOSE(($D116:$E116))),0)</f>
        <v>-168829.48988352998</v>
      </c>
      <c r="AB116" s="31" cm="1">
        <f t="array" ref="AB116">AB$105+IF($C116&lt;&gt;0,SUMPRODUCT((AB$106:AB$107)*TRANSPOSE(($D116:$E116))),0)</f>
        <v>-175864.05196201042</v>
      </c>
      <c r="AC116" s="31" cm="1">
        <f t="array" ref="AC116">AC$105+IF($C116&lt;&gt;0,SUMPRODUCT((AC$106:AC$107)*TRANSPOSE(($D116:$E116))),0)</f>
        <v>-182898.61404049085</v>
      </c>
      <c r="AD116" s="31" cm="1">
        <f t="array" ref="AD116">AD$105+IF($C116&lt;&gt;0,SUMPRODUCT((AD$106:AD$107)*TRANSPOSE(($D116:$E116))),0)</f>
        <v>-189933.17611897126</v>
      </c>
      <c r="AE116" s="31" cm="1">
        <f t="array" ref="AE116">AE$105+IF($C116&lt;&gt;0,SUMPRODUCT((AE$106:AE$107)*TRANSPOSE(($D116:$E116))),0)</f>
        <v>-196967.73819745169</v>
      </c>
      <c r="AF116" s="31" cm="1">
        <f t="array" ref="AF116">AF$105+IF($C116&lt;&gt;0,SUMPRODUCT((AF$106:AF$107)*TRANSPOSE(($D116:$E116))),0)</f>
        <v>-204002.30027593207</v>
      </c>
      <c r="AG116" s="31" cm="1">
        <f t="array" ref="AG116">AG$105+IF($C116&lt;&gt;0,SUMPRODUCT((AG$106:AG$107)*TRANSPOSE(($D116:$E116))),0)</f>
        <v>-211036.8623544125</v>
      </c>
    </row>
  </sheetData>
  <conditionalFormatting sqref="E14:E16">
    <cfRule type="expression" dxfId="13" priority="12">
      <formula>AND(SUM($I14:$AB14)&lt;&gt;0, E14=0)</formula>
    </cfRule>
  </conditionalFormatting>
  <conditionalFormatting sqref="E27">
    <cfRule type="expression" dxfId="12" priority="239">
      <formula>AND(SUM($I$26:$AG$26)&gt;0, $E$27=0)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5"/>
  <sheetViews>
    <sheetView showGridLines="0" zoomScale="90" zoomScaleNormal="90" workbookViewId="0">
      <pane xSplit="7" ySplit="10" topLeftCell="H11" activePane="bottomRight" state="frozen"/>
      <selection activeCell="I24" sqref="I24"/>
      <selection pane="topRight" activeCell="I24" sqref="I24"/>
      <selection pane="bottomLeft" activeCell="I24" sqref="I24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Replace compound filled cable terminations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5" t="s">
        <v>130</v>
      </c>
      <c r="B3" s="5"/>
      <c r="C3" s="202" t="str">
        <f>INDEX(Assumptions!$E$14:$E$18, MATCH(A3,_xlfn.ANCHORARRAY( Assumptions!$C$14),0))</f>
        <v>Inspect and replace by priority over 7 years (2% failure rate)</v>
      </c>
    </row>
    <row r="4" spans="1:43" x14ac:dyDescent="0.2">
      <c r="A4" s="203" t="str">
        <f>(INDEX(Data!$D$9:$D$13, MATCH(A3, options,0)))</f>
        <v/>
      </c>
      <c r="B4" s="189"/>
      <c r="C4" s="240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2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6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3" x14ac:dyDescent="0.2">
      <c r="A12" s="3"/>
      <c r="B12" s="3"/>
      <c r="C12" s="3"/>
      <c r="D12" s="3"/>
      <c r="G12" s="207"/>
    </row>
    <row r="13" spans="1:43" x14ac:dyDescent="0.2">
      <c r="C13" s="3" t="s">
        <v>17</v>
      </c>
      <c r="D13"/>
      <c r="E13" s="126" t="s">
        <v>69</v>
      </c>
      <c r="G13" s="20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262</v>
      </c>
      <c r="D14"/>
      <c r="E14" s="151">
        <v>50</v>
      </c>
      <c r="G14" s="209">
        <f>input_dollars</f>
        <v>45291</v>
      </c>
      <c r="H14" s="152"/>
      <c r="I14" s="32">
        <f>INDEX(Workings_costs!G$13:G$17, MATCH($A$3, Workings_costs!$C$13:$C$17,0))*Workings_costs!$E$7</f>
        <v>2400000</v>
      </c>
      <c r="J14" s="32">
        <f>INDEX(Workings_costs!H$13:H$17, MATCH($A$3, Workings_costs!$C$13:$C$17,0))*Workings_costs!$E$7</f>
        <v>2400000</v>
      </c>
      <c r="K14" s="32">
        <f>INDEX(Workings_costs!I$13:I$17, MATCH($A$3, Workings_costs!$C$13:$C$17,0))*Workings_costs!$E$7</f>
        <v>2400000</v>
      </c>
      <c r="L14" s="32">
        <f>INDEX(Workings_costs!J$13:J$17, MATCH($A$3, Workings_costs!$C$13:$C$17,0))*Workings_costs!$E$7</f>
        <v>2400000</v>
      </c>
      <c r="M14" s="32">
        <f>INDEX(Workings_costs!K$13:K$17, MATCH($A$3, Workings_costs!$C$13:$C$17,0))*Workings_costs!$E$7</f>
        <v>2400000</v>
      </c>
      <c r="N14" s="32">
        <f>INDEX(Workings_costs!L$13:L$17, MATCH($A$3, Workings_costs!$C$13:$C$17,0))*Workings_costs!$E$7</f>
        <v>2400000</v>
      </c>
      <c r="O14" s="32">
        <f>INDEX(Workings_costs!M$13:M$17, MATCH($A$3, Workings_costs!$C$13:$C$17,0))*Workings_costs!$E$7</f>
        <v>1498000</v>
      </c>
      <c r="P14" s="32">
        <f>INDEX(Workings_costs!N$13:N$17, MATCH($A$3, Workings_costs!$C$13:$C$17,0))*Workings_costs!$E$7</f>
        <v>0</v>
      </c>
      <c r="Q14" s="32">
        <f>INDEX(Workings_costs!O$13:O$17, MATCH($A$3, Workings_costs!$C$13:$C$17,0))*Workings_costs!$E$7</f>
        <v>0</v>
      </c>
      <c r="R14" s="32">
        <f>INDEX(Workings_costs!P$13:P$17, MATCH($A$3, Workings_costs!$C$13:$C$17,0))*Workings_costs!$E$7</f>
        <v>0</v>
      </c>
      <c r="S14" s="32">
        <f>INDEX(Workings_costs!Q$13:Q$17, MATCH($A$3, Workings_costs!$C$13:$C$17,0))*Workings_costs!$E$7</f>
        <v>0</v>
      </c>
      <c r="T14" s="32">
        <f>INDEX(Workings_costs!R$13:R$17, MATCH($A$3, Workings_costs!$C$13:$C$17,0))*Workings_costs!$E$7</f>
        <v>0</v>
      </c>
      <c r="U14" s="32">
        <f>INDEX(Workings_costs!S$13:S$17, MATCH($A$3, Workings_costs!$C$13:$C$17,0))*Workings_costs!$E$7</f>
        <v>0</v>
      </c>
      <c r="V14" s="32">
        <f>INDEX(Workings_costs!T$13:T$17, MATCH($A$3, Workings_costs!$C$13:$C$17,0))*Workings_costs!$E$7</f>
        <v>0</v>
      </c>
      <c r="W14" s="32">
        <f>INDEX(Workings_costs!U$13:U$17, MATCH($A$3, Workings_costs!$C$13:$C$17,0))*Workings_costs!$E$7</f>
        <v>0</v>
      </c>
      <c r="X14" s="32">
        <f>INDEX(Workings_costs!V$13:V$17, MATCH($A$3, Workings_costs!$C$13:$C$17,0))*Workings_costs!$E$7</f>
        <v>0</v>
      </c>
      <c r="Y14" s="32">
        <f>INDEX(Workings_costs!W$13:W$17, MATCH($A$3, Workings_costs!$C$13:$C$17,0))*Workings_costs!$E$7</f>
        <v>0</v>
      </c>
      <c r="Z14" s="32">
        <f>INDEX(Workings_costs!X$13:X$17, MATCH($A$3, Workings_costs!$C$13:$C$17,0))*Workings_costs!$E$7</f>
        <v>0</v>
      </c>
      <c r="AA14" s="32">
        <f>INDEX(Workings_costs!Y$13:Y$17, MATCH($A$3, Workings_costs!$C$13:$C$17,0))*Workings_costs!$E$7</f>
        <v>0</v>
      </c>
      <c r="AB14" s="32">
        <f>INDEX(Workings_costs!Z$13:Z$17, MATCH($A$3, Workings_costs!$C$13:$C$17,0))*Workings_costs!$E$7</f>
        <v>0</v>
      </c>
      <c r="AC14" s="32">
        <f>INDEX(Workings_costs!AA$13:AA$17, MATCH($A$3, Workings_costs!$C$13:$C$17,0))*Workings_costs!$E$7</f>
        <v>0</v>
      </c>
      <c r="AD14" s="32">
        <f>INDEX(Workings_costs!AB$13:AB$17, MATCH($A$3, Workings_costs!$C$13:$C$17,0))*Workings_costs!$E$7</f>
        <v>0</v>
      </c>
      <c r="AE14" s="32">
        <f>INDEX(Workings_costs!AC$13:AC$17, MATCH($A$3, Workings_costs!$C$13:$C$17,0))*Workings_costs!$E$7</f>
        <v>0</v>
      </c>
      <c r="AF14" s="32">
        <f>INDEX(Workings_costs!AD$13:AD$17, MATCH($A$3, Workings_costs!$C$13:$C$17,0))*Workings_costs!$E$7</f>
        <v>0</v>
      </c>
      <c r="AG14" s="32">
        <f>INDEX(Workings_costs!AE$13:AE$17, MATCH($A$3, Workings_costs!$C$13:$C$17,0))*Workings_costs!$E$7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247</v>
      </c>
      <c r="D15"/>
      <c r="E15" s="151">
        <v>50</v>
      </c>
      <c r="G15" s="209">
        <f>input_dollars</f>
        <v>45291</v>
      </c>
      <c r="H15" s="2"/>
      <c r="I15" s="32">
        <f>INDEX(Workings_costs!G$21:G$25, MATCH($A$3, Workings_costs!$C$21:$C$25,0))*Workings_costs!$E$9</f>
        <v>165000</v>
      </c>
      <c r="J15" s="32">
        <f>INDEX(Workings_costs!H$21:H$25, MATCH($A$3, Workings_costs!$C$21:$C$25,0))*Workings_costs!$E$9</f>
        <v>165000</v>
      </c>
      <c r="K15" s="32">
        <f>INDEX(Workings_costs!I$21:I$25, MATCH($A$3, Workings_costs!$C$21:$C$25,0))*Workings_costs!$E$9</f>
        <v>110000</v>
      </c>
      <c r="L15" s="32">
        <f>INDEX(Workings_costs!J$21:J$25, MATCH($A$3, Workings_costs!$C$21:$C$25,0))*Workings_costs!$E$9</f>
        <v>110000</v>
      </c>
      <c r="M15" s="32">
        <f>INDEX(Workings_costs!K$21:K$25, MATCH($A$3, Workings_costs!$C$21:$C$25,0))*Workings_costs!$E$9</f>
        <v>55000</v>
      </c>
      <c r="N15" s="32">
        <f>INDEX(Workings_costs!L$21:L$25, MATCH($A$3, Workings_costs!$C$21:$C$25,0))*Workings_costs!$E$9</f>
        <v>55000</v>
      </c>
      <c r="O15" s="32">
        <f>INDEX(Workings_costs!M$21:M$25, MATCH($A$3, Workings_costs!$C$21:$C$25,0))*Workings_costs!$E$9</f>
        <v>0</v>
      </c>
      <c r="P15" s="32">
        <f>INDEX(Workings_costs!N$21:N$25, MATCH($A$3, Workings_costs!$C$21:$C$25,0))*Workings_costs!$E$9</f>
        <v>0</v>
      </c>
      <c r="Q15" s="32">
        <f>INDEX(Workings_costs!O$21:O$25, MATCH($A$3, Workings_costs!$C$21:$C$25,0))*Workings_costs!$E$9</f>
        <v>0</v>
      </c>
      <c r="R15" s="32">
        <f>INDEX(Workings_costs!P$21:P$25, MATCH($A$3, Workings_costs!$C$21:$C$25,0))*Workings_costs!$E$9</f>
        <v>0</v>
      </c>
      <c r="S15" s="32">
        <f>INDEX(Workings_costs!Q$21:Q$25, MATCH($A$3, Workings_costs!$C$21:$C$25,0))*Workings_costs!$E$9</f>
        <v>0</v>
      </c>
      <c r="T15" s="32">
        <f>INDEX(Workings_costs!R$21:R$25, MATCH($A$3, Workings_costs!$C$21:$C$25,0))*Workings_costs!$E$9</f>
        <v>0</v>
      </c>
      <c r="U15" s="32">
        <f>INDEX(Workings_costs!S$21:S$25, MATCH($A$3, Workings_costs!$C$21:$C$25,0))*Workings_costs!$E$9</f>
        <v>0</v>
      </c>
      <c r="V15" s="32">
        <f>INDEX(Workings_costs!T$21:T$25, MATCH($A$3, Workings_costs!$C$21:$C$25,0))*Workings_costs!$E$9</f>
        <v>0</v>
      </c>
      <c r="W15" s="32">
        <f>INDEX(Workings_costs!U$21:U$25, MATCH($A$3, Workings_costs!$C$21:$C$25,0))*Workings_costs!$E$9</f>
        <v>0</v>
      </c>
      <c r="X15" s="32">
        <f>INDEX(Workings_costs!V$21:V$25, MATCH($A$3, Workings_costs!$C$21:$C$25,0))*Workings_costs!$E$9</f>
        <v>0</v>
      </c>
      <c r="Y15" s="32">
        <f>INDEX(Workings_costs!W$21:W$25, MATCH($A$3, Workings_costs!$C$21:$C$25,0))*Workings_costs!$E$9</f>
        <v>0</v>
      </c>
      <c r="Z15" s="32">
        <f>INDEX(Workings_costs!X$21:X$25, MATCH($A$3, Workings_costs!$C$21:$C$25,0))*Workings_costs!$E$9</f>
        <v>0</v>
      </c>
      <c r="AA15" s="32">
        <f>INDEX(Workings_costs!Y$21:Y$25, MATCH($A$3, Workings_costs!$C$21:$C$25,0))*Workings_costs!$E$9</f>
        <v>0</v>
      </c>
      <c r="AB15" s="32">
        <f>INDEX(Workings_costs!Z$21:Z$25, MATCH($A$3, Workings_costs!$C$21:$C$25,0))*Workings_costs!$E$9</f>
        <v>0</v>
      </c>
      <c r="AC15" s="32">
        <f>INDEX(Workings_costs!AA$21:AA$25, MATCH($A$3, Workings_costs!$C$21:$C$25,0))*Workings_costs!$E$9</f>
        <v>0</v>
      </c>
      <c r="AD15" s="32">
        <f>INDEX(Workings_costs!AB$21:AB$25, MATCH($A$3, Workings_costs!$C$21:$C$25,0))*Workings_costs!$E$9</f>
        <v>0</v>
      </c>
      <c r="AE15" s="32">
        <f>INDEX(Workings_costs!AC$21:AC$25, MATCH($A$3, Workings_costs!$C$21:$C$25,0))*Workings_costs!$E$9</f>
        <v>0</v>
      </c>
      <c r="AF15" s="32">
        <f>INDEX(Workings_costs!AD$21:AD$25, MATCH($A$3, Workings_costs!$C$21:$C$25,0))*Workings_costs!$E$9</f>
        <v>0</v>
      </c>
      <c r="AG15" s="32">
        <f>INDEX(Workings_costs!AE$21:AE$25, MATCH($A$3, Workings_costs!$C$21:$C$25,0))*Workings_costs!$E$9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09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9">
        <f>input_dollars</f>
        <v>45291</v>
      </c>
      <c r="H17" s="107"/>
      <c r="I17" s="106">
        <f t="shared" ref="I17:Q17" si="0">SUM(I14:I16)</f>
        <v>2565000</v>
      </c>
      <c r="J17" s="106">
        <f t="shared" si="0"/>
        <v>2565000</v>
      </c>
      <c r="K17" s="106">
        <f t="shared" si="0"/>
        <v>2510000</v>
      </c>
      <c r="L17" s="106">
        <f t="shared" si="0"/>
        <v>2510000</v>
      </c>
      <c r="M17" s="106">
        <f t="shared" si="0"/>
        <v>2455000</v>
      </c>
      <c r="N17" s="106">
        <f t="shared" si="0"/>
        <v>2455000</v>
      </c>
      <c r="O17" s="106">
        <f t="shared" si="0"/>
        <v>1498000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9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7"/>
    </row>
    <row r="21" spans="1:43" x14ac:dyDescent="0.2">
      <c r="C21"/>
      <c r="D21"/>
      <c r="E21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268</v>
      </c>
      <c r="D24" s="111"/>
      <c r="E24" s="111"/>
      <c r="F24" s="111"/>
      <c r="G24" s="210"/>
      <c r="H24" s="111"/>
      <c r="I24" s="32">
        <f>INDEX(Workings_costs!G$21:G$25, MATCH($A$3, Workings_costs!$C$21:$C$25,0))</f>
        <v>3</v>
      </c>
      <c r="J24" s="32">
        <f>INDEX(Workings_costs!H$21:H$25, MATCH($A$3, Workings_costs!$C$21:$C$25,0))</f>
        <v>3</v>
      </c>
      <c r="K24" s="32">
        <f>INDEX(Workings_costs!I$21:I$25, MATCH($A$3, Workings_costs!$C$21:$C$25,0))</f>
        <v>2</v>
      </c>
      <c r="L24" s="32">
        <f>INDEX(Workings_costs!J$21:J$25, MATCH($A$3, Workings_costs!$C$21:$C$25,0))</f>
        <v>2</v>
      </c>
      <c r="M24" s="32">
        <f>INDEX(Workings_costs!K$21:K$25, MATCH($A$3, Workings_costs!$C$21:$C$25,0))</f>
        <v>1</v>
      </c>
      <c r="N24" s="32">
        <f>INDEX(Workings_costs!L$21:L$25, MATCH($A$3, Workings_costs!$C$21:$C$25,0))</f>
        <v>1</v>
      </c>
      <c r="O24" s="32">
        <f>INDEX(Workings_costs!M$21:M$25, MATCH($A$3, Workings_costs!$C$21:$C$25,0))</f>
        <v>0</v>
      </c>
      <c r="P24" s="32">
        <f>INDEX(Workings_costs!N$21:N$25, MATCH($A$3, Workings_costs!$C$21:$C$25,0))</f>
        <v>0</v>
      </c>
      <c r="Q24" s="32">
        <f>INDEX(Workings_costs!O$21:O$25, MATCH($A$3, Workings_costs!$C$21:$C$25,0))</f>
        <v>0</v>
      </c>
      <c r="R24" s="32">
        <f>INDEX(Workings_costs!P$21:P$25, MATCH($A$3, Workings_costs!$C$21:$C$25,0))</f>
        <v>0</v>
      </c>
      <c r="S24" s="32">
        <f>INDEX(Workings_costs!Q$21:Q$25, MATCH($A$3, Workings_costs!$C$21:$C$25,0))</f>
        <v>0</v>
      </c>
      <c r="T24" s="32">
        <f>INDEX(Workings_costs!R$21:R$25, MATCH($A$3, Workings_costs!$C$21:$C$25,0))</f>
        <v>0</v>
      </c>
      <c r="U24" s="32">
        <f>INDEX(Workings_costs!S$21:S$25, MATCH($A$3, Workings_costs!$C$21:$C$25,0))</f>
        <v>0</v>
      </c>
      <c r="V24" s="32">
        <f>INDEX(Workings_costs!T$21:T$25, MATCH($A$3, Workings_costs!$C$21:$C$25,0))</f>
        <v>0</v>
      </c>
      <c r="W24" s="32">
        <f>INDEX(Workings_costs!U$21:U$25, MATCH($A$3, Workings_costs!$C$21:$C$25,0))</f>
        <v>0</v>
      </c>
      <c r="X24" s="32">
        <f>INDEX(Workings_costs!V$21:V$25, MATCH($A$3, Workings_costs!$C$21:$C$25,0))</f>
        <v>0</v>
      </c>
      <c r="Y24" s="32">
        <f>INDEX(Workings_costs!W$21:W$25, MATCH($A$3, Workings_costs!$C$21:$C$25,0))</f>
        <v>0</v>
      </c>
      <c r="Z24" s="32">
        <f>INDEX(Workings_costs!X$21:X$25, MATCH($A$3, Workings_costs!$C$21:$C$25,0))</f>
        <v>0</v>
      </c>
      <c r="AA24" s="32">
        <f>INDEX(Workings_costs!Y$21:Y$25, MATCH($A$3, Workings_costs!$C$21:$C$25,0))</f>
        <v>0</v>
      </c>
      <c r="AB24" s="32">
        <f>INDEX(Workings_costs!Z$21:Z$25, MATCH($A$3, Workings_costs!$C$21:$C$25,0))</f>
        <v>0</v>
      </c>
      <c r="AC24" s="32">
        <f>INDEX(Workings_costs!AA$21:AA$25, MATCH($A$3, Workings_costs!$C$21:$C$25,0))</f>
        <v>0</v>
      </c>
      <c r="AD24" s="32">
        <f>INDEX(Workings_costs!AB$21:AB$25, MATCH($A$3, Workings_costs!$C$21:$C$25,0))</f>
        <v>0</v>
      </c>
      <c r="AE24" s="32">
        <f>INDEX(Workings_costs!AC$21:AC$25, MATCH($A$3, Workings_costs!$C$21:$C$25,0))</f>
        <v>0</v>
      </c>
      <c r="AF24" s="32">
        <f>INDEX(Workings_costs!AD$21:AD$25, MATCH($A$3, Workings_costs!$C$21:$C$25,0))</f>
        <v>0</v>
      </c>
      <c r="AG24" s="32">
        <f>INDEX(Workings_costs!AE$21:AE$25, MATCH($A$3, Workings_costs!$C$21:$C$25,0))</f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11"/>
      <c r="D25" s="210"/>
      <c r="E25" s="111"/>
      <c r="F25" s="111"/>
      <c r="G25" s="2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/>
      <c r="AI25"/>
      <c r="AJ25"/>
      <c r="AK25"/>
      <c r="AL25"/>
      <c r="AM25"/>
      <c r="AN25"/>
      <c r="AO25"/>
      <c r="AP25"/>
      <c r="AQ25"/>
    </row>
    <row r="26" spans="1:43" x14ac:dyDescent="0.2">
      <c r="C26" s="1" t="s">
        <v>123</v>
      </c>
      <c r="D26" s="207"/>
      <c r="E26"/>
      <c r="G26" s="209" t="s">
        <v>40</v>
      </c>
      <c r="H26"/>
      <c r="I26" s="334">
        <f>I24*Workings_risks!$E$9*Workings_risks!$E$11/60</f>
        <v>13.293000000000001</v>
      </c>
      <c r="J26" s="334">
        <f>J24*Workings_risks!$E$9*Workings_risks!$E$11/60</f>
        <v>13.293000000000001</v>
      </c>
      <c r="K26" s="334">
        <f>K24*Workings_risks!$E$9*Workings_risks!$E$11/60</f>
        <v>8.8619999999999983</v>
      </c>
      <c r="L26" s="334">
        <f>L24*Workings_risks!$E$9*Workings_risks!$E$11/60</f>
        <v>8.8619999999999983</v>
      </c>
      <c r="M26" s="334">
        <f>M24*Workings_risks!$E$9*Workings_risks!$E$11/60</f>
        <v>4.4309999999999992</v>
      </c>
      <c r="N26" s="334">
        <f>N24*Workings_risks!$E$9*Workings_risks!$E$11/60</f>
        <v>4.4309999999999992</v>
      </c>
      <c r="O26" s="334">
        <f>O24*Workings_risks!$E$9*Workings_risks!$E$11/60</f>
        <v>0</v>
      </c>
      <c r="P26" s="334">
        <f>P24*Workings_risks!$E$9*Workings_risks!$E$11/60</f>
        <v>0</v>
      </c>
      <c r="Q26" s="334">
        <f>Q24*Workings_risks!$E$9*Workings_risks!$E$11/60</f>
        <v>0</v>
      </c>
      <c r="R26" s="334">
        <f>R24*Workings_risks!$E$9*Workings_risks!$E$11/60</f>
        <v>0</v>
      </c>
      <c r="S26" s="334">
        <f>S24*Workings_risks!$E$9*Workings_risks!$E$11/60</f>
        <v>0</v>
      </c>
      <c r="T26" s="334">
        <f>T24*Workings_risks!$E$9*Workings_risks!$E$11/60</f>
        <v>0</v>
      </c>
      <c r="U26" s="334">
        <f>U24*Workings_risks!$E$9*Workings_risks!$E$11/60</f>
        <v>0</v>
      </c>
      <c r="V26" s="334">
        <f>V24*Workings_risks!$E$9*Workings_risks!$E$11/60</f>
        <v>0</v>
      </c>
      <c r="W26" s="334">
        <f>W24*Workings_risks!$E$9*Workings_risks!$E$11/60</f>
        <v>0</v>
      </c>
      <c r="X26" s="334">
        <f>X24*Workings_risks!$E$9*Workings_risks!$E$11/60</f>
        <v>0</v>
      </c>
      <c r="Y26" s="334">
        <f>Y24*Workings_risks!$E$9*Workings_risks!$E$11/60</f>
        <v>0</v>
      </c>
      <c r="Z26" s="334">
        <f>Z24*Workings_risks!$E$9*Workings_risks!$E$11/60</f>
        <v>0</v>
      </c>
      <c r="AA26" s="334">
        <f>AA24*Workings_risks!$E$9*Workings_risks!$E$11/60</f>
        <v>0</v>
      </c>
      <c r="AB26" s="334">
        <f>AB24*Workings_risks!$E$9*Workings_risks!$E$11/60</f>
        <v>0</v>
      </c>
      <c r="AC26" s="334">
        <f>AC24*Workings_risks!$E$9*Workings_risks!$E$11/60</f>
        <v>0</v>
      </c>
      <c r="AD26" s="334">
        <f>AD24*Workings_risks!$E$9*Workings_risks!$E$11/60</f>
        <v>0</v>
      </c>
      <c r="AE26" s="334">
        <f>AE24*Workings_risks!$E$9*Workings_risks!$E$11/60</f>
        <v>0</v>
      </c>
      <c r="AF26" s="334">
        <f>AF24*Workings_risks!$E$9*Workings_risks!$E$11/60</f>
        <v>0</v>
      </c>
      <c r="AG26" s="334">
        <f>AG24*Workings_risks!$E$9*Workings_risks!$E$11/60</f>
        <v>0</v>
      </c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124</v>
      </c>
      <c r="D27" s="207" t="s">
        <v>63</v>
      </c>
      <c r="E27" s="113">
        <f>Assumptions!H41*vcr_esc</f>
        <v>47819.790378690712</v>
      </c>
      <c r="F27" s="240" t="str">
        <f>IF(AND(SUM(I26:AG26)&lt;&gt;0, E27=0), "!", "")</f>
        <v/>
      </c>
      <c r="G27" s="209">
        <f>input_dollars</f>
        <v>45291</v>
      </c>
      <c r="H27"/>
      <c r="I27" s="119">
        <f>I26*$E$27*Workings_risks!$E$15</f>
        <v>909005.9171106281</v>
      </c>
      <c r="J27" s="119">
        <f>J26*$E$27*Workings_risks!$E$15</f>
        <v>909005.9171106281</v>
      </c>
      <c r="K27" s="119">
        <f>K26*$E$27*Workings_risks!$E$15</f>
        <v>606003.94474041846</v>
      </c>
      <c r="L27" s="119">
        <f>L26*$E$27*Workings_risks!$E$15</f>
        <v>606003.94474041846</v>
      </c>
      <c r="M27" s="119">
        <f>M26*$E$27*Workings_risks!$E$15</f>
        <v>303001.97237020923</v>
      </c>
      <c r="N27" s="119">
        <f>N26*$E$27*Workings_risks!$E$15</f>
        <v>303001.97237020923</v>
      </c>
      <c r="O27" s="119">
        <f>O26*$E$27*Workings_risks!$E$15</f>
        <v>0</v>
      </c>
      <c r="P27" s="119">
        <f>P26*$E$27*Workings_risks!$E$15</f>
        <v>0</v>
      </c>
      <c r="Q27" s="119">
        <f>Q26*$E$27*Workings_risks!$E$15</f>
        <v>0</v>
      </c>
      <c r="R27" s="119">
        <f>R26*$E$27*Workings_risks!$E$15</f>
        <v>0</v>
      </c>
      <c r="S27" s="119">
        <f>S26*$E$27*Workings_risks!$E$15</f>
        <v>0</v>
      </c>
      <c r="T27" s="119">
        <f>T26*$E$27*Workings_risks!$E$15</f>
        <v>0</v>
      </c>
      <c r="U27" s="119">
        <f>U26*$E$27*Workings_risks!$E$15</f>
        <v>0</v>
      </c>
      <c r="V27" s="119">
        <f>V26*$E$27*Workings_risks!$E$15</f>
        <v>0</v>
      </c>
      <c r="W27" s="119">
        <f>W26*$E$27*Workings_risks!$E$15</f>
        <v>0</v>
      </c>
      <c r="X27" s="119">
        <f>X26*$E$27*Workings_risks!$E$15</f>
        <v>0</v>
      </c>
      <c r="Y27" s="119">
        <f>Y26*$E$27*Workings_risks!$E$15</f>
        <v>0</v>
      </c>
      <c r="Z27" s="119">
        <f>Z26*$E$27*Workings_risks!$E$15</f>
        <v>0</v>
      </c>
      <c r="AA27" s="119">
        <f>AA26*$E$27*Workings_risks!$E$15</f>
        <v>0</v>
      </c>
      <c r="AB27" s="119">
        <f>AB26*$E$27*Workings_risks!$E$15</f>
        <v>0</v>
      </c>
      <c r="AC27" s="119">
        <f>AC26*$E$27*Workings_risks!$E$15</f>
        <v>0</v>
      </c>
      <c r="AD27" s="119">
        <f>AD26*$E$27*Workings_risks!$E$15</f>
        <v>0</v>
      </c>
      <c r="AE27" s="119">
        <f>AE26*$E$27*Workings_risks!$E$15</f>
        <v>0</v>
      </c>
      <c r="AF27" s="119">
        <f>AF26*$E$27*Workings_risks!$E$15</f>
        <v>0</v>
      </c>
      <c r="AG27" s="119">
        <f>AG26*$E$27*Workings_risks!$E$15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D28" s="208"/>
      <c r="E28"/>
      <c r="G28" s="20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tr">
        <f>'Option1 (base case)'!C29</f>
        <v>Safety consequence</v>
      </c>
      <c r="D29" s="207" t="s">
        <v>206</v>
      </c>
      <c r="G29" s="209">
        <f>input_dollars</f>
        <v>45291</v>
      </c>
      <c r="H29" s="152"/>
      <c r="I29" s="32">
        <f>I$24*Workings_risks!$E17</f>
        <v>100470</v>
      </c>
      <c r="J29" s="32">
        <f>J$24*Workings_risks!$E17</f>
        <v>100470</v>
      </c>
      <c r="K29" s="32">
        <f>K$24*Workings_risks!$E17</f>
        <v>66980</v>
      </c>
      <c r="L29" s="32">
        <f>L$24*Workings_risks!$E17</f>
        <v>66980</v>
      </c>
      <c r="M29" s="32">
        <f>M$24*Workings_risks!$E17</f>
        <v>33490</v>
      </c>
      <c r="N29" s="32">
        <f>N$24*Workings_risks!$E17</f>
        <v>33490</v>
      </c>
      <c r="O29" s="32">
        <f>O$24*Workings_risks!$E17</f>
        <v>0</v>
      </c>
      <c r="P29" s="32">
        <f>P$24*Workings_risks!$E17</f>
        <v>0</v>
      </c>
      <c r="Q29" s="32">
        <f>Q$24*Workings_risks!$E17</f>
        <v>0</v>
      </c>
      <c r="R29" s="32">
        <f>R$24*Workings_risks!$E17</f>
        <v>0</v>
      </c>
      <c r="S29" s="32">
        <f>S$24*Workings_risks!$E17</f>
        <v>0</v>
      </c>
      <c r="T29" s="32">
        <f>T$24*Workings_risks!$E17</f>
        <v>0</v>
      </c>
      <c r="U29" s="32">
        <f>U$24*Workings_risks!$E17</f>
        <v>0</v>
      </c>
      <c r="V29" s="32">
        <f>V$24*Workings_risks!$E17</f>
        <v>0</v>
      </c>
      <c r="W29" s="32">
        <f>W$24*Workings_risks!$E17</f>
        <v>0</v>
      </c>
      <c r="X29" s="32">
        <f>X$24*Workings_risks!$E17</f>
        <v>0</v>
      </c>
      <c r="Y29" s="32">
        <f>Y$24*Workings_risks!$E17</f>
        <v>0</v>
      </c>
      <c r="Z29" s="32">
        <f>Z$24*Workings_risks!$E17</f>
        <v>0</v>
      </c>
      <c r="AA29" s="32">
        <f>AA$24*Workings_risks!$E17</f>
        <v>0</v>
      </c>
      <c r="AB29" s="32">
        <f>AB$24*Workings_risks!$E17</f>
        <v>0</v>
      </c>
      <c r="AC29" s="32">
        <f>AC$24*Workings_risks!$E17</f>
        <v>0</v>
      </c>
      <c r="AD29" s="32">
        <f>AD$24*Workings_risks!$E17</f>
        <v>0</v>
      </c>
      <c r="AE29" s="32">
        <f>AE$24*Workings_risks!$E17</f>
        <v>0</v>
      </c>
      <c r="AF29" s="32">
        <f>AF$24*Workings_risks!$E17</f>
        <v>0</v>
      </c>
      <c r="AG29" s="32">
        <f>AG$24*Workings_risks!$E17</f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Unplanned replacements</v>
      </c>
      <c r="D30" s="208"/>
      <c r="E30"/>
      <c r="G30" s="209">
        <f>input_dollars</f>
        <v>45291</v>
      </c>
      <c r="H30" s="152"/>
      <c r="I30" s="32" cm="1">
        <f t="array" ref="I30">(1+Assumptions!$G$81)*SUMPRODUCT((Assumptions!$G$78:$G$79)*('Option1 (base case)'!I$24:I$24))</f>
        <v>0</v>
      </c>
      <c r="J30" s="32" cm="1">
        <f t="array" ref="J30">(1+Assumptions!$G$81)*SUMPRODUCT((Assumptions!$G$78:$G$79)*('Option1 (base case)'!J$24:J$24))</f>
        <v>0</v>
      </c>
      <c r="K30" s="32" cm="1">
        <f t="array" ref="K30">(1+Assumptions!$G$81)*SUMPRODUCT((Assumptions!$G$78:$G$79)*('Option1 (base case)'!K$24:K$24))</f>
        <v>0</v>
      </c>
      <c r="L30" s="32" cm="1">
        <f t="array" ref="L30">(1+Assumptions!$G$81)*SUMPRODUCT((Assumptions!$G$78:$G$79)*('Option1 (base case)'!L$24:L$24))</f>
        <v>0</v>
      </c>
      <c r="M30" s="32" cm="1">
        <f t="array" ref="M30">(1+Assumptions!$G$81)*SUMPRODUCT((Assumptions!$G$78:$G$79)*('Option1 (base case)'!M$24:M$24))</f>
        <v>0</v>
      </c>
      <c r="N30" s="32" cm="1">
        <f t="array" ref="N30">(1+Assumptions!$G$81)*SUMPRODUCT((Assumptions!$G$78:$G$79)*('Option1 (base case)'!N$24:N$24))</f>
        <v>0</v>
      </c>
      <c r="O30" s="32" cm="1">
        <f t="array" ref="O30">(1+Assumptions!$G$81)*SUMPRODUCT((Assumptions!$G$78:$G$79)*('Option1 (base case)'!O$24:O$24))</f>
        <v>0</v>
      </c>
      <c r="P30" s="32" cm="1">
        <f t="array" ref="P30">(1+Assumptions!$G$81)*SUMPRODUCT((Assumptions!$G$78:$G$79)*('Option1 (base case)'!P$24:P$24))</f>
        <v>0</v>
      </c>
      <c r="Q30" s="32" cm="1">
        <f t="array" ref="Q30">(1+Assumptions!$G$81)*SUMPRODUCT((Assumptions!$G$78:$G$79)*('Option1 (base case)'!Q$24:Q$24))</f>
        <v>0</v>
      </c>
      <c r="R30" s="32" cm="1">
        <f t="array" ref="R30">(1+Assumptions!$G$81)*SUMPRODUCT((Assumptions!$G$78:$G$79)*('Option1 (base case)'!R$24:R$24))</f>
        <v>0</v>
      </c>
      <c r="S30" s="32" cm="1">
        <f t="array" ref="S30">(1+Assumptions!$G$81)*SUMPRODUCT((Assumptions!$G$78:$G$79)*('Option1 (base case)'!S$24:S$24))</f>
        <v>0</v>
      </c>
      <c r="T30" s="32" cm="1">
        <f t="array" ref="T30">(1+Assumptions!$G$81)*SUMPRODUCT((Assumptions!$G$78:$G$79)*('Option1 (base case)'!T$24:T$24))</f>
        <v>0</v>
      </c>
      <c r="U30" s="32" cm="1">
        <f t="array" ref="U30">(1+Assumptions!$G$81)*SUMPRODUCT((Assumptions!$G$78:$G$79)*('Option1 (base case)'!U$24:U$24))</f>
        <v>0</v>
      </c>
      <c r="V30" s="32" cm="1">
        <f t="array" ref="V30">(1+Assumptions!$G$81)*SUMPRODUCT((Assumptions!$G$78:$G$79)*('Option1 (base case)'!V$24:V$24))</f>
        <v>0</v>
      </c>
      <c r="W30" s="32" cm="1">
        <f t="array" ref="W30">(1+Assumptions!$G$81)*SUMPRODUCT((Assumptions!$G$78:$G$79)*('Option1 (base case)'!W$24:W$24))</f>
        <v>0</v>
      </c>
      <c r="X30" s="32" cm="1">
        <f t="array" ref="X30">(1+Assumptions!$G$81)*SUMPRODUCT((Assumptions!$G$78:$G$79)*('Option1 (base case)'!X$24:X$24))</f>
        <v>0</v>
      </c>
      <c r="Y30" s="32" cm="1">
        <f t="array" ref="Y30">(1+Assumptions!$G$81)*SUMPRODUCT((Assumptions!$G$78:$G$79)*('Option1 (base case)'!Y$24:Y$24))</f>
        <v>0</v>
      </c>
      <c r="Z30" s="32" cm="1">
        <f t="array" ref="Z30">(1+Assumptions!$G$81)*SUMPRODUCT((Assumptions!$G$78:$G$79)*('Option1 (base case)'!Z$24:Z$24))</f>
        <v>0</v>
      </c>
      <c r="AA30" s="32" cm="1">
        <f t="array" ref="AA30">(1+Assumptions!$G$81)*SUMPRODUCT((Assumptions!$G$78:$G$79)*('Option1 (base case)'!AA$24:AA$24))</f>
        <v>0</v>
      </c>
      <c r="AB30" s="32" cm="1">
        <f t="array" ref="AB30">(1+Assumptions!$G$81)*SUMPRODUCT((Assumptions!$G$78:$G$79)*('Option1 (base case)'!AB$24:AB$24))</f>
        <v>0</v>
      </c>
      <c r="AC30" s="32" cm="1">
        <f t="array" ref="AC30">(1+Assumptions!$G$81)*SUMPRODUCT((Assumptions!$G$78:$G$79)*('Option1 (base case)'!AC$24:AC$24))</f>
        <v>0</v>
      </c>
      <c r="AD30" s="32" cm="1">
        <f t="array" ref="AD30">(1+Assumptions!$G$81)*SUMPRODUCT((Assumptions!$G$78:$G$79)*('Option1 (base case)'!AD$24:AD$24))</f>
        <v>0</v>
      </c>
      <c r="AE30" s="32" cm="1">
        <f t="array" ref="AE30">(1+Assumptions!$G$81)*SUMPRODUCT((Assumptions!$G$78:$G$79)*('Option1 (base case)'!AE$24:AE$24))</f>
        <v>0</v>
      </c>
      <c r="AF30" s="32" cm="1">
        <f t="array" ref="AF30">(1+Assumptions!$G$81)*SUMPRODUCT((Assumptions!$G$78:$G$79)*('Option1 (base case)'!AF$24:AF$24))</f>
        <v>0</v>
      </c>
      <c r="AG30" s="32" cm="1">
        <f t="array" ref="AG30">(1+Assumptions!$G$81)*SUMPRODUCT((Assumptions!$G$78:$G$79)*('Option1 (base case)'!AG$24:AG$24))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Environmental consequence</v>
      </c>
      <c r="D31" s="207" t="s">
        <v>206</v>
      </c>
      <c r="E31"/>
      <c r="G31" s="209">
        <f>input_dollars</f>
        <v>45291</v>
      </c>
      <c r="H31"/>
      <c r="I31" s="32">
        <f>I$24*Workings_risks!$E19</f>
        <v>1650</v>
      </c>
      <c r="J31" s="32">
        <f>J$24*Workings_risks!$E19</f>
        <v>1650</v>
      </c>
      <c r="K31" s="32">
        <f>K$24*Workings_risks!$E19</f>
        <v>1100</v>
      </c>
      <c r="L31" s="32">
        <f>L$24*Workings_risks!$E19</f>
        <v>1100</v>
      </c>
      <c r="M31" s="32">
        <f>M$24*Workings_risks!$E19</f>
        <v>550</v>
      </c>
      <c r="N31" s="32">
        <f>N$24*Workings_risks!$E19</f>
        <v>550</v>
      </c>
      <c r="O31" s="32">
        <f>O$24*Workings_risks!$E19</f>
        <v>0</v>
      </c>
      <c r="P31" s="32">
        <f>P$24*Workings_risks!$E19</f>
        <v>0</v>
      </c>
      <c r="Q31" s="32">
        <f>Q$24*Workings_risks!$E19</f>
        <v>0</v>
      </c>
      <c r="R31" s="32">
        <f>R$24*Workings_risks!$E19</f>
        <v>0</v>
      </c>
      <c r="S31" s="32">
        <f>S$24*Workings_risks!$E19</f>
        <v>0</v>
      </c>
      <c r="T31" s="32">
        <f>T$24*Workings_risks!$E19</f>
        <v>0</v>
      </c>
      <c r="U31" s="32">
        <f>U$24*Workings_risks!$E19</f>
        <v>0</v>
      </c>
      <c r="V31" s="32">
        <f>V$24*Workings_risks!$E19</f>
        <v>0</v>
      </c>
      <c r="W31" s="32">
        <f>W$24*Workings_risks!$E19</f>
        <v>0</v>
      </c>
      <c r="X31" s="32">
        <f>X$24*Workings_risks!$E19</f>
        <v>0</v>
      </c>
      <c r="Y31" s="32">
        <f>Y$24*Workings_risks!$E19</f>
        <v>0</v>
      </c>
      <c r="Z31" s="32">
        <f>Z$24*Workings_risks!$E19</f>
        <v>0</v>
      </c>
      <c r="AA31" s="32">
        <f>AA$24*Workings_risks!$E19</f>
        <v>0</v>
      </c>
      <c r="AB31" s="32">
        <f>AB$24*Workings_risks!$E19</f>
        <v>0</v>
      </c>
      <c r="AC31" s="32">
        <f>AC$24*Workings_risks!$E19</f>
        <v>0</v>
      </c>
      <c r="AD31" s="32">
        <f>AD$24*Workings_risks!$E19</f>
        <v>0</v>
      </c>
      <c r="AE31" s="32">
        <f>AE$24*Workings_risks!$E19</f>
        <v>0</v>
      </c>
      <c r="AF31" s="32">
        <f>AF$24*Workings_risks!$E19</f>
        <v>0</v>
      </c>
      <c r="AG31" s="32">
        <f>AG$24*Workings_risks!$E19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Customer claims</v>
      </c>
      <c r="D32" s="221"/>
      <c r="E32"/>
      <c r="G32" s="209">
        <f>input_dollars</f>
        <v>45291</v>
      </c>
      <c r="H32"/>
      <c r="I32" s="32">
        <f>I$24*Workings_risks!$E21</f>
        <v>39000</v>
      </c>
      <c r="J32" s="32">
        <f>J$24*Workings_risks!$E21</f>
        <v>39000</v>
      </c>
      <c r="K32" s="32">
        <f>K$24*Workings_risks!$E21</f>
        <v>26000</v>
      </c>
      <c r="L32" s="32">
        <f>L$24*Workings_risks!$E21</f>
        <v>26000</v>
      </c>
      <c r="M32" s="32">
        <f>M$24*Workings_risks!$E21</f>
        <v>13000</v>
      </c>
      <c r="N32" s="32">
        <f>N$24*Workings_risks!$E21</f>
        <v>13000</v>
      </c>
      <c r="O32" s="32">
        <f>O$24*Workings_risks!$E21</f>
        <v>0</v>
      </c>
      <c r="P32" s="32">
        <f>P$24*Workings_risks!$E21</f>
        <v>0</v>
      </c>
      <c r="Q32" s="32">
        <f>Q$24*Workings_risks!$E21</f>
        <v>0</v>
      </c>
      <c r="R32" s="32">
        <f>R$24*Workings_risks!$E21</f>
        <v>0</v>
      </c>
      <c r="S32" s="32">
        <f>S$24*Workings_risks!$E21</f>
        <v>0</v>
      </c>
      <c r="T32" s="32">
        <f>T$24*Workings_risks!$E21</f>
        <v>0</v>
      </c>
      <c r="U32" s="32">
        <f>U$24*Workings_risks!$E21</f>
        <v>0</v>
      </c>
      <c r="V32" s="32">
        <f>V$24*Workings_risks!$E21</f>
        <v>0</v>
      </c>
      <c r="W32" s="32">
        <f>W$24*Workings_risks!$E21</f>
        <v>0</v>
      </c>
      <c r="X32" s="32">
        <f>X$24*Workings_risks!$E21</f>
        <v>0</v>
      </c>
      <c r="Y32" s="32">
        <f>Y$24*Workings_risks!$E21</f>
        <v>0</v>
      </c>
      <c r="Z32" s="32">
        <f>Z$24*Workings_risks!$E21</f>
        <v>0</v>
      </c>
      <c r="AA32" s="32">
        <f>AA$24*Workings_risks!$E21</f>
        <v>0</v>
      </c>
      <c r="AB32" s="32">
        <f>AB$24*Workings_risks!$E21</f>
        <v>0</v>
      </c>
      <c r="AC32" s="32">
        <f>AC$24*Workings_risks!$E21</f>
        <v>0</v>
      </c>
      <c r="AD32" s="32">
        <f>AD$24*Workings_risks!$E21</f>
        <v>0</v>
      </c>
      <c r="AE32" s="32">
        <f>AE$24*Workings_risks!$E21</f>
        <v>0</v>
      </c>
      <c r="AF32" s="32">
        <f>AF$24*Workings_risks!$E21</f>
        <v>0</v>
      </c>
      <c r="AG32" s="32">
        <f>AG$24*Workings_risks!$E21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D33" s="208"/>
      <c r="E33"/>
      <c r="G33" s="209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D34" s="208"/>
      <c r="E34"/>
      <c r="G34" s="20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pans="1:16372" x14ac:dyDescent="0.2">
      <c r="C35" s="3" t="s">
        <v>170</v>
      </c>
      <c r="D35" s="220"/>
      <c r="E35" s="107"/>
      <c r="F35" s="3"/>
      <c r="G35" s="211"/>
      <c r="H35" s="107"/>
      <c r="I35" s="172">
        <f>SUM(I27:I33)</f>
        <v>1050125.917110628</v>
      </c>
      <c r="J35" s="172">
        <f t="shared" ref="J35:AG35" si="2">SUM(J27:J33)</f>
        <v>1050125.917110628</v>
      </c>
      <c r="K35" s="172">
        <f t="shared" si="2"/>
        <v>700083.94474041846</v>
      </c>
      <c r="L35" s="172">
        <f t="shared" si="2"/>
        <v>700083.94474041846</v>
      </c>
      <c r="M35" s="172">
        <f t="shared" si="2"/>
        <v>350041.97237020923</v>
      </c>
      <c r="N35" s="172">
        <f t="shared" si="2"/>
        <v>350041.97237020923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0</v>
      </c>
      <c r="AD35" s="172">
        <f t="shared" si="2"/>
        <v>0</v>
      </c>
      <c r="AE35" s="172">
        <f t="shared" si="2"/>
        <v>0</v>
      </c>
      <c r="AF35" s="172">
        <f t="shared" si="2"/>
        <v>0</v>
      </c>
      <c r="AG35" s="172">
        <f t="shared" si="2"/>
        <v>0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D36"/>
      <c r="E36"/>
      <c r="G36" s="20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5" x14ac:dyDescent="0.2">
      <c r="A37" s="89" t="s">
        <v>56</v>
      </c>
      <c r="B37" s="89"/>
      <c r="C37" s="89"/>
      <c r="D37" s="89"/>
      <c r="E37" s="89"/>
      <c r="F37" s="89"/>
      <c r="G37" s="20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/>
      <c r="AI37"/>
      <c r="AJ37"/>
      <c r="AK37"/>
      <c r="AL37"/>
      <c r="AM37"/>
      <c r="AN37"/>
      <c r="AO37"/>
      <c r="AP37"/>
      <c r="AQ37"/>
    </row>
    <row r="38" spans="1:16372" x14ac:dyDescent="0.2">
      <c r="D38"/>
      <c r="E38"/>
      <c r="G38" s="20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25">
      <c r="C40" s="1" t="s">
        <v>59</v>
      </c>
      <c r="G40" s="207" t="s">
        <v>40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</row>
    <row r="41" spans="1:16372" ht="13.5" x14ac:dyDescent="0.25">
      <c r="C41" s="1" t="s">
        <v>129</v>
      </c>
      <c r="G41" s="207" t="s">
        <v>104</v>
      </c>
      <c r="I41" s="85">
        <f t="shared" ref="I41:AG41" si="3">I40*I7</f>
        <v>0</v>
      </c>
      <c r="J41" s="85">
        <f t="shared" si="3"/>
        <v>0</v>
      </c>
      <c r="K41" s="85">
        <f t="shared" si="3"/>
        <v>0</v>
      </c>
      <c r="L41" s="85">
        <f t="shared" si="3"/>
        <v>0</v>
      </c>
      <c r="M41" s="85">
        <f t="shared" si="3"/>
        <v>0</v>
      </c>
      <c r="N41" s="85">
        <f t="shared" si="3"/>
        <v>0</v>
      </c>
      <c r="O41" s="85">
        <f t="shared" si="3"/>
        <v>0</v>
      </c>
      <c r="P41" s="85">
        <f t="shared" si="3"/>
        <v>0</v>
      </c>
      <c r="Q41" s="85">
        <f t="shared" si="3"/>
        <v>0</v>
      </c>
      <c r="R41" s="85">
        <f t="shared" si="3"/>
        <v>0</v>
      </c>
      <c r="S41" s="85">
        <f t="shared" si="3"/>
        <v>0</v>
      </c>
      <c r="T41" s="85">
        <f t="shared" si="3"/>
        <v>0</v>
      </c>
      <c r="U41" s="85">
        <f t="shared" si="3"/>
        <v>0</v>
      </c>
      <c r="V41" s="85">
        <f t="shared" si="3"/>
        <v>0</v>
      </c>
      <c r="W41" s="85">
        <f t="shared" si="3"/>
        <v>0</v>
      </c>
      <c r="X41" s="85">
        <f t="shared" si="3"/>
        <v>0</v>
      </c>
      <c r="Y41" s="85">
        <f t="shared" si="3"/>
        <v>0</v>
      </c>
      <c r="Z41" s="85">
        <f t="shared" si="3"/>
        <v>0</v>
      </c>
      <c r="AA41" s="85">
        <f t="shared" si="3"/>
        <v>0</v>
      </c>
      <c r="AB41" s="85">
        <f t="shared" si="3"/>
        <v>0</v>
      </c>
      <c r="AC41" s="85">
        <f t="shared" si="3"/>
        <v>0</v>
      </c>
      <c r="AD41" s="85">
        <f t="shared" si="3"/>
        <v>0</v>
      </c>
      <c r="AE41" s="85">
        <f t="shared" si="3"/>
        <v>0</v>
      </c>
      <c r="AF41" s="85">
        <f t="shared" si="3"/>
        <v>0</v>
      </c>
      <c r="AG41" s="85">
        <f t="shared" si="3"/>
        <v>0</v>
      </c>
    </row>
    <row r="42" spans="1:16372" x14ac:dyDescent="0.2">
      <c r="D42"/>
      <c r="E42"/>
      <c r="G42" s="20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2">
      <c r="D43" s="208"/>
      <c r="E43"/>
      <c r="G43" s="20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C44" s="1" t="s">
        <v>14</v>
      </c>
      <c r="D44" s="207" t="s">
        <v>63</v>
      </c>
      <c r="E44" s="113">
        <f>Assumptions!G94</f>
        <v>0</v>
      </c>
      <c r="G44" s="209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2">
      <c r="C45" s="1" t="s">
        <v>4</v>
      </c>
      <c r="D45" s="207" t="s">
        <v>63</v>
      </c>
      <c r="E45" s="113">
        <f>Assumptions!G95</f>
        <v>0</v>
      </c>
      <c r="G45" s="209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5</v>
      </c>
      <c r="D46" s="207" t="s">
        <v>63</v>
      </c>
      <c r="E46" s="112">
        <f>Assumptions!G96</f>
        <v>4220.9953699573898</v>
      </c>
      <c r="G46" s="209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15</v>
      </c>
      <c r="D47" s="207" t="s">
        <v>126</v>
      </c>
      <c r="E47" s="112">
        <f>Assumptions!G97</f>
        <v>0</v>
      </c>
      <c r="G47" s="209" t="s">
        <v>203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201</v>
      </c>
      <c r="D48" s="207" t="s">
        <v>204</v>
      </c>
      <c r="E48" s="112">
        <f>Assumptions!G98</f>
        <v>0.54769380678923496</v>
      </c>
      <c r="G48" s="209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7" t="s">
        <v>204</v>
      </c>
      <c r="E49" s="112">
        <f>Assumptions!G99</f>
        <v>0.54769380678923496</v>
      </c>
      <c r="G49" s="209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6</v>
      </c>
      <c r="D50" s="207" t="s">
        <v>126</v>
      </c>
      <c r="E50" s="112">
        <f>Assumptions!G100</f>
        <v>0</v>
      </c>
      <c r="G50" s="209" t="s">
        <v>203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7</v>
      </c>
      <c r="D51" s="207" t="s">
        <v>126</v>
      </c>
      <c r="E51" s="112">
        <f>Assumptions!G101</f>
        <v>0</v>
      </c>
      <c r="G51" s="209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7"/>
      <c r="G52" s="20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43" x14ac:dyDescent="0.2">
      <c r="C53" s="1" t="s">
        <v>117</v>
      </c>
      <c r="D53" s="207"/>
      <c r="G53" s="209">
        <f>input_dollars</f>
        <v>45291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C54" s="1" t="s">
        <v>118</v>
      </c>
      <c r="D54" s="207"/>
      <c r="G54" s="209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D55" s="207"/>
      <c r="G55" s="207"/>
    </row>
    <row r="56" spans="1:43" x14ac:dyDescent="0.2">
      <c r="C56" s="3" t="s">
        <v>125</v>
      </c>
      <c r="D56" s="220"/>
      <c r="E56" s="107"/>
      <c r="F56" s="3"/>
      <c r="G56" s="212">
        <f>input_dollars</f>
        <v>45291</v>
      </c>
      <c r="H56" s="107"/>
      <c r="I56" s="172" cm="1">
        <f t="array" ref="I56">SUMPRODUCT((I$44:I$51)*($E$44:$E$51))+SUM(I53:I54)+I41</f>
        <v>0</v>
      </c>
      <c r="J56" s="172" cm="1">
        <f t="array" ref="J56">SUMPRODUCT((J$44:J$51)*($E$44:$E$51))+SUM(J53:J54)+J41</f>
        <v>0</v>
      </c>
      <c r="K56" s="172" cm="1">
        <f t="array" ref="K56">SUMPRODUCT((K$44:K$51)*($E$44:$E$51))+SUM(K53:K54)+K41</f>
        <v>0</v>
      </c>
      <c r="L56" s="172" cm="1">
        <f t="array" ref="L56">SUMPRODUCT((L$44:L$51)*($E$44:$E$51))+SUM(L53:L54)+L41</f>
        <v>0</v>
      </c>
      <c r="M56" s="172" cm="1">
        <f t="array" ref="M56">SUMPRODUCT((M$44:M$51)*($E$44:$E$51))+SUM(M53:M54)+M41</f>
        <v>0</v>
      </c>
      <c r="N56" s="172" cm="1">
        <f t="array" ref="N56">SUMPRODUCT((N$44:N$51)*($E$44:$E$51))+SUM(N53:N54)+N41</f>
        <v>0</v>
      </c>
      <c r="O56" s="172" cm="1">
        <f t="array" ref="O56">SUMPRODUCT((O$44:O$51)*($E$44:$E$51))+SUM(O53:O54)+O41</f>
        <v>0</v>
      </c>
      <c r="P56" s="172" cm="1">
        <f t="array" ref="P56">SUMPRODUCT((P$44:P$51)*($E$44:$E$51))+SUM(P53:P54)+P41</f>
        <v>0</v>
      </c>
      <c r="Q56" s="172" cm="1">
        <f t="array" ref="Q56">SUMPRODUCT((Q$44:Q$51)*($E$44:$E$51))+SUM(Q53:Q54)+Q41</f>
        <v>0</v>
      </c>
      <c r="R56" s="172" cm="1">
        <f t="array" ref="R56">SUMPRODUCT((R$44:R$51)*($E$44:$E$51))+SUM(R53:R54)+R41</f>
        <v>0</v>
      </c>
      <c r="S56" s="172" cm="1">
        <f t="array" ref="S56">SUMPRODUCT((S$44:S$51)*($E$44:$E$51))+SUM(S53:S54)+S41</f>
        <v>0</v>
      </c>
      <c r="T56" s="172" cm="1">
        <f t="array" ref="T56">SUMPRODUCT((T$44:T$51)*($E$44:$E$51))+SUM(T53:T54)+T41</f>
        <v>0</v>
      </c>
      <c r="U56" s="172" cm="1">
        <f t="array" ref="U56">SUMPRODUCT((U$44:U$51)*($E$44:$E$51))+SUM(U53:U54)+U41</f>
        <v>0</v>
      </c>
      <c r="V56" s="172" cm="1">
        <f t="array" ref="V56">SUMPRODUCT((V$44:V$51)*($E$44:$E$51))+SUM(V53:V54)+V41</f>
        <v>0</v>
      </c>
      <c r="W56" s="172" cm="1">
        <f t="array" ref="W56">SUMPRODUCT((W$44:W$51)*($E$44:$E$51))+SUM(W53:W54)+W41</f>
        <v>0</v>
      </c>
      <c r="X56" s="172" cm="1">
        <f t="array" ref="X56">SUMPRODUCT((X$44:X$51)*($E$44:$E$51))+SUM(X53:X54)+X41</f>
        <v>0</v>
      </c>
      <c r="Y56" s="172" cm="1">
        <f t="array" ref="Y56">SUMPRODUCT((Y$44:Y$51)*($E$44:$E$51))+SUM(Y53:Y54)+Y41</f>
        <v>0</v>
      </c>
      <c r="Z56" s="172" cm="1">
        <f t="array" ref="Z56">SUMPRODUCT((Z$44:Z$51)*($E$44:$E$51))+SUM(Z53:Z54)+Z41</f>
        <v>0</v>
      </c>
      <c r="AA56" s="172" cm="1">
        <f t="array" ref="AA56">SUMPRODUCT((AA$44:AA$51)*($E$44:$E$51))+SUM(AA53:AA54)+AA41</f>
        <v>0</v>
      </c>
      <c r="AB56" s="172" cm="1">
        <f t="array" ref="AB56">SUMPRODUCT((AB$44:AB$51)*($E$44:$E$51))+SUM(AB53:AB54)+AB41</f>
        <v>0</v>
      </c>
      <c r="AC56" s="172" cm="1">
        <f t="array" ref="AC56">SUMPRODUCT((AC$44:AC$51)*($E$44:$E$51))+SUM(AC53:AC54)+AC41</f>
        <v>0</v>
      </c>
      <c r="AD56" s="172" cm="1">
        <f t="array" ref="AD56">SUMPRODUCT((AD$44:AD$51)*($E$44:$E$51))+SUM(AD53:AD54)+AD41</f>
        <v>0</v>
      </c>
      <c r="AE56" s="172" cm="1">
        <f t="array" ref="AE56">SUMPRODUCT((AE$44:AE$51)*($E$44:$E$51))+SUM(AE53:AE54)+AE41</f>
        <v>0</v>
      </c>
      <c r="AF56" s="172" cm="1">
        <f t="array" ref="AF56">SUMPRODUCT((AF$44:AF$51)*($E$44:$E$51))+SUM(AF53:AF54)+AF41</f>
        <v>0</v>
      </c>
      <c r="AG56" s="172" cm="1">
        <f t="array" ref="AG56">SUMPRODUCT((AG$44:AG$51)*($E$44:$E$51))+SUM(AG53:AG54)+AG41</f>
        <v>0</v>
      </c>
    </row>
    <row r="57" spans="1:43" x14ac:dyDescent="0.2">
      <c r="D57" s="207"/>
      <c r="G57" s="207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3" x14ac:dyDescent="0.2">
      <c r="G58" s="207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ht="15" x14ac:dyDescent="0.2">
      <c r="A59" s="89" t="s">
        <v>16</v>
      </c>
      <c r="B59" s="89"/>
      <c r="C59" s="89"/>
      <c r="D59" s="89"/>
      <c r="E59" s="89"/>
      <c r="F59" s="89"/>
      <c r="G59" s="206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/>
      <c r="AI59"/>
      <c r="AJ59"/>
      <c r="AK59"/>
      <c r="AL59"/>
      <c r="AM59"/>
      <c r="AN59"/>
      <c r="AO59"/>
      <c r="AP59"/>
      <c r="AQ59"/>
    </row>
    <row r="60" spans="1:43" ht="15" x14ac:dyDescent="0.2">
      <c r="A60" s="111"/>
      <c r="B60" s="111"/>
      <c r="C60" s="111"/>
      <c r="D60" s="111"/>
      <c r="E60" s="111"/>
      <c r="F60" s="111"/>
      <c r="G60" s="2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/>
      <c r="AI60"/>
      <c r="AJ60"/>
      <c r="AK60"/>
      <c r="AL60"/>
      <c r="AM60"/>
      <c r="AN60"/>
      <c r="AO60"/>
      <c r="AP60"/>
      <c r="AQ60"/>
    </row>
    <row r="61" spans="1:43" ht="12.75" customHeight="1" x14ac:dyDescent="0.2">
      <c r="A61" s="111"/>
      <c r="B61" s="111"/>
      <c r="C61" s="111"/>
      <c r="D61" s="111"/>
      <c r="E61" s="111"/>
      <c r="F61"/>
      <c r="G61" s="2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3" x14ac:dyDescent="0.2">
      <c r="C62" s="4"/>
      <c r="F62" s="2"/>
      <c r="G62" s="214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</row>
    <row r="63" spans="1:43" x14ac:dyDescent="0.2">
      <c r="C63" s="4" t="str">
        <f>'Option1 (base case)'!C63</f>
        <v>Risks mitigated vs base case</v>
      </c>
      <c r="G63" s="212">
        <f>input_dollars</f>
        <v>45291</v>
      </c>
      <c r="I63" s="135">
        <f>(1-INDEX(Data!$C$9:$C$13, MATCH($A$3, options,0)))*('Option1 (base case)'!I35-I35)</f>
        <v>700083.94474041834</v>
      </c>
      <c r="J63" s="135">
        <f>(1-INDEX(Data!$C$9:$C$13, MATCH($A$3, options,0)))*('Option1 (base case)'!J35-J35)</f>
        <v>700083.94474041834</v>
      </c>
      <c r="K63" s="135">
        <f>(1-INDEX(Data!$C$9:$C$13, MATCH($A$3, options,0)))*('Option1 (base case)'!K35-K35)</f>
        <v>1050125.917110628</v>
      </c>
      <c r="L63" s="135">
        <f>(1-INDEX(Data!$C$9:$C$13, MATCH($A$3, options,0)))*('Option1 (base case)'!L35-L35)</f>
        <v>1050125.917110628</v>
      </c>
      <c r="M63" s="135">
        <f>(1-INDEX(Data!$C$9:$C$13, MATCH($A$3, options,0)))*('Option1 (base case)'!M35-M35)</f>
        <v>1400167.8894808372</v>
      </c>
      <c r="N63" s="135">
        <f>(1-INDEX(Data!$C$9:$C$13, MATCH($A$3, options,0)))*('Option1 (base case)'!N35-N35)</f>
        <v>1050125.9171106277</v>
      </c>
      <c r="O63" s="135">
        <f>(1-INDEX(Data!$C$9:$C$13, MATCH($A$3, options,0)))*('Option1 (base case)'!O35-O35)</f>
        <v>1400167.8894808369</v>
      </c>
      <c r="P63" s="135">
        <f>(1-INDEX(Data!$C$9:$C$13, MATCH($A$3, options,0)))*('Option1 (base case)'!P35-P35)</f>
        <v>1400167.8894808369</v>
      </c>
      <c r="Q63" s="135">
        <f>(1-INDEX(Data!$C$9:$C$13, MATCH($A$3, options,0)))*('Option1 (base case)'!Q35-Q35)</f>
        <v>1400167.8894808369</v>
      </c>
      <c r="R63" s="135">
        <f>(1-INDEX(Data!$C$9:$C$13, MATCH($A$3, options,0)))*('Option1 (base case)'!R35-R35)</f>
        <v>1400167.8894808369</v>
      </c>
      <c r="S63" s="135">
        <f>(1-INDEX(Data!$C$9:$C$13, MATCH($A$3, options,0)))*('Option1 (base case)'!S35-S35)</f>
        <v>1400167.8894808369</v>
      </c>
      <c r="T63" s="135">
        <f>(1-INDEX(Data!$C$9:$C$13, MATCH($A$3, options,0)))*('Option1 (base case)'!T35-T35)</f>
        <v>1400167.8894808369</v>
      </c>
      <c r="U63" s="135">
        <f>(1-INDEX(Data!$C$9:$C$13, MATCH($A$3, options,0)))*('Option1 (base case)'!U35-U35)</f>
        <v>1400167.8894808369</v>
      </c>
      <c r="V63" s="135">
        <f>(1-INDEX(Data!$C$9:$C$13, MATCH($A$3, options,0)))*('Option1 (base case)'!V35-V35)</f>
        <v>1050125.917110628</v>
      </c>
      <c r="W63" s="135">
        <f>(1-INDEX(Data!$C$9:$C$13, MATCH($A$3, options,0)))*('Option1 (base case)'!W35-W35)</f>
        <v>1050125.917110628</v>
      </c>
      <c r="X63" s="135">
        <f>(1-INDEX(Data!$C$9:$C$13, MATCH($A$3, options,0)))*('Option1 (base case)'!X35-X35)</f>
        <v>1050125.917110628</v>
      </c>
      <c r="Y63" s="135">
        <f>(1-INDEX(Data!$C$9:$C$13, MATCH($A$3, options,0)))*('Option1 (base case)'!Y35-Y35)</f>
        <v>1050125.917110628</v>
      </c>
      <c r="Z63" s="135">
        <f>(1-INDEX(Data!$C$9:$C$13, MATCH($A$3, options,0)))*('Option1 (base case)'!Z35-Z35)</f>
        <v>1050125.917110628</v>
      </c>
      <c r="AA63" s="135">
        <f>(1-INDEX(Data!$C$9:$C$13, MATCH($A$3, options,0)))*('Option1 (base case)'!AA35-AA35)</f>
        <v>1050125.917110628</v>
      </c>
      <c r="AB63" s="135">
        <f>(1-INDEX(Data!$C$9:$C$13, MATCH($A$3, options,0)))*('Option1 (base case)'!AB35-AB35)</f>
        <v>1050125.917110628</v>
      </c>
      <c r="AC63" s="135">
        <f>(1-INDEX(Data!$C$9:$C$13, MATCH($A$3, options,0)))*('Option1 (base case)'!AC35-AC35)</f>
        <v>1050125.917110628</v>
      </c>
      <c r="AD63" s="135">
        <f>(1-INDEX(Data!$C$9:$C$13, MATCH($A$3, options,0)))*('Option1 (base case)'!AD35-AD35)</f>
        <v>1050125.917110628</v>
      </c>
      <c r="AE63" s="135">
        <f>(1-INDEX(Data!$C$9:$C$13, MATCH($A$3, options,0)))*('Option1 (base case)'!AE35-AE35)</f>
        <v>1050125.917110628</v>
      </c>
      <c r="AF63" s="135">
        <f>(1-INDEX(Data!$C$9:$C$13, MATCH($A$3, options,0)))*('Option1 (base case)'!AF35-AF35)</f>
        <v>1050125.917110628</v>
      </c>
      <c r="AG63" s="135">
        <f>(1-INDEX(Data!$C$9:$C$13, MATCH($A$3, options,0)))*('Option1 (base case)'!AG35-AG35)</f>
        <v>700083.94474041846</v>
      </c>
    </row>
    <row r="64" spans="1:43" x14ac:dyDescent="0.2">
      <c r="G64" s="214"/>
    </row>
    <row r="65" spans="1:33" x14ac:dyDescent="0.2">
      <c r="A65" s="8"/>
      <c r="B65" s="8"/>
      <c r="C65" s="150" t="s">
        <v>30</v>
      </c>
      <c r="D65" s="38"/>
      <c r="F65" s="97"/>
      <c r="G65" s="21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2">
      <c r="A66" s="8"/>
      <c r="B66" s="8"/>
      <c r="C66" s="4" t="str">
        <f>C14</f>
        <v>Replace Cable Boxes under program</v>
      </c>
      <c r="D66" s="38"/>
      <c r="F66" s="97"/>
      <c r="G66" s="212">
        <f>input_dollars</f>
        <v>45291</v>
      </c>
      <c r="H66" s="31"/>
      <c r="I66" s="119">
        <f t="shared" ref="I66:AG66" si="4">-I14</f>
        <v>-2400000</v>
      </c>
      <c r="J66" s="119">
        <f t="shared" si="4"/>
        <v>-2400000</v>
      </c>
      <c r="K66" s="119">
        <f t="shared" si="4"/>
        <v>-2400000</v>
      </c>
      <c r="L66" s="119">
        <f t="shared" si="4"/>
        <v>-2400000</v>
      </c>
      <c r="M66" s="119">
        <f t="shared" si="4"/>
        <v>-2400000</v>
      </c>
      <c r="N66" s="119">
        <f t="shared" si="4"/>
        <v>-2400000</v>
      </c>
      <c r="O66" s="119">
        <f t="shared" si="4"/>
        <v>-1498000</v>
      </c>
      <c r="P66" s="119">
        <f t="shared" si="4"/>
        <v>0</v>
      </c>
      <c r="Q66" s="119">
        <f t="shared" si="4"/>
        <v>0</v>
      </c>
      <c r="R66" s="119">
        <f t="shared" si="4"/>
        <v>0</v>
      </c>
      <c r="S66" s="119">
        <f t="shared" si="4"/>
        <v>0</v>
      </c>
      <c r="T66" s="119">
        <f t="shared" si="4"/>
        <v>0</v>
      </c>
      <c r="U66" s="119">
        <f t="shared" si="4"/>
        <v>0</v>
      </c>
      <c r="V66" s="119">
        <f t="shared" si="4"/>
        <v>0</v>
      </c>
      <c r="W66" s="119">
        <f t="shared" si="4"/>
        <v>0</v>
      </c>
      <c r="X66" s="119">
        <f t="shared" si="4"/>
        <v>0</v>
      </c>
      <c r="Y66" s="119">
        <f t="shared" si="4"/>
        <v>0</v>
      </c>
      <c r="Z66" s="119">
        <f t="shared" si="4"/>
        <v>0</v>
      </c>
      <c r="AA66" s="119">
        <f t="shared" si="4"/>
        <v>0</v>
      </c>
      <c r="AB66" s="119">
        <f t="shared" si="4"/>
        <v>0</v>
      </c>
      <c r="AC66" s="119">
        <f t="shared" si="4"/>
        <v>0</v>
      </c>
      <c r="AD66" s="119">
        <f t="shared" si="4"/>
        <v>0</v>
      </c>
      <c r="AE66" s="119">
        <f t="shared" si="4"/>
        <v>0</v>
      </c>
      <c r="AF66" s="119">
        <f t="shared" si="4"/>
        <v>0</v>
      </c>
      <c r="AG66" s="119">
        <f t="shared" si="4"/>
        <v>0</v>
      </c>
    </row>
    <row r="67" spans="1:33" x14ac:dyDescent="0.2">
      <c r="A67" s="8"/>
      <c r="B67" s="8"/>
      <c r="C67" s="4" t="str">
        <f>C15</f>
        <v>Replace Failed Cable Boxes under Faults Capex</v>
      </c>
      <c r="D67" s="38"/>
      <c r="F67" s="97"/>
      <c r="G67" s="212">
        <f>input_dollars</f>
        <v>45291</v>
      </c>
      <c r="H67" s="31"/>
      <c r="I67" s="119">
        <f t="shared" ref="I67:AG67" si="5">-I15</f>
        <v>-165000</v>
      </c>
      <c r="J67" s="119">
        <f t="shared" si="5"/>
        <v>-165000</v>
      </c>
      <c r="K67" s="119">
        <f t="shared" si="5"/>
        <v>-110000</v>
      </c>
      <c r="L67" s="119">
        <f t="shared" si="5"/>
        <v>-110000</v>
      </c>
      <c r="M67" s="119">
        <f t="shared" si="5"/>
        <v>-55000</v>
      </c>
      <c r="N67" s="119">
        <f t="shared" si="5"/>
        <v>-55000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C16</f>
        <v>0</v>
      </c>
      <c r="D68" s="38"/>
      <c r="F68" s="97"/>
      <c r="G68" s="212">
        <f>input_dollars</f>
        <v>45291</v>
      </c>
      <c r="H68" s="31"/>
      <c r="I68" s="119">
        <f t="shared" ref="I68:AG68" si="6">-I16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/>
      <c r="D69" s="38"/>
      <c r="F69" s="97"/>
      <c r="G69" s="216"/>
      <c r="H69" s="31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x14ac:dyDescent="0.2">
      <c r="A70" s="8"/>
      <c r="B70" s="8"/>
      <c r="C70" s="150" t="s">
        <v>155</v>
      </c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4" t="str">
        <f>C14</f>
        <v>Replace Cable Boxes under program</v>
      </c>
      <c r="D71" s="38"/>
      <c r="F71" s="97"/>
      <c r="G71" s="212">
        <f>input_dollars</f>
        <v>45291</v>
      </c>
      <c r="H71" s="31"/>
      <c r="I71" s="119" cm="1">
        <f t="array" ref="I71">SUMPRODUCT(($I66:I66))-SUMPRODUCT(($I66:I66)*($I$6:I$6&lt;=(I$6-$E14)))</f>
        <v>-2400000</v>
      </c>
      <c r="J71" s="119" cm="1">
        <f t="array" ref="J71">SUMPRODUCT(($I66:J66))-SUMPRODUCT(($I66:J66)*($I$6:J$6&lt;=(J$6-$E14)))</f>
        <v>-4800000</v>
      </c>
      <c r="K71" s="119" cm="1">
        <f t="array" ref="K71">SUMPRODUCT(($I66:K66))-SUMPRODUCT(($I66:K66)*($I$6:K$6&lt;=(K$6-$E14)))</f>
        <v>-7200000</v>
      </c>
      <c r="L71" s="119" cm="1">
        <f t="array" ref="L71">SUMPRODUCT(($I66:L66))-SUMPRODUCT(($I66:L66)*($I$6:L$6&lt;=(L$6-$E14)))</f>
        <v>-9600000</v>
      </c>
      <c r="M71" s="119" cm="1">
        <f t="array" ref="M71">SUMPRODUCT(($I66:M66))-SUMPRODUCT(($I66:M66)*($I$6:M$6&lt;=(M$6-$E14)))</f>
        <v>-12000000</v>
      </c>
      <c r="N71" s="119" cm="1">
        <f t="array" ref="N71">SUMPRODUCT(($I66:N66))-SUMPRODUCT(($I66:N66)*($I$6:N$6&lt;=(N$6-$E14)))</f>
        <v>-14400000</v>
      </c>
      <c r="O71" s="119" cm="1">
        <f t="array" ref="O71">SUMPRODUCT(($I66:O66))-SUMPRODUCT(($I66:O66)*($I$6:O$6&lt;=(O$6-$E14)))</f>
        <v>-15898000</v>
      </c>
      <c r="P71" s="119" cm="1">
        <f t="array" ref="P71">SUMPRODUCT(($I66:P66))-SUMPRODUCT(($I66:P66)*($I$6:P$6&lt;=(P$6-$E14)))</f>
        <v>-15898000</v>
      </c>
      <c r="Q71" s="119" cm="1">
        <f t="array" ref="Q71">SUMPRODUCT(($I66:Q66))-SUMPRODUCT(($I66:Q66)*($I$6:Q$6&lt;=(Q$6-$E14)))</f>
        <v>-15898000</v>
      </c>
      <c r="R71" s="119" cm="1">
        <f t="array" ref="R71">SUMPRODUCT(($I66:R66))-SUMPRODUCT(($I66:R66)*($I$6:R$6&lt;=(R$6-$E14)))</f>
        <v>-15898000</v>
      </c>
      <c r="S71" s="119" cm="1">
        <f t="array" ref="S71">SUMPRODUCT(($I66:S66))-SUMPRODUCT(($I66:S66)*($I$6:S$6&lt;=(S$6-$E14)))</f>
        <v>-15898000</v>
      </c>
      <c r="T71" s="119" cm="1">
        <f t="array" ref="T71">SUMPRODUCT(($I66:T66))-SUMPRODUCT(($I66:T66)*($I$6:T$6&lt;=(T$6-$E14)))</f>
        <v>-15898000</v>
      </c>
      <c r="U71" s="119" cm="1">
        <f t="array" ref="U71">SUMPRODUCT(($I66:U66))-SUMPRODUCT(($I66:U66)*($I$6:U$6&lt;=(U$6-$E14)))</f>
        <v>-15898000</v>
      </c>
      <c r="V71" s="119" cm="1">
        <f t="array" ref="V71">SUMPRODUCT(($I66:V66))-SUMPRODUCT(($I66:V66)*($I$6:V$6&lt;=(V$6-$E14)))</f>
        <v>-15898000</v>
      </c>
      <c r="W71" s="119" cm="1">
        <f t="array" ref="W71">SUMPRODUCT(($I66:W66))-SUMPRODUCT(($I66:W66)*($I$6:W$6&lt;=(W$6-$E14)))</f>
        <v>-15898000</v>
      </c>
      <c r="X71" s="119" cm="1">
        <f t="array" ref="X71">SUMPRODUCT(($I66:X66))-SUMPRODUCT(($I66:X66)*($I$6:X$6&lt;=(X$6-$E14)))</f>
        <v>-15898000</v>
      </c>
      <c r="Y71" s="119" cm="1">
        <f t="array" ref="Y71">SUMPRODUCT(($I66:Y66))-SUMPRODUCT(($I66:Y66)*($I$6:Y$6&lt;=(Y$6-$E14)))</f>
        <v>-15898000</v>
      </c>
      <c r="Z71" s="119" cm="1">
        <f t="array" ref="Z71">SUMPRODUCT(($I66:Z66))-SUMPRODUCT(($I66:Z66)*($I$6:Z$6&lt;=(Z$6-$E14)))</f>
        <v>-15898000</v>
      </c>
      <c r="AA71" s="119" cm="1">
        <f t="array" ref="AA71">SUMPRODUCT(($I66:AA66))-SUMPRODUCT(($I66:AA66)*($I$6:AA$6&lt;=(AA$6-$E14)))</f>
        <v>-15898000</v>
      </c>
      <c r="AB71" s="119" cm="1">
        <f t="array" ref="AB71">SUMPRODUCT(($I66:AB66))-SUMPRODUCT(($I66:AB66)*($I$6:AB$6&lt;=(AB$6-$E14)))</f>
        <v>-15898000</v>
      </c>
      <c r="AC71" s="119" cm="1">
        <f t="array" ref="AC71">SUMPRODUCT(($I66:AC66))-SUMPRODUCT(($I66:AC66)*($I$6:AC$6&lt;=(AC$6-$E14)))</f>
        <v>-15898000</v>
      </c>
      <c r="AD71" s="119" cm="1">
        <f t="array" ref="AD71">SUMPRODUCT(($I66:AD66))-SUMPRODUCT(($I66:AD66)*($I$6:AD$6&lt;=(AD$6-$E14)))</f>
        <v>-15898000</v>
      </c>
      <c r="AE71" s="119" cm="1">
        <f t="array" ref="AE71">SUMPRODUCT(($I66:AE66))-SUMPRODUCT(($I66:AE66)*($I$6:AE$6&lt;=(AE$6-$E14)))</f>
        <v>-15898000</v>
      </c>
      <c r="AF71" s="119" cm="1">
        <f t="array" ref="AF71">SUMPRODUCT(($I66:AF66))-SUMPRODUCT(($I66:AF66)*($I$6:AF$6&lt;=(AF$6-$E14)))</f>
        <v>-15898000</v>
      </c>
      <c r="AG71" s="119" cm="1">
        <f t="array" ref="AG71">SUMPRODUCT(($I66:AG66))-SUMPRODUCT(($I66:AG66)*($I$6:AG$6&lt;=(AG$6-$E14)))</f>
        <v>-15898000</v>
      </c>
    </row>
    <row r="72" spans="1:33" x14ac:dyDescent="0.2">
      <c r="A72" s="8"/>
      <c r="B72" s="8"/>
      <c r="C72" s="4" t="str">
        <f>C15</f>
        <v>Replace Failed Cable Boxes under Faults Capex</v>
      </c>
      <c r="D72" s="38"/>
      <c r="F72" s="97"/>
      <c r="G72" s="212">
        <f>input_dollars</f>
        <v>45291</v>
      </c>
      <c r="H72" s="31"/>
      <c r="I72" s="119" cm="1">
        <f t="array" ref="I72">SUMPRODUCT(($I67:I67))-SUMPRODUCT(($I67:I67)*($I$6:I$6&lt;=(I$6-$E15)))</f>
        <v>-165000</v>
      </c>
      <c r="J72" s="119" cm="1">
        <f t="array" ref="J72">SUMPRODUCT(($I67:J67))-SUMPRODUCT(($I67:J67)*($I$6:J$6&lt;=(J$6-$E15)))</f>
        <v>-330000</v>
      </c>
      <c r="K72" s="119" cm="1">
        <f t="array" ref="K72">SUMPRODUCT(($I67:K67))-SUMPRODUCT(($I67:K67)*($I$6:K$6&lt;=(K$6-$E15)))</f>
        <v>-440000</v>
      </c>
      <c r="L72" s="119" cm="1">
        <f t="array" ref="L72">SUMPRODUCT(($I67:L67))-SUMPRODUCT(($I67:L67)*($I$6:L$6&lt;=(L$6-$E15)))</f>
        <v>-550000</v>
      </c>
      <c r="M72" s="119" cm="1">
        <f t="array" ref="M72">SUMPRODUCT(($I67:M67))-SUMPRODUCT(($I67:M67)*($I$6:M$6&lt;=(M$6-$E15)))</f>
        <v>-605000</v>
      </c>
      <c r="N72" s="119" cm="1">
        <f t="array" ref="N72">SUMPRODUCT(($I67:N67))-SUMPRODUCT(($I67:N67)*($I$6:N$6&lt;=(N$6-$E15)))</f>
        <v>-660000</v>
      </c>
      <c r="O72" s="119" cm="1">
        <f t="array" ref="O72">SUMPRODUCT(($I67:O67))-SUMPRODUCT(($I67:O67)*($I$6:O$6&lt;=(O$6-$E15)))</f>
        <v>-660000</v>
      </c>
      <c r="P72" s="119" cm="1">
        <f t="array" ref="P72">SUMPRODUCT(($I67:P67))-SUMPRODUCT(($I67:P67)*($I$6:P$6&lt;=(P$6-$E15)))</f>
        <v>-660000</v>
      </c>
      <c r="Q72" s="119" cm="1">
        <f t="array" ref="Q72">SUMPRODUCT(($I67:Q67))-SUMPRODUCT(($I67:Q67)*($I$6:Q$6&lt;=(Q$6-$E15)))</f>
        <v>-660000</v>
      </c>
      <c r="R72" s="119" cm="1">
        <f t="array" ref="R72">SUMPRODUCT(($I67:R67))-SUMPRODUCT(($I67:R67)*($I$6:R$6&lt;=(R$6-$E15)))</f>
        <v>-660000</v>
      </c>
      <c r="S72" s="119" cm="1">
        <f t="array" ref="S72">SUMPRODUCT(($I67:S67))-SUMPRODUCT(($I67:S67)*($I$6:S$6&lt;=(S$6-$E15)))</f>
        <v>-660000</v>
      </c>
      <c r="T72" s="119" cm="1">
        <f t="array" ref="T72">SUMPRODUCT(($I67:T67))-SUMPRODUCT(($I67:T67)*($I$6:T$6&lt;=(T$6-$E15)))</f>
        <v>-660000</v>
      </c>
      <c r="U72" s="119" cm="1">
        <f t="array" ref="U72">SUMPRODUCT(($I67:U67))-SUMPRODUCT(($I67:U67)*($I$6:U$6&lt;=(U$6-$E15)))</f>
        <v>-660000</v>
      </c>
      <c r="V72" s="119" cm="1">
        <f t="array" ref="V72">SUMPRODUCT(($I67:V67))-SUMPRODUCT(($I67:V67)*($I$6:V$6&lt;=(V$6-$E15)))</f>
        <v>-660000</v>
      </c>
      <c r="W72" s="119" cm="1">
        <f t="array" ref="W72">SUMPRODUCT(($I67:W67))-SUMPRODUCT(($I67:W67)*($I$6:W$6&lt;=(W$6-$E15)))</f>
        <v>-660000</v>
      </c>
      <c r="X72" s="119" cm="1">
        <f t="array" ref="X72">SUMPRODUCT(($I67:X67))-SUMPRODUCT(($I67:X67)*($I$6:X$6&lt;=(X$6-$E15)))</f>
        <v>-660000</v>
      </c>
      <c r="Y72" s="119" cm="1">
        <f t="array" ref="Y72">SUMPRODUCT(($I67:Y67))-SUMPRODUCT(($I67:Y67)*($I$6:Y$6&lt;=(Y$6-$E15)))</f>
        <v>-660000</v>
      </c>
      <c r="Z72" s="119" cm="1">
        <f t="array" ref="Z72">SUMPRODUCT(($I67:Z67))-SUMPRODUCT(($I67:Z67)*($I$6:Z$6&lt;=(Z$6-$E15)))</f>
        <v>-660000</v>
      </c>
      <c r="AA72" s="119" cm="1">
        <f t="array" ref="AA72">SUMPRODUCT(($I67:AA67))-SUMPRODUCT(($I67:AA67)*($I$6:AA$6&lt;=(AA$6-$E15)))</f>
        <v>-660000</v>
      </c>
      <c r="AB72" s="119" cm="1">
        <f t="array" ref="AB72">SUMPRODUCT(($I67:AB67))-SUMPRODUCT(($I67:AB67)*($I$6:AB$6&lt;=(AB$6-$E15)))</f>
        <v>-660000</v>
      </c>
      <c r="AC72" s="119" cm="1">
        <f t="array" ref="AC72">SUMPRODUCT(($I67:AC67))-SUMPRODUCT(($I67:AC67)*($I$6:AC$6&lt;=(AC$6-$E15)))</f>
        <v>-660000</v>
      </c>
      <c r="AD72" s="119" cm="1">
        <f t="array" ref="AD72">SUMPRODUCT(($I67:AD67))-SUMPRODUCT(($I67:AD67)*($I$6:AD$6&lt;=(AD$6-$E15)))</f>
        <v>-660000</v>
      </c>
      <c r="AE72" s="119" cm="1">
        <f t="array" ref="AE72">SUMPRODUCT(($I67:AE67))-SUMPRODUCT(($I67:AE67)*($I$6:AE$6&lt;=(AE$6-$E15)))</f>
        <v>-660000</v>
      </c>
      <c r="AF72" s="119" cm="1">
        <f t="array" ref="AF72">SUMPRODUCT(($I67:AF67))-SUMPRODUCT(($I67:AF67)*($I$6:AF$6&lt;=(AF$6-$E15)))</f>
        <v>-660000</v>
      </c>
      <c r="AG72" s="119" cm="1">
        <f t="array" ref="AG72">SUMPRODUCT(($I67:AG67))-SUMPRODUCT(($I67:AG67)*($I$6:AG$6&lt;=(AG$6-$E15)))</f>
        <v>-660000</v>
      </c>
    </row>
    <row r="73" spans="1:33" x14ac:dyDescent="0.2">
      <c r="A73" s="8"/>
      <c r="B73" s="8"/>
      <c r="C73" s="4">
        <f>C16</f>
        <v>0</v>
      </c>
      <c r="D73" s="38"/>
      <c r="F73" s="97"/>
      <c r="G73" s="212">
        <f>input_dollars</f>
        <v>45291</v>
      </c>
      <c r="H73" s="31"/>
      <c r="I73" s="119" cm="1">
        <f t="array" ref="I73">SUMPRODUCT(($I68:I68))-SUMPRODUCT(($I68:I68)*($I$6:I$6&lt;=(I$6-$E16)))</f>
        <v>0</v>
      </c>
      <c r="J73" s="119" cm="1">
        <f t="array" ref="J73">SUMPRODUCT(($I68:J68))-SUMPRODUCT(($I68:J68)*($I$6:J$6&lt;=(J$6-$E16)))</f>
        <v>0</v>
      </c>
      <c r="K73" s="119" cm="1">
        <f t="array" ref="K73">SUMPRODUCT(($I68:K68))-SUMPRODUCT(($I68:K68)*($I$6:K$6&lt;=(K$6-$E16)))</f>
        <v>0</v>
      </c>
      <c r="L73" s="119" cm="1">
        <f t="array" ref="L73">SUMPRODUCT(($I68:L68))-SUMPRODUCT(($I68:L68)*($I$6:L$6&lt;=(L$6-$E16)))</f>
        <v>0</v>
      </c>
      <c r="M73" s="119" cm="1">
        <f t="array" ref="M73">SUMPRODUCT(($I68:M68))-SUMPRODUCT(($I68:M68)*($I$6:M$6&lt;=(M$6-$E16)))</f>
        <v>0</v>
      </c>
      <c r="N73" s="119" cm="1">
        <f t="array" ref="N73">SUMPRODUCT(($I68:N68))-SUMPRODUCT(($I68:N68)*($I$6:N$6&lt;=(N$6-$E16)))</f>
        <v>0</v>
      </c>
      <c r="O73" s="119" cm="1">
        <f t="array" ref="O73">SUMPRODUCT(($I68:O68))-SUMPRODUCT(($I68:O68)*($I$6:O$6&lt;=(O$6-$E16)))</f>
        <v>0</v>
      </c>
      <c r="P73" s="119" cm="1">
        <f t="array" ref="P73">SUMPRODUCT(($I68:P68))-SUMPRODUCT(($I68:P68)*($I$6:P$6&lt;=(P$6-$E16)))</f>
        <v>0</v>
      </c>
      <c r="Q73" s="119" cm="1">
        <f t="array" ref="Q73">SUMPRODUCT(($I68:Q68))-SUMPRODUCT(($I68:Q68)*($I$6:Q$6&lt;=(Q$6-$E16)))</f>
        <v>0</v>
      </c>
      <c r="R73" s="119" cm="1">
        <f t="array" ref="R73">SUMPRODUCT(($I68:R68))-SUMPRODUCT(($I68:R68)*($I$6:R$6&lt;=(R$6-$E16)))</f>
        <v>0</v>
      </c>
      <c r="S73" s="119" cm="1">
        <f t="array" ref="S73">SUMPRODUCT(($I68:S68))-SUMPRODUCT(($I68:S68)*($I$6:S$6&lt;=(S$6-$E16)))</f>
        <v>0</v>
      </c>
      <c r="T73" s="119" cm="1">
        <f t="array" ref="T73">SUMPRODUCT(($I68:T68))-SUMPRODUCT(($I68:T68)*($I$6:T$6&lt;=(T$6-$E16)))</f>
        <v>0</v>
      </c>
      <c r="U73" s="119" cm="1">
        <f t="array" ref="U73">SUMPRODUCT(($I68:U68))-SUMPRODUCT(($I68:U68)*($I$6:U$6&lt;=(U$6-$E16)))</f>
        <v>0</v>
      </c>
      <c r="V73" s="119" cm="1">
        <f t="array" ref="V73">SUMPRODUCT(($I68:V68))-SUMPRODUCT(($I68:V68)*($I$6:V$6&lt;=(V$6-$E16)))</f>
        <v>0</v>
      </c>
      <c r="W73" s="119" cm="1">
        <f t="array" ref="W73">SUMPRODUCT(($I68:W68))-SUMPRODUCT(($I68:W68)*($I$6:W$6&lt;=(W$6-$E16)))</f>
        <v>0</v>
      </c>
      <c r="X73" s="119" cm="1">
        <f t="array" ref="X73">SUMPRODUCT(($I68:X68))-SUMPRODUCT(($I68:X68)*($I$6:X$6&lt;=(X$6-$E16)))</f>
        <v>0</v>
      </c>
      <c r="Y73" s="119" cm="1">
        <f t="array" ref="Y73">SUMPRODUCT(($I68:Y68))-SUMPRODUCT(($I68:Y68)*($I$6:Y$6&lt;=(Y$6-$E16)))</f>
        <v>0</v>
      </c>
      <c r="Z73" s="119" cm="1">
        <f t="array" ref="Z73">SUMPRODUCT(($I68:Z68))-SUMPRODUCT(($I68:Z68)*($I$6:Z$6&lt;=(Z$6-$E16)))</f>
        <v>0</v>
      </c>
      <c r="AA73" s="119" cm="1">
        <f t="array" ref="AA73">SUMPRODUCT(($I68:AA68))-SUMPRODUCT(($I68:AA68)*($I$6:AA$6&lt;=(AA$6-$E16)))</f>
        <v>0</v>
      </c>
      <c r="AB73" s="119" cm="1">
        <f t="array" ref="AB73">SUMPRODUCT(($I68:AB68))-SUMPRODUCT(($I68:AB68)*($I$6:AB$6&lt;=(AB$6-$E16)))</f>
        <v>0</v>
      </c>
      <c r="AC73" s="119" cm="1">
        <f t="array" ref="AC73">SUMPRODUCT(($I68:AC68))-SUMPRODUCT(($I68:AC68)*($I$6:AC$6&lt;=(AC$6-$E16)))</f>
        <v>0</v>
      </c>
      <c r="AD73" s="119" cm="1">
        <f t="array" ref="AD73">SUMPRODUCT(($I68:AD68))-SUMPRODUCT(($I68:AD68)*($I$6:AD$6&lt;=(AD$6-$E16)))</f>
        <v>0</v>
      </c>
      <c r="AE73" s="119" cm="1">
        <f t="array" ref="AE73">SUMPRODUCT(($I68:AE68))-SUMPRODUCT(($I68:AE68)*($I$6:AE$6&lt;=(AE$6-$E16)))</f>
        <v>0</v>
      </c>
      <c r="AF73" s="119" cm="1">
        <f t="array" ref="AF73">SUMPRODUCT(($I68:AF68))-SUMPRODUCT(($I68:AF68)*($I$6:AF$6&lt;=(AF$6-$E16)))</f>
        <v>0</v>
      </c>
      <c r="AG73" s="119" cm="1">
        <f t="array" ref="AG73">SUMPRODUCT(($I68:AG68))-SUMPRODUCT(($I68:AG68)*($I$6:AG$6&lt;=(AG$6-$E16)))</f>
        <v>0</v>
      </c>
    </row>
    <row r="74" spans="1:33" x14ac:dyDescent="0.2">
      <c r="A74" s="8"/>
      <c r="B74" s="8"/>
      <c r="C74" s="4"/>
      <c r="D74" s="38"/>
      <c r="F74" s="97"/>
      <c r="G74" s="216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x14ac:dyDescent="0.2">
      <c r="A75" s="8"/>
      <c r="B75" s="8"/>
      <c r="C75" s="150" t="s">
        <v>91</v>
      </c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4" t="str">
        <f>$C$75&amp;" - "&amp;C14</f>
        <v>Annualised capex - Replace Cable Boxes under program</v>
      </c>
      <c r="D76" s="38"/>
      <c r="F76" s="97"/>
      <c r="G76" s="212">
        <f>input_dollars</f>
        <v>45291</v>
      </c>
      <c r="H76" s="31"/>
      <c r="I76" s="119">
        <f t="shared" ref="I76:AG76" si="7">IF($E14=0,0,-PMT(real_disc, $E14,H71,))</f>
        <v>0</v>
      </c>
      <c r="J76" s="119">
        <f t="shared" si="7"/>
        <v>-102320.90295971515</v>
      </c>
      <c r="K76" s="119">
        <f t="shared" si="7"/>
        <v>-204641.80591943031</v>
      </c>
      <c r="L76" s="119">
        <f t="shared" si="7"/>
        <v>-306962.70887914544</v>
      </c>
      <c r="M76" s="119">
        <f t="shared" si="7"/>
        <v>-409283.61183886061</v>
      </c>
      <c r="N76" s="119">
        <f t="shared" si="7"/>
        <v>-511604.51479857572</v>
      </c>
      <c r="O76" s="119">
        <f t="shared" si="7"/>
        <v>-613925.41775829089</v>
      </c>
      <c r="P76" s="119">
        <f t="shared" si="7"/>
        <v>-677790.71468897979</v>
      </c>
      <c r="Q76" s="119">
        <f t="shared" si="7"/>
        <v>-677790.71468897979</v>
      </c>
      <c r="R76" s="119">
        <f t="shared" si="7"/>
        <v>-677790.71468897979</v>
      </c>
      <c r="S76" s="119">
        <f t="shared" si="7"/>
        <v>-677790.71468897979</v>
      </c>
      <c r="T76" s="119">
        <f t="shared" si="7"/>
        <v>-677790.71468897979</v>
      </c>
      <c r="U76" s="119">
        <f t="shared" si="7"/>
        <v>-677790.71468897979</v>
      </c>
      <c r="V76" s="119">
        <f t="shared" si="7"/>
        <v>-677790.71468897979</v>
      </c>
      <c r="W76" s="119">
        <f t="shared" si="7"/>
        <v>-677790.71468897979</v>
      </c>
      <c r="X76" s="119">
        <f t="shared" si="7"/>
        <v>-677790.71468897979</v>
      </c>
      <c r="Y76" s="119">
        <f t="shared" si="7"/>
        <v>-677790.71468897979</v>
      </c>
      <c r="Z76" s="119">
        <f t="shared" si="7"/>
        <v>-677790.71468897979</v>
      </c>
      <c r="AA76" s="119">
        <f t="shared" si="7"/>
        <v>-677790.71468897979</v>
      </c>
      <c r="AB76" s="119">
        <f t="shared" si="7"/>
        <v>-677790.71468897979</v>
      </c>
      <c r="AC76" s="119">
        <f t="shared" si="7"/>
        <v>-677790.71468897979</v>
      </c>
      <c r="AD76" s="119">
        <f t="shared" si="7"/>
        <v>-677790.71468897979</v>
      </c>
      <c r="AE76" s="119">
        <f t="shared" si="7"/>
        <v>-677790.71468897979</v>
      </c>
      <c r="AF76" s="119">
        <f t="shared" si="7"/>
        <v>-677790.71468897979</v>
      </c>
      <c r="AG76" s="119">
        <f t="shared" si="7"/>
        <v>-677790.71468897979</v>
      </c>
    </row>
    <row r="77" spans="1:33" x14ac:dyDescent="0.2">
      <c r="A77" s="8"/>
      <c r="B77" s="8"/>
      <c r="C77" s="4" t="str">
        <f>$C$75&amp;" - "&amp;C15</f>
        <v>Annualised capex - Replace Failed Cable Boxes under Faults Capex</v>
      </c>
      <c r="D77" s="38"/>
      <c r="F77" s="97"/>
      <c r="G77" s="212">
        <f>input_dollars</f>
        <v>45291</v>
      </c>
      <c r="H77" s="31"/>
      <c r="I77" s="119">
        <f t="shared" ref="I77:AG77" si="8">IF($E15=0,0,-PMT(real_disc, $E15,H72,))</f>
        <v>0</v>
      </c>
      <c r="J77" s="119">
        <f t="shared" si="8"/>
        <v>-7034.5620784804169</v>
      </c>
      <c r="K77" s="119">
        <f t="shared" si="8"/>
        <v>-14069.124156960834</v>
      </c>
      <c r="L77" s="119">
        <f t="shared" si="8"/>
        <v>-18758.83220928111</v>
      </c>
      <c r="M77" s="119">
        <f t="shared" si="8"/>
        <v>-23448.540261601389</v>
      </c>
      <c r="N77" s="119">
        <f t="shared" si="8"/>
        <v>-25793.39428776153</v>
      </c>
      <c r="O77" s="119">
        <f t="shared" si="8"/>
        <v>-28138.248313921667</v>
      </c>
      <c r="P77" s="119">
        <f t="shared" si="8"/>
        <v>-28138.248313921667</v>
      </c>
      <c r="Q77" s="119">
        <f t="shared" si="8"/>
        <v>-28138.248313921667</v>
      </c>
      <c r="R77" s="119">
        <f t="shared" si="8"/>
        <v>-28138.248313921667</v>
      </c>
      <c r="S77" s="119">
        <f t="shared" si="8"/>
        <v>-28138.248313921667</v>
      </c>
      <c r="T77" s="119">
        <f t="shared" si="8"/>
        <v>-28138.248313921667</v>
      </c>
      <c r="U77" s="119">
        <f t="shared" si="8"/>
        <v>-28138.248313921667</v>
      </c>
      <c r="V77" s="119">
        <f t="shared" si="8"/>
        <v>-28138.248313921667</v>
      </c>
      <c r="W77" s="119">
        <f t="shared" si="8"/>
        <v>-28138.248313921667</v>
      </c>
      <c r="X77" s="119">
        <f t="shared" si="8"/>
        <v>-28138.248313921667</v>
      </c>
      <c r="Y77" s="119">
        <f t="shared" si="8"/>
        <v>-28138.248313921667</v>
      </c>
      <c r="Z77" s="119">
        <f t="shared" si="8"/>
        <v>-28138.248313921667</v>
      </c>
      <c r="AA77" s="119">
        <f t="shared" si="8"/>
        <v>-28138.248313921667</v>
      </c>
      <c r="AB77" s="119">
        <f t="shared" si="8"/>
        <v>-28138.248313921667</v>
      </c>
      <c r="AC77" s="119">
        <f t="shared" si="8"/>
        <v>-28138.248313921667</v>
      </c>
      <c r="AD77" s="119">
        <f t="shared" si="8"/>
        <v>-28138.248313921667</v>
      </c>
      <c r="AE77" s="119">
        <f t="shared" si="8"/>
        <v>-28138.248313921667</v>
      </c>
      <c r="AF77" s="119">
        <f t="shared" si="8"/>
        <v>-28138.248313921667</v>
      </c>
      <c r="AG77" s="119">
        <f t="shared" si="8"/>
        <v>-28138.248313921667</v>
      </c>
    </row>
    <row r="78" spans="1:33" x14ac:dyDescent="0.2">
      <c r="A78" s="8"/>
      <c r="B78" s="8"/>
      <c r="C78" s="4" t="str">
        <f>$C$75&amp;" - "&amp;C16</f>
        <v xml:space="preserve">Annualised capex - </v>
      </c>
      <c r="D78" s="38"/>
      <c r="F78" s="97"/>
      <c r="G78" s="212">
        <f>input_dollars</f>
        <v>45291</v>
      </c>
      <c r="H78" s="31"/>
      <c r="I78" s="119">
        <f t="shared" ref="I78:AG78" si="9">IF($E16=0,0,-PMT(real_disc, $E16,H73,))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174" t="s">
        <v>156</v>
      </c>
      <c r="D79" s="174"/>
      <c r="E79" s="175"/>
      <c r="F79" s="176"/>
      <c r="G79" s="217">
        <f>input_dollars</f>
        <v>45291</v>
      </c>
      <c r="H79" s="177"/>
      <c r="I79" s="178">
        <f>SUM(I76:I78)</f>
        <v>0</v>
      </c>
      <c r="J79" s="178">
        <f t="shared" ref="J79:AB79" si="10">SUM(J76:J78)</f>
        <v>-109355.46503819557</v>
      </c>
      <c r="K79" s="178">
        <f t="shared" si="10"/>
        <v>-218710.93007639115</v>
      </c>
      <c r="L79" s="178">
        <f t="shared" si="10"/>
        <v>-325721.54108842654</v>
      </c>
      <c r="M79" s="178">
        <f t="shared" si="10"/>
        <v>-432732.152100462</v>
      </c>
      <c r="N79" s="178">
        <f t="shared" si="10"/>
        <v>-537397.9090863372</v>
      </c>
      <c r="O79" s="178">
        <f t="shared" si="10"/>
        <v>-642063.66607221251</v>
      </c>
      <c r="P79" s="178">
        <f t="shared" si="10"/>
        <v>-705928.96300290141</v>
      </c>
      <c r="Q79" s="178">
        <f t="shared" si="10"/>
        <v>-705928.96300290141</v>
      </c>
      <c r="R79" s="178">
        <f t="shared" si="10"/>
        <v>-705928.96300290141</v>
      </c>
      <c r="S79" s="178">
        <f t="shared" si="10"/>
        <v>-705928.96300290141</v>
      </c>
      <c r="T79" s="178">
        <f t="shared" si="10"/>
        <v>-705928.96300290141</v>
      </c>
      <c r="U79" s="178">
        <f t="shared" si="10"/>
        <v>-705928.96300290141</v>
      </c>
      <c r="V79" s="178">
        <f t="shared" si="10"/>
        <v>-705928.96300290141</v>
      </c>
      <c r="W79" s="178">
        <f t="shared" si="10"/>
        <v>-705928.96300290141</v>
      </c>
      <c r="X79" s="178">
        <f t="shared" si="10"/>
        <v>-705928.96300290141</v>
      </c>
      <c r="Y79" s="178">
        <f t="shared" si="10"/>
        <v>-705928.96300290141</v>
      </c>
      <c r="Z79" s="178">
        <f t="shared" si="10"/>
        <v>-705928.96300290141</v>
      </c>
      <c r="AA79" s="178">
        <f t="shared" si="10"/>
        <v>-705928.96300290141</v>
      </c>
      <c r="AB79" s="178">
        <f t="shared" si="10"/>
        <v>-705928.96300290141</v>
      </c>
      <c r="AC79" s="178">
        <f>SUM(AC76:AC78)</f>
        <v>-705928.96300290141</v>
      </c>
      <c r="AD79" s="178">
        <f>SUM(AD76:AD78)</f>
        <v>-705928.96300290141</v>
      </c>
      <c r="AE79" s="178">
        <f>SUM(AE76:AE78)</f>
        <v>-705928.96300290141</v>
      </c>
      <c r="AF79" s="178">
        <f>SUM(AF76:AF78)</f>
        <v>-705928.96300290141</v>
      </c>
      <c r="AG79" s="178">
        <f>SUM(AG76:AG78)</f>
        <v>-705928.96300290141</v>
      </c>
    </row>
    <row r="80" spans="1:33" x14ac:dyDescent="0.2">
      <c r="A80" s="8"/>
      <c r="B80" s="8"/>
      <c r="C80" s="75"/>
      <c r="D80" s="38"/>
      <c r="F80"/>
      <c r="G80" s="21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">
      <c r="A81" s="8"/>
      <c r="B81" s="8"/>
      <c r="C81" s="4" t="s">
        <v>91</v>
      </c>
      <c r="D81" s="38"/>
      <c r="F81" s="97"/>
      <c r="G81" s="212">
        <f t="shared" ref="G81:G86" si="11">input_dollars</f>
        <v>45291</v>
      </c>
      <c r="H81" s="31"/>
      <c r="I81" s="119">
        <f>I79</f>
        <v>0</v>
      </c>
      <c r="J81" s="119">
        <f t="shared" ref="J81:AB81" si="12">J79</f>
        <v>-109355.46503819557</v>
      </c>
      <c r="K81" s="119">
        <f t="shared" si="12"/>
        <v>-218710.93007639115</v>
      </c>
      <c r="L81" s="119">
        <f t="shared" si="12"/>
        <v>-325721.54108842654</v>
      </c>
      <c r="M81" s="119">
        <f t="shared" si="12"/>
        <v>-432732.152100462</v>
      </c>
      <c r="N81" s="119">
        <f t="shared" si="12"/>
        <v>-537397.9090863372</v>
      </c>
      <c r="O81" s="119">
        <f t="shared" si="12"/>
        <v>-642063.66607221251</v>
      </c>
      <c r="P81" s="119">
        <f t="shared" si="12"/>
        <v>-705928.96300290141</v>
      </c>
      <c r="Q81" s="119">
        <f t="shared" si="12"/>
        <v>-705928.96300290141</v>
      </c>
      <c r="R81" s="119">
        <f t="shared" si="12"/>
        <v>-705928.96300290141</v>
      </c>
      <c r="S81" s="119">
        <f t="shared" si="12"/>
        <v>-705928.96300290141</v>
      </c>
      <c r="T81" s="119">
        <f t="shared" si="12"/>
        <v>-705928.96300290141</v>
      </c>
      <c r="U81" s="119">
        <f t="shared" si="12"/>
        <v>-705928.96300290141</v>
      </c>
      <c r="V81" s="119">
        <f t="shared" si="12"/>
        <v>-705928.96300290141</v>
      </c>
      <c r="W81" s="119">
        <f t="shared" si="12"/>
        <v>-705928.96300290141</v>
      </c>
      <c r="X81" s="119">
        <f t="shared" si="12"/>
        <v>-705928.96300290141</v>
      </c>
      <c r="Y81" s="119">
        <f t="shared" si="12"/>
        <v>-705928.96300290141</v>
      </c>
      <c r="Z81" s="119">
        <f t="shared" si="12"/>
        <v>-705928.96300290141</v>
      </c>
      <c r="AA81" s="119">
        <f t="shared" si="12"/>
        <v>-705928.96300290141</v>
      </c>
      <c r="AB81" s="119">
        <f t="shared" si="12"/>
        <v>-705928.96300290141</v>
      </c>
      <c r="AC81" s="119">
        <f>AC79</f>
        <v>-705928.96300290141</v>
      </c>
      <c r="AD81" s="119">
        <f>AD79</f>
        <v>-705928.96300290141</v>
      </c>
      <c r="AE81" s="119">
        <f>AE79</f>
        <v>-705928.96300290141</v>
      </c>
      <c r="AF81" s="119">
        <f>AF79</f>
        <v>-705928.96300290141</v>
      </c>
      <c r="AG81" s="119">
        <f>AG79</f>
        <v>-705928.96300290141</v>
      </c>
    </row>
    <row r="82" spans="1:33" x14ac:dyDescent="0.2">
      <c r="A82" s="8"/>
      <c r="B82" s="8"/>
      <c r="C82" s="4" t="s">
        <v>31</v>
      </c>
      <c r="D82" s="38"/>
      <c r="F82" s="97"/>
      <c r="G82" s="212">
        <f t="shared" si="11"/>
        <v>45291</v>
      </c>
      <c r="H82" s="31"/>
      <c r="I82" s="31">
        <f t="shared" ref="I82:AG82" si="13">-I19</f>
        <v>0</v>
      </c>
      <c r="J82" s="31">
        <f t="shared" si="13"/>
        <v>0</v>
      </c>
      <c r="K82" s="31">
        <f t="shared" si="13"/>
        <v>0</v>
      </c>
      <c r="L82" s="31">
        <f t="shared" si="13"/>
        <v>0</v>
      </c>
      <c r="M82" s="31">
        <f t="shared" si="13"/>
        <v>0</v>
      </c>
      <c r="N82" s="31">
        <f t="shared" si="13"/>
        <v>0</v>
      </c>
      <c r="O82" s="31">
        <f t="shared" si="13"/>
        <v>0</v>
      </c>
      <c r="P82" s="31">
        <f t="shared" si="13"/>
        <v>0</v>
      </c>
      <c r="Q82" s="31">
        <f t="shared" si="13"/>
        <v>0</v>
      </c>
      <c r="R82" s="31">
        <f t="shared" si="13"/>
        <v>0</v>
      </c>
      <c r="S82" s="31">
        <f t="shared" si="13"/>
        <v>0</v>
      </c>
      <c r="T82" s="31">
        <f t="shared" si="13"/>
        <v>0</v>
      </c>
      <c r="U82" s="31">
        <f t="shared" si="13"/>
        <v>0</v>
      </c>
      <c r="V82" s="31">
        <f t="shared" si="13"/>
        <v>0</v>
      </c>
      <c r="W82" s="31">
        <f t="shared" si="13"/>
        <v>0</v>
      </c>
      <c r="X82" s="31">
        <f t="shared" si="13"/>
        <v>0</v>
      </c>
      <c r="Y82" s="31">
        <f t="shared" si="13"/>
        <v>0</v>
      </c>
      <c r="Z82" s="31">
        <f t="shared" si="13"/>
        <v>0</v>
      </c>
      <c r="AA82" s="31">
        <f t="shared" si="13"/>
        <v>0</v>
      </c>
      <c r="AB82" s="31">
        <f t="shared" si="13"/>
        <v>0</v>
      </c>
      <c r="AC82" s="31">
        <f t="shared" si="13"/>
        <v>0</v>
      </c>
      <c r="AD82" s="31">
        <f t="shared" si="13"/>
        <v>0</v>
      </c>
      <c r="AE82" s="31">
        <f t="shared" si="13"/>
        <v>0</v>
      </c>
      <c r="AF82" s="31">
        <f t="shared" si="13"/>
        <v>0</v>
      </c>
      <c r="AG82" s="31">
        <f t="shared" si="13"/>
        <v>0</v>
      </c>
    </row>
    <row r="83" spans="1:33" x14ac:dyDescent="0.2">
      <c r="A83" s="8"/>
      <c r="B83" s="8"/>
      <c r="C83" s="4" t="s">
        <v>140</v>
      </c>
      <c r="D83" s="38"/>
      <c r="F83" s="97"/>
      <c r="G83" s="212">
        <f t="shared" si="11"/>
        <v>45291</v>
      </c>
      <c r="H83" s="31"/>
      <c r="I83" s="31">
        <f>I63</f>
        <v>700083.94474041834</v>
      </c>
      <c r="J83" s="31">
        <f t="shared" ref="J83:AB83" si="14">J63</f>
        <v>700083.94474041834</v>
      </c>
      <c r="K83" s="31">
        <f t="shared" si="14"/>
        <v>1050125.917110628</v>
      </c>
      <c r="L83" s="31">
        <f t="shared" si="14"/>
        <v>1050125.917110628</v>
      </c>
      <c r="M83" s="31">
        <f t="shared" si="14"/>
        <v>1400167.8894808372</v>
      </c>
      <c r="N83" s="31">
        <f t="shared" si="14"/>
        <v>1050125.9171106277</v>
      </c>
      <c r="O83" s="31">
        <f t="shared" si="14"/>
        <v>1400167.8894808369</v>
      </c>
      <c r="P83" s="31">
        <f t="shared" si="14"/>
        <v>1400167.8894808369</v>
      </c>
      <c r="Q83" s="31">
        <f t="shared" si="14"/>
        <v>1400167.8894808369</v>
      </c>
      <c r="R83" s="31">
        <f t="shared" si="14"/>
        <v>1400167.8894808369</v>
      </c>
      <c r="S83" s="31">
        <f t="shared" si="14"/>
        <v>1400167.8894808369</v>
      </c>
      <c r="T83" s="31">
        <f t="shared" si="14"/>
        <v>1400167.8894808369</v>
      </c>
      <c r="U83" s="31">
        <f t="shared" si="14"/>
        <v>1400167.8894808369</v>
      </c>
      <c r="V83" s="31">
        <f t="shared" si="14"/>
        <v>1050125.917110628</v>
      </c>
      <c r="W83" s="31">
        <f t="shared" si="14"/>
        <v>1050125.917110628</v>
      </c>
      <c r="X83" s="31">
        <f t="shared" si="14"/>
        <v>1050125.917110628</v>
      </c>
      <c r="Y83" s="31">
        <f t="shared" si="14"/>
        <v>1050125.917110628</v>
      </c>
      <c r="Z83" s="31">
        <f t="shared" si="14"/>
        <v>1050125.917110628</v>
      </c>
      <c r="AA83" s="31">
        <f t="shared" si="14"/>
        <v>1050125.917110628</v>
      </c>
      <c r="AB83" s="31">
        <f t="shared" si="14"/>
        <v>1050125.917110628</v>
      </c>
      <c r="AC83" s="31">
        <f>AC63</f>
        <v>1050125.917110628</v>
      </c>
      <c r="AD83" s="31">
        <f>AD63</f>
        <v>1050125.917110628</v>
      </c>
      <c r="AE83" s="31">
        <f>AE63</f>
        <v>1050125.917110628</v>
      </c>
      <c r="AF83" s="31">
        <f>AF63</f>
        <v>1050125.917110628</v>
      </c>
      <c r="AG83" s="31">
        <f>AG63</f>
        <v>700083.94474041846</v>
      </c>
    </row>
    <row r="84" spans="1:33" x14ac:dyDescent="0.2">
      <c r="A84" s="8"/>
      <c r="B84" s="8"/>
      <c r="C84" s="4" t="s">
        <v>122</v>
      </c>
      <c r="D84" s="38"/>
      <c r="F84" s="97"/>
      <c r="G84" s="212">
        <f t="shared" si="11"/>
        <v>45291</v>
      </c>
      <c r="H84" s="31"/>
      <c r="I84" s="31">
        <f t="shared" ref="I84:AG84" si="15">I56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</row>
    <row r="85" spans="1:33" x14ac:dyDescent="0.2">
      <c r="A85" s="8"/>
      <c r="B85" s="8"/>
      <c r="C85" s="4"/>
      <c r="D85" s="38"/>
      <c r="F85" s="31"/>
      <c r="G85" s="21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">
      <c r="A86" s="8"/>
      <c r="B86" s="8"/>
      <c r="C86" s="179" t="s">
        <v>186</v>
      </c>
      <c r="D86" s="180"/>
      <c r="E86" s="175"/>
      <c r="F86" s="181"/>
      <c r="G86" s="217">
        <f t="shared" si="11"/>
        <v>45291</v>
      </c>
      <c r="H86" s="181"/>
      <c r="I86" s="181">
        <f t="shared" ref="I86:AB86" si="16">SUM(I81:I85)</f>
        <v>700083.94474041834</v>
      </c>
      <c r="J86" s="181">
        <f t="shared" si="16"/>
        <v>590728.47970222274</v>
      </c>
      <c r="K86" s="181">
        <f t="shared" si="16"/>
        <v>831414.98703423678</v>
      </c>
      <c r="L86" s="181">
        <f t="shared" si="16"/>
        <v>724404.3760222015</v>
      </c>
      <c r="M86" s="181">
        <f t="shared" si="16"/>
        <v>967435.73738037515</v>
      </c>
      <c r="N86" s="181">
        <f t="shared" si="16"/>
        <v>512728.00802429055</v>
      </c>
      <c r="O86" s="181">
        <f t="shared" si="16"/>
        <v>758104.22340862441</v>
      </c>
      <c r="P86" s="181">
        <f t="shared" si="16"/>
        <v>694238.92647793551</v>
      </c>
      <c r="Q86" s="181">
        <f t="shared" si="16"/>
        <v>694238.92647793551</v>
      </c>
      <c r="R86" s="181">
        <f t="shared" si="16"/>
        <v>694238.92647793551</v>
      </c>
      <c r="S86" s="181">
        <f t="shared" si="16"/>
        <v>694238.92647793551</v>
      </c>
      <c r="T86" s="181">
        <f t="shared" si="16"/>
        <v>694238.92647793551</v>
      </c>
      <c r="U86" s="181">
        <f t="shared" si="16"/>
        <v>694238.92647793551</v>
      </c>
      <c r="V86" s="181">
        <f t="shared" si="16"/>
        <v>344196.95410772657</v>
      </c>
      <c r="W86" s="181">
        <f t="shared" si="16"/>
        <v>344196.95410772657</v>
      </c>
      <c r="X86" s="181">
        <f t="shared" si="16"/>
        <v>344196.95410772657</v>
      </c>
      <c r="Y86" s="181">
        <f t="shared" si="16"/>
        <v>344196.95410772657</v>
      </c>
      <c r="Z86" s="181">
        <f t="shared" si="16"/>
        <v>344196.95410772657</v>
      </c>
      <c r="AA86" s="181">
        <f t="shared" si="16"/>
        <v>344196.95410772657</v>
      </c>
      <c r="AB86" s="181">
        <f t="shared" si="16"/>
        <v>344196.95410772657</v>
      </c>
      <c r="AC86" s="181">
        <f>SUM(AC81:AC85)</f>
        <v>344196.95410772657</v>
      </c>
      <c r="AD86" s="181">
        <f>SUM(AD81:AD85)</f>
        <v>344196.95410772657</v>
      </c>
      <c r="AE86" s="181">
        <f>SUM(AE81:AE85)</f>
        <v>344196.95410772657</v>
      </c>
      <c r="AF86" s="181">
        <f>SUM(AF81:AF85)</f>
        <v>344196.95410772657</v>
      </c>
      <c r="AG86" s="181">
        <f>SUM(AG81:AG85)</f>
        <v>-5845.0182624829467</v>
      </c>
    </row>
    <row r="87" spans="1:33" x14ac:dyDescent="0.2">
      <c r="A87" s="8"/>
      <c r="B87" s="8"/>
      <c r="C87" s="75"/>
      <c r="D87" s="141"/>
      <c r="F87" s="144"/>
      <c r="G87" s="21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spans="1:33" x14ac:dyDescent="0.2">
      <c r="A88" s="8"/>
      <c r="B88" s="8"/>
      <c r="C88" s="75"/>
      <c r="D88" s="141"/>
      <c r="F88" s="144"/>
      <c r="G88" s="21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232" t="s">
        <v>196</v>
      </c>
      <c r="D89" s="82"/>
      <c r="E89" s="233"/>
      <c r="F89" s="234"/>
      <c r="G89" s="235" cm="1">
        <f t="array" ref="G89">IF(SUM($I17:$AG17)=0,0,(INDEX(I$6:AG$6,MATCH(TRUE,INDEX($I17:$AG17&lt;&gt;0,),0))))</f>
        <v>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A90" s="8"/>
      <c r="B90" s="8"/>
      <c r="C90" s="82"/>
      <c r="D90" s="236"/>
      <c r="E90" s="233"/>
      <c r="F90" s="234"/>
      <c r="G90" s="235"/>
      <c r="H90" s="3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</row>
    <row r="91" spans="1:33" x14ac:dyDescent="0.2">
      <c r="C91" s="237" t="s">
        <v>191</v>
      </c>
      <c r="D91" s="238"/>
      <c r="E91" s="238"/>
      <c r="F91" s="238"/>
      <c r="G91" s="239">
        <f>IF(_xlfn.MINIFS($G$89:$G$90, $G$89:$G$90, "&gt;"&amp;0)=0, $A$4, _xlfn.MINIFS($G$89:$G$90, $G$89:$G$90, "&gt;"&amp;0))</f>
        <v>1</v>
      </c>
    </row>
    <row r="93" spans="1:33" x14ac:dyDescent="0.2">
      <c r="G93" s="12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 x14ac:dyDescent="0.2"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</row>
    <row r="95" spans="1:33" x14ac:dyDescent="0.2"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</row>
    <row r="96" spans="1:33" x14ac:dyDescent="0.2"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</row>
    <row r="97" spans="1:43" x14ac:dyDescent="0.2"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</row>
    <row r="98" spans="1:43" x14ac:dyDescent="0.2"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</row>
    <row r="99" spans="1:43" x14ac:dyDescent="0.2"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</row>
    <row r="100" spans="1:43" x14ac:dyDescent="0.2"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</row>
    <row r="101" spans="1:43" ht="15" x14ac:dyDescent="0.2">
      <c r="A101" s="89" t="s">
        <v>216</v>
      </c>
      <c r="B101" s="89"/>
      <c r="C101" s="89"/>
      <c r="D101" s="89"/>
      <c r="E101" s="89"/>
      <c r="F101" s="89"/>
      <c r="G101" s="206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/>
      <c r="AI101"/>
      <c r="AJ101"/>
      <c r="AK101"/>
      <c r="AL101"/>
      <c r="AM101"/>
      <c r="AN101"/>
      <c r="AO101"/>
      <c r="AP101"/>
      <c r="AQ101"/>
    </row>
    <row r="103" spans="1:43" x14ac:dyDescent="0.2"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43" x14ac:dyDescent="0.2">
      <c r="D104"/>
      <c r="E104"/>
      <c r="F104"/>
      <c r="G104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43" x14ac:dyDescent="0.2">
      <c r="A105" s="1" t="s">
        <v>119</v>
      </c>
      <c r="C105" s="1" t="s">
        <v>186</v>
      </c>
      <c r="D105"/>
      <c r="E105"/>
      <c r="F105"/>
      <c r="G105" s="38" t="str">
        <f>PROPER($A$3)&amp;A105</f>
        <v>Option 2NPV</v>
      </c>
      <c r="I105" s="31">
        <f>I86</f>
        <v>700083.94474041834</v>
      </c>
      <c r="J105" s="31">
        <f t="shared" ref="J105:AG105" si="17">J86</f>
        <v>590728.47970222274</v>
      </c>
      <c r="K105" s="31">
        <f t="shared" si="17"/>
        <v>831414.98703423678</v>
      </c>
      <c r="L105" s="31">
        <f t="shared" si="17"/>
        <v>724404.3760222015</v>
      </c>
      <c r="M105" s="31">
        <f t="shared" si="17"/>
        <v>967435.73738037515</v>
      </c>
      <c r="N105" s="31">
        <f t="shared" si="17"/>
        <v>512728.00802429055</v>
      </c>
      <c r="O105" s="31">
        <f t="shared" si="17"/>
        <v>758104.22340862441</v>
      </c>
      <c r="P105" s="31">
        <f t="shared" si="17"/>
        <v>694238.92647793551</v>
      </c>
      <c r="Q105" s="31">
        <f t="shared" si="17"/>
        <v>694238.92647793551</v>
      </c>
      <c r="R105" s="31">
        <f t="shared" si="17"/>
        <v>694238.92647793551</v>
      </c>
      <c r="S105" s="31">
        <f t="shared" si="17"/>
        <v>694238.92647793551</v>
      </c>
      <c r="T105" s="31">
        <f t="shared" si="17"/>
        <v>694238.92647793551</v>
      </c>
      <c r="U105" s="31">
        <f t="shared" si="17"/>
        <v>694238.92647793551</v>
      </c>
      <c r="V105" s="31">
        <f t="shared" si="17"/>
        <v>344196.95410772657</v>
      </c>
      <c r="W105" s="31">
        <f t="shared" si="17"/>
        <v>344196.95410772657</v>
      </c>
      <c r="X105" s="31">
        <f t="shared" si="17"/>
        <v>344196.95410772657</v>
      </c>
      <c r="Y105" s="31">
        <f t="shared" si="17"/>
        <v>344196.95410772657</v>
      </c>
      <c r="Z105" s="31">
        <f t="shared" si="17"/>
        <v>344196.95410772657</v>
      </c>
      <c r="AA105" s="31">
        <f t="shared" si="17"/>
        <v>344196.95410772657</v>
      </c>
      <c r="AB105" s="31">
        <f t="shared" si="17"/>
        <v>344196.95410772657</v>
      </c>
      <c r="AC105" s="31">
        <f t="shared" si="17"/>
        <v>344196.95410772657</v>
      </c>
      <c r="AD105" s="31">
        <f t="shared" si="17"/>
        <v>344196.95410772657</v>
      </c>
      <c r="AE105" s="31">
        <f t="shared" si="17"/>
        <v>344196.95410772657</v>
      </c>
      <c r="AF105" s="31">
        <f t="shared" si="17"/>
        <v>344196.95410772657</v>
      </c>
      <c r="AG105" s="31">
        <f t="shared" si="17"/>
        <v>-5845.0182624829467</v>
      </c>
    </row>
    <row r="106" spans="1:43" x14ac:dyDescent="0.2">
      <c r="C106" s="1" t="s">
        <v>156</v>
      </c>
      <c r="D106"/>
      <c r="E106"/>
      <c r="F106"/>
      <c r="G106"/>
      <c r="I106" s="31">
        <f>I81</f>
        <v>0</v>
      </c>
      <c r="J106" s="31">
        <f t="shared" ref="J106:AG106" si="18">J81</f>
        <v>-109355.46503819557</v>
      </c>
      <c r="K106" s="31">
        <f t="shared" si="18"/>
        <v>-218710.93007639115</v>
      </c>
      <c r="L106" s="31">
        <f t="shared" si="18"/>
        <v>-325721.54108842654</v>
      </c>
      <c r="M106" s="31">
        <f t="shared" si="18"/>
        <v>-432732.152100462</v>
      </c>
      <c r="N106" s="31">
        <f t="shared" si="18"/>
        <v>-537397.9090863372</v>
      </c>
      <c r="O106" s="31">
        <f t="shared" si="18"/>
        <v>-642063.66607221251</v>
      </c>
      <c r="P106" s="31">
        <f t="shared" si="18"/>
        <v>-705928.96300290141</v>
      </c>
      <c r="Q106" s="31">
        <f t="shared" si="18"/>
        <v>-705928.96300290141</v>
      </c>
      <c r="R106" s="31">
        <f t="shared" si="18"/>
        <v>-705928.96300290141</v>
      </c>
      <c r="S106" s="31">
        <f t="shared" si="18"/>
        <v>-705928.96300290141</v>
      </c>
      <c r="T106" s="31">
        <f t="shared" si="18"/>
        <v>-705928.96300290141</v>
      </c>
      <c r="U106" s="31">
        <f t="shared" si="18"/>
        <v>-705928.96300290141</v>
      </c>
      <c r="V106" s="31">
        <f t="shared" si="18"/>
        <v>-705928.96300290141</v>
      </c>
      <c r="W106" s="31">
        <f t="shared" si="18"/>
        <v>-705928.96300290141</v>
      </c>
      <c r="X106" s="31">
        <f t="shared" si="18"/>
        <v>-705928.96300290141</v>
      </c>
      <c r="Y106" s="31">
        <f t="shared" si="18"/>
        <v>-705928.96300290141</v>
      </c>
      <c r="Z106" s="31">
        <f t="shared" si="18"/>
        <v>-705928.96300290141</v>
      </c>
      <c r="AA106" s="31">
        <f t="shared" si="18"/>
        <v>-705928.96300290141</v>
      </c>
      <c r="AB106" s="31">
        <f t="shared" si="18"/>
        <v>-705928.96300290141</v>
      </c>
      <c r="AC106" s="31">
        <f t="shared" si="18"/>
        <v>-705928.96300290141</v>
      </c>
      <c r="AD106" s="31">
        <f t="shared" si="18"/>
        <v>-705928.96300290141</v>
      </c>
      <c r="AE106" s="31">
        <f t="shared" si="18"/>
        <v>-705928.96300290141</v>
      </c>
      <c r="AF106" s="31">
        <f t="shared" si="18"/>
        <v>-705928.96300290141</v>
      </c>
      <c r="AG106" s="31">
        <f t="shared" si="18"/>
        <v>-705928.96300290141</v>
      </c>
    </row>
    <row r="107" spans="1:43" x14ac:dyDescent="0.2">
      <c r="C107" s="1" t="s">
        <v>239</v>
      </c>
      <c r="D107" s="255"/>
      <c r="E107" s="38"/>
      <c r="I107" s="31">
        <f>SUM(I83:I84)</f>
        <v>700083.94474041834</v>
      </c>
      <c r="J107" s="31">
        <f t="shared" ref="J107:AG107" si="19">SUM(J83:J84)</f>
        <v>700083.94474041834</v>
      </c>
      <c r="K107" s="31">
        <f t="shared" si="19"/>
        <v>1050125.917110628</v>
      </c>
      <c r="L107" s="31">
        <f t="shared" si="19"/>
        <v>1050125.917110628</v>
      </c>
      <c r="M107" s="31">
        <f t="shared" si="19"/>
        <v>1400167.8894808372</v>
      </c>
      <c r="N107" s="31">
        <f t="shared" si="19"/>
        <v>1050125.9171106277</v>
      </c>
      <c r="O107" s="31">
        <f t="shared" si="19"/>
        <v>1400167.8894808369</v>
      </c>
      <c r="P107" s="31">
        <f t="shared" si="19"/>
        <v>1400167.8894808369</v>
      </c>
      <c r="Q107" s="31">
        <f t="shared" si="19"/>
        <v>1400167.8894808369</v>
      </c>
      <c r="R107" s="31">
        <f t="shared" si="19"/>
        <v>1400167.8894808369</v>
      </c>
      <c r="S107" s="31">
        <f t="shared" si="19"/>
        <v>1400167.8894808369</v>
      </c>
      <c r="T107" s="31">
        <f t="shared" si="19"/>
        <v>1400167.8894808369</v>
      </c>
      <c r="U107" s="31">
        <f t="shared" si="19"/>
        <v>1400167.8894808369</v>
      </c>
      <c r="V107" s="31">
        <f t="shared" si="19"/>
        <v>1050125.917110628</v>
      </c>
      <c r="W107" s="31">
        <f t="shared" si="19"/>
        <v>1050125.917110628</v>
      </c>
      <c r="X107" s="31">
        <f t="shared" si="19"/>
        <v>1050125.917110628</v>
      </c>
      <c r="Y107" s="31">
        <f t="shared" si="19"/>
        <v>1050125.917110628</v>
      </c>
      <c r="Z107" s="31">
        <f t="shared" si="19"/>
        <v>1050125.917110628</v>
      </c>
      <c r="AA107" s="31">
        <f t="shared" si="19"/>
        <v>1050125.917110628</v>
      </c>
      <c r="AB107" s="31">
        <f t="shared" si="19"/>
        <v>1050125.917110628</v>
      </c>
      <c r="AC107" s="31">
        <f t="shared" si="19"/>
        <v>1050125.917110628</v>
      </c>
      <c r="AD107" s="31">
        <f t="shared" si="19"/>
        <v>1050125.917110628</v>
      </c>
      <c r="AE107" s="31">
        <f t="shared" si="19"/>
        <v>1050125.917110628</v>
      </c>
      <c r="AF107" s="31">
        <f t="shared" si="19"/>
        <v>1050125.917110628</v>
      </c>
      <c r="AG107" s="31">
        <f t="shared" si="19"/>
        <v>700083.94474041846</v>
      </c>
    </row>
    <row r="108" spans="1:43" x14ac:dyDescent="0.2">
      <c r="D108" s="304" t="str">
        <f>Assumptions!G110</f>
        <v>Capex</v>
      </c>
      <c r="E108" s="304" t="str">
        <f>Assumptions!H110</f>
        <v>Total benefits</v>
      </c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43" x14ac:dyDescent="0.2">
      <c r="A109" s="1" t="str">
        <f>"sens"&amp;Assumptions!B111</f>
        <v>sens1</v>
      </c>
      <c r="C109" s="303" t="str">
        <f>Assumptions!C111</f>
        <v>Capex 10% higher</v>
      </c>
      <c r="D109" s="304">
        <f>Assumptions!G111</f>
        <v>0.1</v>
      </c>
      <c r="E109" s="304">
        <f>Assumptions!H111</f>
        <v>0</v>
      </c>
      <c r="G109" s="38" t="str">
        <f>PROPER($A$3)&amp;A109</f>
        <v>Option 2sens1</v>
      </c>
      <c r="I109" s="31" cm="1">
        <f t="array" ref="I109">I$105+IF($C109&lt;&gt;0,SUMPRODUCT((I$106:I$107)*TRANSPOSE(($D109:$E109))),0)</f>
        <v>700083.94474041834</v>
      </c>
      <c r="J109" s="31" cm="1">
        <f t="array" ref="J109">J$105+IF($C109&lt;&gt;0,SUMPRODUCT((J$106:J$107)*TRANSPOSE(($D109:$E109))),0)</f>
        <v>579792.93319840322</v>
      </c>
      <c r="K109" s="31" cm="1">
        <f t="array" ref="K109">K$105+IF($C109&lt;&gt;0,SUMPRODUCT((K$106:K$107)*TRANSPOSE(($D109:$E109))),0)</f>
        <v>809543.89402659761</v>
      </c>
      <c r="L109" s="31" cm="1">
        <f t="array" ref="L109">L$105+IF($C109&lt;&gt;0,SUMPRODUCT((L$106:L$107)*TRANSPOSE(($D109:$E109))),0)</f>
        <v>691832.2219133589</v>
      </c>
      <c r="M109" s="31" cm="1">
        <f t="array" ref="M109">M$105+IF($C109&lt;&gt;0,SUMPRODUCT((M$106:M$107)*TRANSPOSE(($D109:$E109))),0)</f>
        <v>924162.522170329</v>
      </c>
      <c r="N109" s="31" cm="1">
        <f t="array" ref="N109">N$105+IF($C109&lt;&gt;0,SUMPRODUCT((N$106:N$107)*TRANSPOSE(($D109:$E109))),0)</f>
        <v>458988.21711565682</v>
      </c>
      <c r="O109" s="31" cm="1">
        <f t="array" ref="O109">O$105+IF($C109&lt;&gt;0,SUMPRODUCT((O$106:O$107)*TRANSPOSE(($D109:$E109))),0)</f>
        <v>693897.85680140322</v>
      </c>
      <c r="P109" s="31" cm="1">
        <f t="array" ref="P109">P$105+IF($C109&lt;&gt;0,SUMPRODUCT((P$106:P$107)*TRANSPOSE(($D109:$E109))),0)</f>
        <v>623646.03017764539</v>
      </c>
      <c r="Q109" s="31" cm="1">
        <f t="array" ref="Q109">Q$105+IF($C109&lt;&gt;0,SUMPRODUCT((Q$106:Q$107)*TRANSPOSE(($D109:$E109))),0)</f>
        <v>623646.03017764539</v>
      </c>
      <c r="R109" s="31" cm="1">
        <f t="array" ref="R109">R$105+IF($C109&lt;&gt;0,SUMPRODUCT((R$106:R$107)*TRANSPOSE(($D109:$E109))),0)</f>
        <v>623646.03017764539</v>
      </c>
      <c r="S109" s="31" cm="1">
        <f t="array" ref="S109">S$105+IF($C109&lt;&gt;0,SUMPRODUCT((S$106:S$107)*TRANSPOSE(($D109:$E109))),0)</f>
        <v>623646.03017764539</v>
      </c>
      <c r="T109" s="31" cm="1">
        <f t="array" ref="T109">T$105+IF($C109&lt;&gt;0,SUMPRODUCT((T$106:T$107)*TRANSPOSE(($D109:$E109))),0)</f>
        <v>623646.03017764539</v>
      </c>
      <c r="U109" s="31" cm="1">
        <f t="array" ref="U109">U$105+IF($C109&lt;&gt;0,SUMPRODUCT((U$106:U$107)*TRANSPOSE(($D109:$E109))),0)</f>
        <v>623646.03017764539</v>
      </c>
      <c r="V109" s="31" cm="1">
        <f t="array" ref="V109">V$105+IF($C109&lt;&gt;0,SUMPRODUCT((V$106:V$107)*TRANSPOSE(($D109:$E109))),0)</f>
        <v>273604.05780743645</v>
      </c>
      <c r="W109" s="31" cm="1">
        <f t="array" ref="W109">W$105+IF($C109&lt;&gt;0,SUMPRODUCT((W$106:W$107)*TRANSPOSE(($D109:$E109))),0)</f>
        <v>273604.05780743645</v>
      </c>
      <c r="X109" s="31" cm="1">
        <f t="array" ref="X109">X$105+IF($C109&lt;&gt;0,SUMPRODUCT((X$106:X$107)*TRANSPOSE(($D109:$E109))),0)</f>
        <v>273604.05780743645</v>
      </c>
      <c r="Y109" s="31" cm="1">
        <f t="array" ref="Y109">Y$105+IF($C109&lt;&gt;0,SUMPRODUCT((Y$106:Y$107)*TRANSPOSE(($D109:$E109))),0)</f>
        <v>273604.05780743645</v>
      </c>
      <c r="Z109" s="31" cm="1">
        <f t="array" ref="Z109">Z$105+IF($C109&lt;&gt;0,SUMPRODUCT((Z$106:Z$107)*TRANSPOSE(($D109:$E109))),0)</f>
        <v>273604.05780743645</v>
      </c>
      <c r="AA109" s="31" cm="1">
        <f t="array" ref="AA109">AA$105+IF($C109&lt;&gt;0,SUMPRODUCT((AA$106:AA$107)*TRANSPOSE(($D109:$E109))),0)</f>
        <v>273604.05780743645</v>
      </c>
      <c r="AB109" s="31" cm="1">
        <f t="array" ref="AB109">AB$105+IF($C109&lt;&gt;0,SUMPRODUCT((AB$106:AB$107)*TRANSPOSE(($D109:$E109))),0)</f>
        <v>273604.05780743645</v>
      </c>
      <c r="AC109" s="31" cm="1">
        <f t="array" ref="AC109">AC$105+IF($C109&lt;&gt;0,SUMPRODUCT((AC$106:AC$107)*TRANSPOSE(($D109:$E109))),0)</f>
        <v>273604.05780743645</v>
      </c>
      <c r="AD109" s="31" cm="1">
        <f t="array" ref="AD109">AD$105+IF($C109&lt;&gt;0,SUMPRODUCT((AD$106:AD$107)*TRANSPOSE(($D109:$E109))),0)</f>
        <v>273604.05780743645</v>
      </c>
      <c r="AE109" s="31" cm="1">
        <f t="array" ref="AE109">AE$105+IF($C109&lt;&gt;0,SUMPRODUCT((AE$106:AE$107)*TRANSPOSE(($D109:$E109))),0)</f>
        <v>273604.05780743645</v>
      </c>
      <c r="AF109" s="31" cm="1">
        <f t="array" ref="AF109">AF$105+IF($C109&lt;&gt;0,SUMPRODUCT((AF$106:AF$107)*TRANSPOSE(($D109:$E109))),0)</f>
        <v>273604.05780743645</v>
      </c>
      <c r="AG109" s="31" cm="1">
        <f t="array" ref="AG109">AG$105+IF($C109&lt;&gt;0,SUMPRODUCT((AG$106:AG$107)*TRANSPOSE(($D109:$E109))),0)</f>
        <v>-76437.91456277309</v>
      </c>
    </row>
    <row r="110" spans="1:43" x14ac:dyDescent="0.2">
      <c r="A110" s="1" t="str">
        <f>"sens"&amp;Assumptions!B112</f>
        <v>sens2</v>
      </c>
      <c r="C110" s="303" t="str">
        <f>Assumptions!C112</f>
        <v>Capex 10% lower</v>
      </c>
      <c r="D110" s="304">
        <f>Assumptions!G112</f>
        <v>-0.1</v>
      </c>
      <c r="E110" s="304">
        <f>Assumptions!H112</f>
        <v>0</v>
      </c>
      <c r="G110" s="38" t="str">
        <f t="shared" ref="G110:G116" si="20">PROPER($A$3)&amp;A110</f>
        <v>Option 2sens2</v>
      </c>
      <c r="I110" s="31" cm="1">
        <f t="array" ref="I110">I$105+IF($C110&lt;&gt;0,SUMPRODUCT((I$106:I$107)*TRANSPOSE(($D110:$E110))),0)</f>
        <v>700083.94474041834</v>
      </c>
      <c r="J110" s="31" cm="1">
        <f t="array" ref="J110">J$105+IF($C110&lt;&gt;0,SUMPRODUCT((J$106:J$107)*TRANSPOSE(($D110:$E110))),0)</f>
        <v>601664.02620604227</v>
      </c>
      <c r="K110" s="31" cm="1">
        <f t="array" ref="K110">K$105+IF($C110&lt;&gt;0,SUMPRODUCT((K$106:K$107)*TRANSPOSE(($D110:$E110))),0)</f>
        <v>853286.08004187595</v>
      </c>
      <c r="L110" s="31" cm="1">
        <f t="array" ref="L110">L$105+IF($C110&lt;&gt;0,SUMPRODUCT((L$106:L$107)*TRANSPOSE(($D110:$E110))),0)</f>
        <v>756976.5301310441</v>
      </c>
      <c r="M110" s="31" cm="1">
        <f t="array" ref="M110">M$105+IF($C110&lt;&gt;0,SUMPRODUCT((M$106:M$107)*TRANSPOSE(($D110:$E110))),0)</f>
        <v>1010708.9525904213</v>
      </c>
      <c r="N110" s="31" cm="1">
        <f t="array" ref="N110">N$105+IF($C110&lt;&gt;0,SUMPRODUCT((N$106:N$107)*TRANSPOSE(($D110:$E110))),0)</f>
        <v>566467.79893292428</v>
      </c>
      <c r="O110" s="31" cm="1">
        <f t="array" ref="O110">O$105+IF($C110&lt;&gt;0,SUMPRODUCT((O$106:O$107)*TRANSPOSE(($D110:$E110))),0)</f>
        <v>822310.59001584561</v>
      </c>
      <c r="P110" s="31" cm="1">
        <f t="array" ref="P110">P$105+IF($C110&lt;&gt;0,SUMPRODUCT((P$106:P$107)*TRANSPOSE(($D110:$E110))),0)</f>
        <v>764831.82277822564</v>
      </c>
      <c r="Q110" s="31" cm="1">
        <f t="array" ref="Q110">Q$105+IF($C110&lt;&gt;0,SUMPRODUCT((Q$106:Q$107)*TRANSPOSE(($D110:$E110))),0)</f>
        <v>764831.82277822564</v>
      </c>
      <c r="R110" s="31" cm="1">
        <f t="array" ref="R110">R$105+IF($C110&lt;&gt;0,SUMPRODUCT((R$106:R$107)*TRANSPOSE(($D110:$E110))),0)</f>
        <v>764831.82277822564</v>
      </c>
      <c r="S110" s="31" cm="1">
        <f t="array" ref="S110">S$105+IF($C110&lt;&gt;0,SUMPRODUCT((S$106:S$107)*TRANSPOSE(($D110:$E110))),0)</f>
        <v>764831.82277822564</v>
      </c>
      <c r="T110" s="31" cm="1">
        <f t="array" ref="T110">T$105+IF($C110&lt;&gt;0,SUMPRODUCT((T$106:T$107)*TRANSPOSE(($D110:$E110))),0)</f>
        <v>764831.82277822564</v>
      </c>
      <c r="U110" s="31" cm="1">
        <f t="array" ref="U110">U$105+IF($C110&lt;&gt;0,SUMPRODUCT((U$106:U$107)*TRANSPOSE(($D110:$E110))),0)</f>
        <v>764831.82277822564</v>
      </c>
      <c r="V110" s="31" cm="1">
        <f t="array" ref="V110">V$105+IF($C110&lt;&gt;0,SUMPRODUCT((V$106:V$107)*TRANSPOSE(($D110:$E110))),0)</f>
        <v>414789.8504080167</v>
      </c>
      <c r="W110" s="31" cm="1">
        <f t="array" ref="W110">W$105+IF($C110&lt;&gt;0,SUMPRODUCT((W$106:W$107)*TRANSPOSE(($D110:$E110))),0)</f>
        <v>414789.8504080167</v>
      </c>
      <c r="X110" s="31" cm="1">
        <f t="array" ref="X110">X$105+IF($C110&lt;&gt;0,SUMPRODUCT((X$106:X$107)*TRANSPOSE(($D110:$E110))),0)</f>
        <v>414789.8504080167</v>
      </c>
      <c r="Y110" s="31" cm="1">
        <f t="array" ref="Y110">Y$105+IF($C110&lt;&gt;0,SUMPRODUCT((Y$106:Y$107)*TRANSPOSE(($D110:$E110))),0)</f>
        <v>414789.8504080167</v>
      </c>
      <c r="Z110" s="31" cm="1">
        <f t="array" ref="Z110">Z$105+IF($C110&lt;&gt;0,SUMPRODUCT((Z$106:Z$107)*TRANSPOSE(($D110:$E110))),0)</f>
        <v>414789.8504080167</v>
      </c>
      <c r="AA110" s="31" cm="1">
        <f t="array" ref="AA110">AA$105+IF($C110&lt;&gt;0,SUMPRODUCT((AA$106:AA$107)*TRANSPOSE(($D110:$E110))),0)</f>
        <v>414789.8504080167</v>
      </c>
      <c r="AB110" s="31" cm="1">
        <f t="array" ref="AB110">AB$105+IF($C110&lt;&gt;0,SUMPRODUCT((AB$106:AB$107)*TRANSPOSE(($D110:$E110))),0)</f>
        <v>414789.8504080167</v>
      </c>
      <c r="AC110" s="31" cm="1">
        <f t="array" ref="AC110">AC$105+IF($C110&lt;&gt;0,SUMPRODUCT((AC$106:AC$107)*TRANSPOSE(($D110:$E110))),0)</f>
        <v>414789.8504080167</v>
      </c>
      <c r="AD110" s="31" cm="1">
        <f t="array" ref="AD110">AD$105+IF($C110&lt;&gt;0,SUMPRODUCT((AD$106:AD$107)*TRANSPOSE(($D110:$E110))),0)</f>
        <v>414789.8504080167</v>
      </c>
      <c r="AE110" s="31" cm="1">
        <f t="array" ref="AE110">AE$105+IF($C110&lt;&gt;0,SUMPRODUCT((AE$106:AE$107)*TRANSPOSE(($D110:$E110))),0)</f>
        <v>414789.8504080167</v>
      </c>
      <c r="AF110" s="31" cm="1">
        <f t="array" ref="AF110">AF$105+IF($C110&lt;&gt;0,SUMPRODUCT((AF$106:AF$107)*TRANSPOSE(($D110:$E110))),0)</f>
        <v>414789.8504080167</v>
      </c>
      <c r="AG110" s="31" cm="1">
        <f t="array" ref="AG110">AG$105+IF($C110&lt;&gt;0,SUMPRODUCT((AG$106:AG$107)*TRANSPOSE(($D110:$E110))),0)</f>
        <v>64747.878037807197</v>
      </c>
    </row>
    <row r="111" spans="1:43" x14ac:dyDescent="0.2">
      <c r="A111" s="1" t="str">
        <f>"sens"&amp;Assumptions!B113</f>
        <v>sens3</v>
      </c>
      <c r="C111" s="303" t="str">
        <f>Assumptions!C113</f>
        <v>Total benefits 10% higher</v>
      </c>
      <c r="D111" s="304">
        <f>Assumptions!G113</f>
        <v>0</v>
      </c>
      <c r="E111" s="304">
        <f>Assumptions!H113</f>
        <v>0.1</v>
      </c>
      <c r="G111" s="38" t="str">
        <f t="shared" si="20"/>
        <v>Option 2sens3</v>
      </c>
      <c r="I111" s="31" cm="1">
        <f t="array" ref="I111">I$105+IF($C111&lt;&gt;0,SUMPRODUCT((I$106:I$107)*TRANSPOSE(($D111:$E111))),0)</f>
        <v>770092.33921446023</v>
      </c>
      <c r="J111" s="31" cm="1">
        <f t="array" ref="J111">J$105+IF($C111&lt;&gt;0,SUMPRODUCT((J$106:J$107)*TRANSPOSE(($D111:$E111))),0)</f>
        <v>660736.87417626462</v>
      </c>
      <c r="K111" s="31" cm="1">
        <f t="array" ref="K111">K$105+IF($C111&lt;&gt;0,SUMPRODUCT((K$106:K$107)*TRANSPOSE(($D111:$E111))),0)</f>
        <v>936427.5787452996</v>
      </c>
      <c r="L111" s="31" cm="1">
        <f t="array" ref="L111">L$105+IF($C111&lt;&gt;0,SUMPRODUCT((L$106:L$107)*TRANSPOSE(($D111:$E111))),0)</f>
        <v>829416.96773326432</v>
      </c>
      <c r="M111" s="31" cm="1">
        <f t="array" ref="M111">M$105+IF($C111&lt;&gt;0,SUMPRODUCT((M$106:M$107)*TRANSPOSE(($D111:$E111))),0)</f>
        <v>1107452.5263284589</v>
      </c>
      <c r="N111" s="31" cm="1">
        <f t="array" ref="N111">N$105+IF($C111&lt;&gt;0,SUMPRODUCT((N$106:N$107)*TRANSPOSE(($D111:$E111))),0)</f>
        <v>617740.59973535337</v>
      </c>
      <c r="O111" s="31" cm="1">
        <f t="array" ref="O111">O$105+IF($C111&lt;&gt;0,SUMPRODUCT((O$106:O$107)*TRANSPOSE(($D111:$E111))),0)</f>
        <v>898121.01235670806</v>
      </c>
      <c r="P111" s="31" cm="1">
        <f t="array" ref="P111">P$105+IF($C111&lt;&gt;0,SUMPRODUCT((P$106:P$107)*TRANSPOSE(($D111:$E111))),0)</f>
        <v>834255.71542601916</v>
      </c>
      <c r="Q111" s="31" cm="1">
        <f t="array" ref="Q111">Q$105+IF($C111&lt;&gt;0,SUMPRODUCT((Q$106:Q$107)*TRANSPOSE(($D111:$E111))),0)</f>
        <v>834255.71542601916</v>
      </c>
      <c r="R111" s="31" cm="1">
        <f t="array" ref="R111">R$105+IF($C111&lt;&gt;0,SUMPRODUCT((R$106:R$107)*TRANSPOSE(($D111:$E111))),0)</f>
        <v>834255.71542601916</v>
      </c>
      <c r="S111" s="31" cm="1">
        <f t="array" ref="S111">S$105+IF($C111&lt;&gt;0,SUMPRODUCT((S$106:S$107)*TRANSPOSE(($D111:$E111))),0)</f>
        <v>834255.71542601916</v>
      </c>
      <c r="T111" s="31" cm="1">
        <f t="array" ref="T111">T$105+IF($C111&lt;&gt;0,SUMPRODUCT((T$106:T$107)*TRANSPOSE(($D111:$E111))),0)</f>
        <v>834255.71542601916</v>
      </c>
      <c r="U111" s="31" cm="1">
        <f t="array" ref="U111">U$105+IF($C111&lt;&gt;0,SUMPRODUCT((U$106:U$107)*TRANSPOSE(($D111:$E111))),0)</f>
        <v>834255.71542601916</v>
      </c>
      <c r="V111" s="31" cm="1">
        <f t="array" ref="V111">V$105+IF($C111&lt;&gt;0,SUMPRODUCT((V$106:V$107)*TRANSPOSE(($D111:$E111))),0)</f>
        <v>449209.5458187894</v>
      </c>
      <c r="W111" s="31" cm="1">
        <f t="array" ref="W111">W$105+IF($C111&lt;&gt;0,SUMPRODUCT((W$106:W$107)*TRANSPOSE(($D111:$E111))),0)</f>
        <v>449209.5458187894</v>
      </c>
      <c r="X111" s="31" cm="1">
        <f t="array" ref="X111">X$105+IF($C111&lt;&gt;0,SUMPRODUCT((X$106:X$107)*TRANSPOSE(($D111:$E111))),0)</f>
        <v>449209.5458187894</v>
      </c>
      <c r="Y111" s="31" cm="1">
        <f t="array" ref="Y111">Y$105+IF($C111&lt;&gt;0,SUMPRODUCT((Y$106:Y$107)*TRANSPOSE(($D111:$E111))),0)</f>
        <v>449209.5458187894</v>
      </c>
      <c r="Z111" s="31" cm="1">
        <f t="array" ref="Z111">Z$105+IF($C111&lt;&gt;0,SUMPRODUCT((Z$106:Z$107)*TRANSPOSE(($D111:$E111))),0)</f>
        <v>449209.5458187894</v>
      </c>
      <c r="AA111" s="31" cm="1">
        <f t="array" ref="AA111">AA$105+IF($C111&lt;&gt;0,SUMPRODUCT((AA$106:AA$107)*TRANSPOSE(($D111:$E111))),0)</f>
        <v>449209.5458187894</v>
      </c>
      <c r="AB111" s="31" cm="1">
        <f t="array" ref="AB111">AB$105+IF($C111&lt;&gt;0,SUMPRODUCT((AB$106:AB$107)*TRANSPOSE(($D111:$E111))),0)</f>
        <v>449209.5458187894</v>
      </c>
      <c r="AC111" s="31" cm="1">
        <f t="array" ref="AC111">AC$105+IF($C111&lt;&gt;0,SUMPRODUCT((AC$106:AC$107)*TRANSPOSE(($D111:$E111))),0)</f>
        <v>449209.5458187894</v>
      </c>
      <c r="AD111" s="31" cm="1">
        <f t="array" ref="AD111">AD$105+IF($C111&lt;&gt;0,SUMPRODUCT((AD$106:AD$107)*TRANSPOSE(($D111:$E111))),0)</f>
        <v>449209.5458187894</v>
      </c>
      <c r="AE111" s="31" cm="1">
        <f t="array" ref="AE111">AE$105+IF($C111&lt;&gt;0,SUMPRODUCT((AE$106:AE$107)*TRANSPOSE(($D111:$E111))),0)</f>
        <v>449209.5458187894</v>
      </c>
      <c r="AF111" s="31" cm="1">
        <f t="array" ref="AF111">AF$105+IF($C111&lt;&gt;0,SUMPRODUCT((AF$106:AF$107)*TRANSPOSE(($D111:$E111))),0)</f>
        <v>449209.5458187894</v>
      </c>
      <c r="AG111" s="31" cm="1">
        <f t="array" ref="AG111">AG$105+IF($C111&lt;&gt;0,SUMPRODUCT((AG$106:AG$107)*TRANSPOSE(($D111:$E111))),0)</f>
        <v>64163.376211558905</v>
      </c>
    </row>
    <row r="112" spans="1:43" x14ac:dyDescent="0.2">
      <c r="A112" s="1" t="str">
        <f>"sens"&amp;Assumptions!B114</f>
        <v>sens4</v>
      </c>
      <c r="C112" s="303" t="str">
        <f>Assumptions!C114</f>
        <v>Total benefits 10% lower</v>
      </c>
      <c r="D112" s="304">
        <f>Assumptions!G114</f>
        <v>0</v>
      </c>
      <c r="E112" s="304">
        <f>Assumptions!H114</f>
        <v>-0.1</v>
      </c>
      <c r="G112" s="38" t="str">
        <f t="shared" si="20"/>
        <v>Option 2sens4</v>
      </c>
      <c r="I112" s="31" cm="1">
        <f t="array" ref="I112">I$105+IF($C112&lt;&gt;0,SUMPRODUCT((I$106:I$107)*TRANSPOSE(($D112:$E112))),0)</f>
        <v>630075.55026637646</v>
      </c>
      <c r="J112" s="31" cm="1">
        <f t="array" ref="J112">J$105+IF($C112&lt;&gt;0,SUMPRODUCT((J$106:J$107)*TRANSPOSE(($D112:$E112))),0)</f>
        <v>520720.08522818092</v>
      </c>
      <c r="K112" s="31" cm="1">
        <f t="array" ref="K112">K$105+IF($C112&lt;&gt;0,SUMPRODUCT((K$106:K$107)*TRANSPOSE(($D112:$E112))),0)</f>
        <v>726402.39532317396</v>
      </c>
      <c r="L112" s="31" cm="1">
        <f t="array" ref="L112">L$105+IF($C112&lt;&gt;0,SUMPRODUCT((L$106:L$107)*TRANSPOSE(($D112:$E112))),0)</f>
        <v>619391.78431113868</v>
      </c>
      <c r="M112" s="31" cm="1">
        <f t="array" ref="M112">M$105+IF($C112&lt;&gt;0,SUMPRODUCT((M$106:M$107)*TRANSPOSE(($D112:$E112))),0)</f>
        <v>827418.94843229139</v>
      </c>
      <c r="N112" s="31" cm="1">
        <f t="array" ref="N112">N$105+IF($C112&lt;&gt;0,SUMPRODUCT((N$106:N$107)*TRANSPOSE(($D112:$E112))),0)</f>
        <v>407715.41631322779</v>
      </c>
      <c r="O112" s="31" cm="1">
        <f t="array" ref="O112">O$105+IF($C112&lt;&gt;0,SUMPRODUCT((O$106:O$107)*TRANSPOSE(($D112:$E112))),0)</f>
        <v>618087.43446054077</v>
      </c>
      <c r="P112" s="31" cm="1">
        <f t="array" ref="P112">P$105+IF($C112&lt;&gt;0,SUMPRODUCT((P$106:P$107)*TRANSPOSE(($D112:$E112))),0)</f>
        <v>554222.13752985187</v>
      </c>
      <c r="Q112" s="31" cm="1">
        <f t="array" ref="Q112">Q$105+IF($C112&lt;&gt;0,SUMPRODUCT((Q$106:Q$107)*TRANSPOSE(($D112:$E112))),0)</f>
        <v>554222.13752985187</v>
      </c>
      <c r="R112" s="31" cm="1">
        <f t="array" ref="R112">R$105+IF($C112&lt;&gt;0,SUMPRODUCT((R$106:R$107)*TRANSPOSE(($D112:$E112))),0)</f>
        <v>554222.13752985187</v>
      </c>
      <c r="S112" s="31" cm="1">
        <f t="array" ref="S112">S$105+IF($C112&lt;&gt;0,SUMPRODUCT((S$106:S$107)*TRANSPOSE(($D112:$E112))),0)</f>
        <v>554222.13752985187</v>
      </c>
      <c r="T112" s="31" cm="1">
        <f t="array" ref="T112">T$105+IF($C112&lt;&gt;0,SUMPRODUCT((T$106:T$107)*TRANSPOSE(($D112:$E112))),0)</f>
        <v>554222.13752985187</v>
      </c>
      <c r="U112" s="31" cm="1">
        <f t="array" ref="U112">U$105+IF($C112&lt;&gt;0,SUMPRODUCT((U$106:U$107)*TRANSPOSE(($D112:$E112))),0)</f>
        <v>554222.13752985187</v>
      </c>
      <c r="V112" s="31" cm="1">
        <f t="array" ref="V112">V$105+IF($C112&lt;&gt;0,SUMPRODUCT((V$106:V$107)*TRANSPOSE(($D112:$E112))),0)</f>
        <v>239184.36239666375</v>
      </c>
      <c r="W112" s="31" cm="1">
        <f t="array" ref="W112">W$105+IF($C112&lt;&gt;0,SUMPRODUCT((W$106:W$107)*TRANSPOSE(($D112:$E112))),0)</f>
        <v>239184.36239666375</v>
      </c>
      <c r="X112" s="31" cm="1">
        <f t="array" ref="X112">X$105+IF($C112&lt;&gt;0,SUMPRODUCT((X$106:X$107)*TRANSPOSE(($D112:$E112))),0)</f>
        <v>239184.36239666375</v>
      </c>
      <c r="Y112" s="31" cm="1">
        <f t="array" ref="Y112">Y$105+IF($C112&lt;&gt;0,SUMPRODUCT((Y$106:Y$107)*TRANSPOSE(($D112:$E112))),0)</f>
        <v>239184.36239666375</v>
      </c>
      <c r="Z112" s="31" cm="1">
        <f t="array" ref="Z112">Z$105+IF($C112&lt;&gt;0,SUMPRODUCT((Z$106:Z$107)*TRANSPOSE(($D112:$E112))),0)</f>
        <v>239184.36239666375</v>
      </c>
      <c r="AA112" s="31" cm="1">
        <f t="array" ref="AA112">AA$105+IF($C112&lt;&gt;0,SUMPRODUCT((AA$106:AA$107)*TRANSPOSE(($D112:$E112))),0)</f>
        <v>239184.36239666375</v>
      </c>
      <c r="AB112" s="31" cm="1">
        <f t="array" ref="AB112">AB$105+IF($C112&lt;&gt;0,SUMPRODUCT((AB$106:AB$107)*TRANSPOSE(($D112:$E112))),0)</f>
        <v>239184.36239666375</v>
      </c>
      <c r="AC112" s="31" cm="1">
        <f t="array" ref="AC112">AC$105+IF($C112&lt;&gt;0,SUMPRODUCT((AC$106:AC$107)*TRANSPOSE(($D112:$E112))),0)</f>
        <v>239184.36239666375</v>
      </c>
      <c r="AD112" s="31" cm="1">
        <f t="array" ref="AD112">AD$105+IF($C112&lt;&gt;0,SUMPRODUCT((AD$106:AD$107)*TRANSPOSE(($D112:$E112))),0)</f>
        <v>239184.36239666375</v>
      </c>
      <c r="AE112" s="31" cm="1">
        <f t="array" ref="AE112">AE$105+IF($C112&lt;&gt;0,SUMPRODUCT((AE$106:AE$107)*TRANSPOSE(($D112:$E112))),0)</f>
        <v>239184.36239666375</v>
      </c>
      <c r="AF112" s="31" cm="1">
        <f t="array" ref="AF112">AF$105+IF($C112&lt;&gt;0,SUMPRODUCT((AF$106:AF$107)*TRANSPOSE(($D112:$E112))),0)</f>
        <v>239184.36239666375</v>
      </c>
      <c r="AG112" s="31" cm="1">
        <f t="array" ref="AG112">AG$105+IF($C112&lt;&gt;0,SUMPRODUCT((AG$106:AG$107)*TRANSPOSE(($D112:$E112))),0)</f>
        <v>-75853.412736524799</v>
      </c>
    </row>
    <row r="113" spans="1:33" x14ac:dyDescent="0.2">
      <c r="A113" s="1" t="str">
        <f>"sens"&amp;Assumptions!B115</f>
        <v>sens5</v>
      </c>
      <c r="C113" s="303" t="str">
        <f>Assumptions!C115</f>
        <v>Capex 10% higher &amp; Total benefits 10% lower</v>
      </c>
      <c r="D113" s="304">
        <f>Assumptions!G115</f>
        <v>0.1</v>
      </c>
      <c r="E113" s="304">
        <f>Assumptions!H115</f>
        <v>-0.1</v>
      </c>
      <c r="G113" s="38" t="str">
        <f t="shared" si="20"/>
        <v>Option 2sens5</v>
      </c>
      <c r="I113" s="31" cm="1">
        <f t="array" ref="I113">I$105+IF($C113&lt;&gt;0,SUMPRODUCT((I$106:I$107)*TRANSPOSE(($D113:$E113))),0)</f>
        <v>630075.55026637646</v>
      </c>
      <c r="J113" s="31" cm="1">
        <f t="array" ref="J113">J$105+IF($C113&lt;&gt;0,SUMPRODUCT((J$106:J$107)*TRANSPOSE(($D113:$E113))),0)</f>
        <v>509784.53872436134</v>
      </c>
      <c r="K113" s="31" cm="1">
        <f t="array" ref="K113">K$105+IF($C113&lt;&gt;0,SUMPRODUCT((K$106:K$107)*TRANSPOSE(($D113:$E113))),0)</f>
        <v>704531.30231553479</v>
      </c>
      <c r="L113" s="31" cm="1">
        <f t="array" ref="L113">L$105+IF($C113&lt;&gt;0,SUMPRODUCT((L$106:L$107)*TRANSPOSE(($D113:$E113))),0)</f>
        <v>586819.63020229607</v>
      </c>
      <c r="M113" s="31" cm="1">
        <f t="array" ref="M113">M$105+IF($C113&lt;&gt;0,SUMPRODUCT((M$106:M$107)*TRANSPOSE(($D113:$E113))),0)</f>
        <v>784145.73322224524</v>
      </c>
      <c r="N113" s="31" cm="1">
        <f t="array" ref="N113">N$105+IF($C113&lt;&gt;0,SUMPRODUCT((N$106:N$107)*TRANSPOSE(($D113:$E113))),0)</f>
        <v>353975.62540459406</v>
      </c>
      <c r="O113" s="31" cm="1">
        <f t="array" ref="O113">O$105+IF($C113&lt;&gt;0,SUMPRODUCT((O$106:O$107)*TRANSPOSE(($D113:$E113))),0)</f>
        <v>553881.06785331946</v>
      </c>
      <c r="P113" s="31" cm="1">
        <f t="array" ref="P113">P$105+IF($C113&lt;&gt;0,SUMPRODUCT((P$106:P$107)*TRANSPOSE(($D113:$E113))),0)</f>
        <v>483629.24122956168</v>
      </c>
      <c r="Q113" s="31" cm="1">
        <f t="array" ref="Q113">Q$105+IF($C113&lt;&gt;0,SUMPRODUCT((Q$106:Q$107)*TRANSPOSE(($D113:$E113))),0)</f>
        <v>483629.24122956168</v>
      </c>
      <c r="R113" s="31" cm="1">
        <f t="array" ref="R113">R$105+IF($C113&lt;&gt;0,SUMPRODUCT((R$106:R$107)*TRANSPOSE(($D113:$E113))),0)</f>
        <v>483629.24122956168</v>
      </c>
      <c r="S113" s="31" cm="1">
        <f t="array" ref="S113">S$105+IF($C113&lt;&gt;0,SUMPRODUCT((S$106:S$107)*TRANSPOSE(($D113:$E113))),0)</f>
        <v>483629.24122956168</v>
      </c>
      <c r="T113" s="31" cm="1">
        <f t="array" ref="T113">T$105+IF($C113&lt;&gt;0,SUMPRODUCT((T$106:T$107)*TRANSPOSE(($D113:$E113))),0)</f>
        <v>483629.24122956168</v>
      </c>
      <c r="U113" s="31" cm="1">
        <f t="array" ref="U113">U$105+IF($C113&lt;&gt;0,SUMPRODUCT((U$106:U$107)*TRANSPOSE(($D113:$E113))),0)</f>
        <v>483629.24122956168</v>
      </c>
      <c r="V113" s="31" cm="1">
        <f t="array" ref="V113">V$105+IF($C113&lt;&gt;0,SUMPRODUCT((V$106:V$107)*TRANSPOSE(($D113:$E113))),0)</f>
        <v>168591.46609637362</v>
      </c>
      <c r="W113" s="31" cm="1">
        <f t="array" ref="W113">W$105+IF($C113&lt;&gt;0,SUMPRODUCT((W$106:W$107)*TRANSPOSE(($D113:$E113))),0)</f>
        <v>168591.46609637362</v>
      </c>
      <c r="X113" s="31" cm="1">
        <f t="array" ref="X113">X$105+IF($C113&lt;&gt;0,SUMPRODUCT((X$106:X$107)*TRANSPOSE(($D113:$E113))),0)</f>
        <v>168591.46609637362</v>
      </c>
      <c r="Y113" s="31" cm="1">
        <f t="array" ref="Y113">Y$105+IF($C113&lt;&gt;0,SUMPRODUCT((Y$106:Y$107)*TRANSPOSE(($D113:$E113))),0)</f>
        <v>168591.46609637362</v>
      </c>
      <c r="Z113" s="31" cm="1">
        <f t="array" ref="Z113">Z$105+IF($C113&lt;&gt;0,SUMPRODUCT((Z$106:Z$107)*TRANSPOSE(($D113:$E113))),0)</f>
        <v>168591.46609637362</v>
      </c>
      <c r="AA113" s="31" cm="1">
        <f t="array" ref="AA113">AA$105+IF($C113&lt;&gt;0,SUMPRODUCT((AA$106:AA$107)*TRANSPOSE(($D113:$E113))),0)</f>
        <v>168591.46609637362</v>
      </c>
      <c r="AB113" s="31" cm="1">
        <f t="array" ref="AB113">AB$105+IF($C113&lt;&gt;0,SUMPRODUCT((AB$106:AB$107)*TRANSPOSE(($D113:$E113))),0)</f>
        <v>168591.46609637362</v>
      </c>
      <c r="AC113" s="31" cm="1">
        <f t="array" ref="AC113">AC$105+IF($C113&lt;&gt;0,SUMPRODUCT((AC$106:AC$107)*TRANSPOSE(($D113:$E113))),0)</f>
        <v>168591.46609637362</v>
      </c>
      <c r="AD113" s="31" cm="1">
        <f t="array" ref="AD113">AD$105+IF($C113&lt;&gt;0,SUMPRODUCT((AD$106:AD$107)*TRANSPOSE(($D113:$E113))),0)</f>
        <v>168591.46609637362</v>
      </c>
      <c r="AE113" s="31" cm="1">
        <f t="array" ref="AE113">AE$105+IF($C113&lt;&gt;0,SUMPRODUCT((AE$106:AE$107)*TRANSPOSE(($D113:$E113))),0)</f>
        <v>168591.46609637362</v>
      </c>
      <c r="AF113" s="31" cm="1">
        <f t="array" ref="AF113">AF$105+IF($C113&lt;&gt;0,SUMPRODUCT((AF$106:AF$107)*TRANSPOSE(($D113:$E113))),0)</f>
        <v>168591.46609637362</v>
      </c>
      <c r="AG113" s="31" cm="1">
        <f t="array" ref="AG113">AG$105+IF($C113&lt;&gt;0,SUMPRODUCT((AG$106:AG$107)*TRANSPOSE(($D113:$E113))),0)</f>
        <v>-146446.30903681496</v>
      </c>
    </row>
    <row r="114" spans="1:33" x14ac:dyDescent="0.2">
      <c r="A114" s="1" t="str">
        <f>"sens"&amp;Assumptions!B116</f>
        <v>sens</v>
      </c>
      <c r="C114" s="303">
        <f>Assumptions!C116</f>
        <v>0</v>
      </c>
      <c r="D114" s="304">
        <f>Assumptions!G116</f>
        <v>0</v>
      </c>
      <c r="E114" s="304">
        <f>Assumptions!H116</f>
        <v>0</v>
      </c>
      <c r="G114" s="38" t="str">
        <f t="shared" si="20"/>
        <v>Option 2sens</v>
      </c>
      <c r="I114" s="31" cm="1">
        <f t="array" ref="I114">I$105+IF($C114&lt;&gt;0,SUMPRODUCT((I$106:I$107)*TRANSPOSE(($D114:$E114))),0)</f>
        <v>700083.94474041834</v>
      </c>
      <c r="J114" s="31" cm="1">
        <f t="array" ref="J114">J$105+IF($C114&lt;&gt;0,SUMPRODUCT((J$106:J$107)*TRANSPOSE(($D114:$E114))),0)</f>
        <v>590728.47970222274</v>
      </c>
      <c r="K114" s="31" cm="1">
        <f t="array" ref="K114">K$105+IF($C114&lt;&gt;0,SUMPRODUCT((K$106:K$107)*TRANSPOSE(($D114:$E114))),0)</f>
        <v>831414.98703423678</v>
      </c>
      <c r="L114" s="31" cm="1">
        <f t="array" ref="L114">L$105+IF($C114&lt;&gt;0,SUMPRODUCT((L$106:L$107)*TRANSPOSE(($D114:$E114))),0)</f>
        <v>724404.3760222015</v>
      </c>
      <c r="M114" s="31" cm="1">
        <f t="array" ref="M114">M$105+IF($C114&lt;&gt;0,SUMPRODUCT((M$106:M$107)*TRANSPOSE(($D114:$E114))),0)</f>
        <v>967435.73738037515</v>
      </c>
      <c r="N114" s="31" cm="1">
        <f t="array" ref="N114">N$105+IF($C114&lt;&gt;0,SUMPRODUCT((N$106:N$107)*TRANSPOSE(($D114:$E114))),0)</f>
        <v>512728.00802429055</v>
      </c>
      <c r="O114" s="31" cm="1">
        <f t="array" ref="O114">O$105+IF($C114&lt;&gt;0,SUMPRODUCT((O$106:O$107)*TRANSPOSE(($D114:$E114))),0)</f>
        <v>758104.22340862441</v>
      </c>
      <c r="P114" s="31" cm="1">
        <f t="array" ref="P114">P$105+IF($C114&lt;&gt;0,SUMPRODUCT((P$106:P$107)*TRANSPOSE(($D114:$E114))),0)</f>
        <v>694238.92647793551</v>
      </c>
      <c r="Q114" s="31" cm="1">
        <f t="array" ref="Q114">Q$105+IF($C114&lt;&gt;0,SUMPRODUCT((Q$106:Q$107)*TRANSPOSE(($D114:$E114))),0)</f>
        <v>694238.92647793551</v>
      </c>
      <c r="R114" s="31" cm="1">
        <f t="array" ref="R114">R$105+IF($C114&lt;&gt;0,SUMPRODUCT((R$106:R$107)*TRANSPOSE(($D114:$E114))),0)</f>
        <v>694238.92647793551</v>
      </c>
      <c r="S114" s="31" cm="1">
        <f t="array" ref="S114">S$105+IF($C114&lt;&gt;0,SUMPRODUCT((S$106:S$107)*TRANSPOSE(($D114:$E114))),0)</f>
        <v>694238.92647793551</v>
      </c>
      <c r="T114" s="31" cm="1">
        <f t="array" ref="T114">T$105+IF($C114&lt;&gt;0,SUMPRODUCT((T$106:T$107)*TRANSPOSE(($D114:$E114))),0)</f>
        <v>694238.92647793551</v>
      </c>
      <c r="U114" s="31" cm="1">
        <f t="array" ref="U114">U$105+IF($C114&lt;&gt;0,SUMPRODUCT((U$106:U$107)*TRANSPOSE(($D114:$E114))),0)</f>
        <v>694238.92647793551</v>
      </c>
      <c r="V114" s="31" cm="1">
        <f t="array" ref="V114">V$105+IF($C114&lt;&gt;0,SUMPRODUCT((V$106:V$107)*TRANSPOSE(($D114:$E114))),0)</f>
        <v>344196.95410772657</v>
      </c>
      <c r="W114" s="31" cm="1">
        <f t="array" ref="W114">W$105+IF($C114&lt;&gt;0,SUMPRODUCT((W$106:W$107)*TRANSPOSE(($D114:$E114))),0)</f>
        <v>344196.95410772657</v>
      </c>
      <c r="X114" s="31" cm="1">
        <f t="array" ref="X114">X$105+IF($C114&lt;&gt;0,SUMPRODUCT((X$106:X$107)*TRANSPOSE(($D114:$E114))),0)</f>
        <v>344196.95410772657</v>
      </c>
      <c r="Y114" s="31" cm="1">
        <f t="array" ref="Y114">Y$105+IF($C114&lt;&gt;0,SUMPRODUCT((Y$106:Y$107)*TRANSPOSE(($D114:$E114))),0)</f>
        <v>344196.95410772657</v>
      </c>
      <c r="Z114" s="31" cm="1">
        <f t="array" ref="Z114">Z$105+IF($C114&lt;&gt;0,SUMPRODUCT((Z$106:Z$107)*TRANSPOSE(($D114:$E114))),0)</f>
        <v>344196.95410772657</v>
      </c>
      <c r="AA114" s="31" cm="1">
        <f t="array" ref="AA114">AA$105+IF($C114&lt;&gt;0,SUMPRODUCT((AA$106:AA$107)*TRANSPOSE(($D114:$E114))),0)</f>
        <v>344196.95410772657</v>
      </c>
      <c r="AB114" s="31" cm="1">
        <f t="array" ref="AB114">AB$105+IF($C114&lt;&gt;0,SUMPRODUCT((AB$106:AB$107)*TRANSPOSE(($D114:$E114))),0)</f>
        <v>344196.95410772657</v>
      </c>
      <c r="AC114" s="31" cm="1">
        <f t="array" ref="AC114">AC$105+IF($C114&lt;&gt;0,SUMPRODUCT((AC$106:AC$107)*TRANSPOSE(($D114:$E114))),0)</f>
        <v>344196.95410772657</v>
      </c>
      <c r="AD114" s="31" cm="1">
        <f t="array" ref="AD114">AD$105+IF($C114&lt;&gt;0,SUMPRODUCT((AD$106:AD$107)*TRANSPOSE(($D114:$E114))),0)</f>
        <v>344196.95410772657</v>
      </c>
      <c r="AE114" s="31" cm="1">
        <f t="array" ref="AE114">AE$105+IF($C114&lt;&gt;0,SUMPRODUCT((AE$106:AE$107)*TRANSPOSE(($D114:$E114))),0)</f>
        <v>344196.95410772657</v>
      </c>
      <c r="AF114" s="31" cm="1">
        <f t="array" ref="AF114">AF$105+IF($C114&lt;&gt;0,SUMPRODUCT((AF$106:AF$107)*TRANSPOSE(($D114:$E114))),0)</f>
        <v>344196.95410772657</v>
      </c>
      <c r="AG114" s="31" cm="1">
        <f t="array" ref="AG114">AG$105+IF($C114&lt;&gt;0,SUMPRODUCT((AG$106:AG$107)*TRANSPOSE(($D114:$E114))),0)</f>
        <v>-5845.0182624829467</v>
      </c>
    </row>
    <row r="115" spans="1:33" x14ac:dyDescent="0.2">
      <c r="A115" s="1" t="str">
        <f>"sens"&amp;Assumptions!B117</f>
        <v>sens</v>
      </c>
      <c r="C115" s="303">
        <f>Assumptions!C117</f>
        <v>0</v>
      </c>
      <c r="D115" s="304">
        <f>Assumptions!G117</f>
        <v>0</v>
      </c>
      <c r="E115" s="304">
        <f>Assumptions!H117</f>
        <v>0</v>
      </c>
      <c r="G115" s="38" t="str">
        <f t="shared" si="20"/>
        <v>Option 2sens</v>
      </c>
      <c r="I115" s="31" cm="1">
        <f t="array" ref="I115">I$105+IF($C115&lt;&gt;0,SUMPRODUCT((I$106:I$107)*TRANSPOSE(($D115:$E115))),0)</f>
        <v>700083.94474041834</v>
      </c>
      <c r="J115" s="31" cm="1">
        <f t="array" ref="J115">J$105+IF($C115&lt;&gt;0,SUMPRODUCT((J$106:J$107)*TRANSPOSE(($D115:$E115))),0)</f>
        <v>590728.47970222274</v>
      </c>
      <c r="K115" s="31" cm="1">
        <f t="array" ref="K115">K$105+IF($C115&lt;&gt;0,SUMPRODUCT((K$106:K$107)*TRANSPOSE(($D115:$E115))),0)</f>
        <v>831414.98703423678</v>
      </c>
      <c r="L115" s="31" cm="1">
        <f t="array" ref="L115">L$105+IF($C115&lt;&gt;0,SUMPRODUCT((L$106:L$107)*TRANSPOSE(($D115:$E115))),0)</f>
        <v>724404.3760222015</v>
      </c>
      <c r="M115" s="31" cm="1">
        <f t="array" ref="M115">M$105+IF($C115&lt;&gt;0,SUMPRODUCT((M$106:M$107)*TRANSPOSE(($D115:$E115))),0)</f>
        <v>967435.73738037515</v>
      </c>
      <c r="N115" s="31" cm="1">
        <f t="array" ref="N115">N$105+IF($C115&lt;&gt;0,SUMPRODUCT((N$106:N$107)*TRANSPOSE(($D115:$E115))),0)</f>
        <v>512728.00802429055</v>
      </c>
      <c r="O115" s="31" cm="1">
        <f t="array" ref="O115">O$105+IF($C115&lt;&gt;0,SUMPRODUCT((O$106:O$107)*TRANSPOSE(($D115:$E115))),0)</f>
        <v>758104.22340862441</v>
      </c>
      <c r="P115" s="31" cm="1">
        <f t="array" ref="P115">P$105+IF($C115&lt;&gt;0,SUMPRODUCT((P$106:P$107)*TRANSPOSE(($D115:$E115))),0)</f>
        <v>694238.92647793551</v>
      </c>
      <c r="Q115" s="31" cm="1">
        <f t="array" ref="Q115">Q$105+IF($C115&lt;&gt;0,SUMPRODUCT((Q$106:Q$107)*TRANSPOSE(($D115:$E115))),0)</f>
        <v>694238.92647793551</v>
      </c>
      <c r="R115" s="31" cm="1">
        <f t="array" ref="R115">R$105+IF($C115&lt;&gt;0,SUMPRODUCT((R$106:R$107)*TRANSPOSE(($D115:$E115))),0)</f>
        <v>694238.92647793551</v>
      </c>
      <c r="S115" s="31" cm="1">
        <f t="array" ref="S115">S$105+IF($C115&lt;&gt;0,SUMPRODUCT((S$106:S$107)*TRANSPOSE(($D115:$E115))),0)</f>
        <v>694238.92647793551</v>
      </c>
      <c r="T115" s="31" cm="1">
        <f t="array" ref="T115">T$105+IF($C115&lt;&gt;0,SUMPRODUCT((T$106:T$107)*TRANSPOSE(($D115:$E115))),0)</f>
        <v>694238.92647793551</v>
      </c>
      <c r="U115" s="31" cm="1">
        <f t="array" ref="U115">U$105+IF($C115&lt;&gt;0,SUMPRODUCT((U$106:U$107)*TRANSPOSE(($D115:$E115))),0)</f>
        <v>694238.92647793551</v>
      </c>
      <c r="V115" s="31" cm="1">
        <f t="array" ref="V115">V$105+IF($C115&lt;&gt;0,SUMPRODUCT((V$106:V$107)*TRANSPOSE(($D115:$E115))),0)</f>
        <v>344196.95410772657</v>
      </c>
      <c r="W115" s="31" cm="1">
        <f t="array" ref="W115">W$105+IF($C115&lt;&gt;0,SUMPRODUCT((W$106:W$107)*TRANSPOSE(($D115:$E115))),0)</f>
        <v>344196.95410772657</v>
      </c>
      <c r="X115" s="31" cm="1">
        <f t="array" ref="X115">X$105+IF($C115&lt;&gt;0,SUMPRODUCT((X$106:X$107)*TRANSPOSE(($D115:$E115))),0)</f>
        <v>344196.95410772657</v>
      </c>
      <c r="Y115" s="31" cm="1">
        <f t="array" ref="Y115">Y$105+IF($C115&lt;&gt;0,SUMPRODUCT((Y$106:Y$107)*TRANSPOSE(($D115:$E115))),0)</f>
        <v>344196.95410772657</v>
      </c>
      <c r="Z115" s="31" cm="1">
        <f t="array" ref="Z115">Z$105+IF($C115&lt;&gt;0,SUMPRODUCT((Z$106:Z$107)*TRANSPOSE(($D115:$E115))),0)</f>
        <v>344196.95410772657</v>
      </c>
      <c r="AA115" s="31" cm="1">
        <f t="array" ref="AA115">AA$105+IF($C115&lt;&gt;0,SUMPRODUCT((AA$106:AA$107)*TRANSPOSE(($D115:$E115))),0)</f>
        <v>344196.95410772657</v>
      </c>
      <c r="AB115" s="31" cm="1">
        <f t="array" ref="AB115">AB$105+IF($C115&lt;&gt;0,SUMPRODUCT((AB$106:AB$107)*TRANSPOSE(($D115:$E115))),0)</f>
        <v>344196.95410772657</v>
      </c>
      <c r="AC115" s="31" cm="1">
        <f t="array" ref="AC115">AC$105+IF($C115&lt;&gt;0,SUMPRODUCT((AC$106:AC$107)*TRANSPOSE(($D115:$E115))),0)</f>
        <v>344196.95410772657</v>
      </c>
      <c r="AD115" s="31" cm="1">
        <f t="array" ref="AD115">AD$105+IF($C115&lt;&gt;0,SUMPRODUCT((AD$106:AD$107)*TRANSPOSE(($D115:$E115))),0)</f>
        <v>344196.95410772657</v>
      </c>
      <c r="AE115" s="31" cm="1">
        <f t="array" ref="AE115">AE$105+IF($C115&lt;&gt;0,SUMPRODUCT((AE$106:AE$107)*TRANSPOSE(($D115:$E115))),0)</f>
        <v>344196.95410772657</v>
      </c>
      <c r="AF115" s="31" cm="1">
        <f t="array" ref="AF115">AF$105+IF($C115&lt;&gt;0,SUMPRODUCT((AF$106:AF$107)*TRANSPOSE(($D115:$E115))),0)</f>
        <v>344196.95410772657</v>
      </c>
      <c r="AG115" s="31" cm="1">
        <f t="array" ref="AG115">AG$105+IF($C115&lt;&gt;0,SUMPRODUCT((AG$106:AG$107)*TRANSPOSE(($D115:$E115))),0)</f>
        <v>-5845.0182624829467</v>
      </c>
    </row>
    <row r="116" spans="1:33" x14ac:dyDescent="0.2">
      <c r="A116" s="1" t="str">
        <f>"sens"&amp;Assumptions!B118</f>
        <v>sens</v>
      </c>
      <c r="C116" s="303">
        <f>Assumptions!C118</f>
        <v>0</v>
      </c>
      <c r="D116" s="304">
        <f>Assumptions!G118</f>
        <v>0</v>
      </c>
      <c r="E116" s="304">
        <f>Assumptions!H118</f>
        <v>0</v>
      </c>
      <c r="G116" s="38" t="str">
        <f t="shared" si="20"/>
        <v>Option 2sens</v>
      </c>
      <c r="I116" s="31" cm="1">
        <f t="array" ref="I116">I$105+IF($C116&lt;&gt;0,SUMPRODUCT((I$106:I$107)*TRANSPOSE(($D116:$E116))),0)</f>
        <v>700083.94474041834</v>
      </c>
      <c r="J116" s="31" cm="1">
        <f t="array" ref="J116">J$105+IF($C116&lt;&gt;0,SUMPRODUCT((J$106:J$107)*TRANSPOSE(($D116:$E116))),0)</f>
        <v>590728.47970222274</v>
      </c>
      <c r="K116" s="31" cm="1">
        <f t="array" ref="K116">K$105+IF($C116&lt;&gt;0,SUMPRODUCT((K$106:K$107)*TRANSPOSE(($D116:$E116))),0)</f>
        <v>831414.98703423678</v>
      </c>
      <c r="L116" s="31" cm="1">
        <f t="array" ref="L116">L$105+IF($C116&lt;&gt;0,SUMPRODUCT((L$106:L$107)*TRANSPOSE(($D116:$E116))),0)</f>
        <v>724404.3760222015</v>
      </c>
      <c r="M116" s="31" cm="1">
        <f t="array" ref="M116">M$105+IF($C116&lt;&gt;0,SUMPRODUCT((M$106:M$107)*TRANSPOSE(($D116:$E116))),0)</f>
        <v>967435.73738037515</v>
      </c>
      <c r="N116" s="31" cm="1">
        <f t="array" ref="N116">N$105+IF($C116&lt;&gt;0,SUMPRODUCT((N$106:N$107)*TRANSPOSE(($D116:$E116))),0)</f>
        <v>512728.00802429055</v>
      </c>
      <c r="O116" s="31" cm="1">
        <f t="array" ref="O116">O$105+IF($C116&lt;&gt;0,SUMPRODUCT((O$106:O$107)*TRANSPOSE(($D116:$E116))),0)</f>
        <v>758104.22340862441</v>
      </c>
      <c r="P116" s="31" cm="1">
        <f t="array" ref="P116">P$105+IF($C116&lt;&gt;0,SUMPRODUCT((P$106:P$107)*TRANSPOSE(($D116:$E116))),0)</f>
        <v>694238.92647793551</v>
      </c>
      <c r="Q116" s="31" cm="1">
        <f t="array" ref="Q116">Q$105+IF($C116&lt;&gt;0,SUMPRODUCT((Q$106:Q$107)*TRANSPOSE(($D116:$E116))),0)</f>
        <v>694238.92647793551</v>
      </c>
      <c r="R116" s="31" cm="1">
        <f t="array" ref="R116">R$105+IF($C116&lt;&gt;0,SUMPRODUCT((R$106:R$107)*TRANSPOSE(($D116:$E116))),0)</f>
        <v>694238.92647793551</v>
      </c>
      <c r="S116" s="31" cm="1">
        <f t="array" ref="S116">S$105+IF($C116&lt;&gt;0,SUMPRODUCT((S$106:S$107)*TRANSPOSE(($D116:$E116))),0)</f>
        <v>694238.92647793551</v>
      </c>
      <c r="T116" s="31" cm="1">
        <f t="array" ref="T116">T$105+IF($C116&lt;&gt;0,SUMPRODUCT((T$106:T$107)*TRANSPOSE(($D116:$E116))),0)</f>
        <v>694238.92647793551</v>
      </c>
      <c r="U116" s="31" cm="1">
        <f t="array" ref="U116">U$105+IF($C116&lt;&gt;0,SUMPRODUCT((U$106:U$107)*TRANSPOSE(($D116:$E116))),0)</f>
        <v>694238.92647793551</v>
      </c>
      <c r="V116" s="31" cm="1">
        <f t="array" ref="V116">V$105+IF($C116&lt;&gt;0,SUMPRODUCT((V$106:V$107)*TRANSPOSE(($D116:$E116))),0)</f>
        <v>344196.95410772657</v>
      </c>
      <c r="W116" s="31" cm="1">
        <f t="array" ref="W116">W$105+IF($C116&lt;&gt;0,SUMPRODUCT((W$106:W$107)*TRANSPOSE(($D116:$E116))),0)</f>
        <v>344196.95410772657</v>
      </c>
      <c r="X116" s="31" cm="1">
        <f t="array" ref="X116">X$105+IF($C116&lt;&gt;0,SUMPRODUCT((X$106:X$107)*TRANSPOSE(($D116:$E116))),0)</f>
        <v>344196.95410772657</v>
      </c>
      <c r="Y116" s="31" cm="1">
        <f t="array" ref="Y116">Y$105+IF($C116&lt;&gt;0,SUMPRODUCT((Y$106:Y$107)*TRANSPOSE(($D116:$E116))),0)</f>
        <v>344196.95410772657</v>
      </c>
      <c r="Z116" s="31" cm="1">
        <f t="array" ref="Z116">Z$105+IF($C116&lt;&gt;0,SUMPRODUCT((Z$106:Z$107)*TRANSPOSE(($D116:$E116))),0)</f>
        <v>344196.95410772657</v>
      </c>
      <c r="AA116" s="31" cm="1">
        <f t="array" ref="AA116">AA$105+IF($C116&lt;&gt;0,SUMPRODUCT((AA$106:AA$107)*TRANSPOSE(($D116:$E116))),0)</f>
        <v>344196.95410772657</v>
      </c>
      <c r="AB116" s="31" cm="1">
        <f t="array" ref="AB116">AB$105+IF($C116&lt;&gt;0,SUMPRODUCT((AB$106:AB$107)*TRANSPOSE(($D116:$E116))),0)</f>
        <v>344196.95410772657</v>
      </c>
      <c r="AC116" s="31" cm="1">
        <f t="array" ref="AC116">AC$105+IF($C116&lt;&gt;0,SUMPRODUCT((AC$106:AC$107)*TRANSPOSE(($D116:$E116))),0)</f>
        <v>344196.95410772657</v>
      </c>
      <c r="AD116" s="31" cm="1">
        <f t="array" ref="AD116">AD$105+IF($C116&lt;&gt;0,SUMPRODUCT((AD$106:AD$107)*TRANSPOSE(($D116:$E116))),0)</f>
        <v>344196.95410772657</v>
      </c>
      <c r="AE116" s="31" cm="1">
        <f t="array" ref="AE116">AE$105+IF($C116&lt;&gt;0,SUMPRODUCT((AE$106:AE$107)*TRANSPOSE(($D116:$E116))),0)</f>
        <v>344196.95410772657</v>
      </c>
      <c r="AF116" s="31" cm="1">
        <f t="array" ref="AF116">AF$105+IF($C116&lt;&gt;0,SUMPRODUCT((AF$106:AF$107)*TRANSPOSE(($D116:$E116))),0)</f>
        <v>344196.95410772657</v>
      </c>
      <c r="AG116" s="31" cm="1">
        <f t="array" ref="AG116">AG$105+IF($C116&lt;&gt;0,SUMPRODUCT((AG$106:AG$107)*TRANSPOSE(($D116:$E116))),0)</f>
        <v>-5845.0182624829467</v>
      </c>
    </row>
    <row r="117" spans="1:33" x14ac:dyDescent="0.2">
      <c r="E117" s="246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28" spans="1:33" x14ac:dyDescent="0.2">
      <c r="I128" s="251"/>
      <c r="J128" s="251"/>
      <c r="K128" s="251"/>
      <c r="L128" s="251"/>
    </row>
    <row r="129" spans="9:12" x14ac:dyDescent="0.2">
      <c r="I129" s="251"/>
      <c r="J129" s="251"/>
      <c r="K129" s="251"/>
      <c r="L129" s="251"/>
    </row>
    <row r="130" spans="9:12" x14ac:dyDescent="0.2">
      <c r="I130" s="251"/>
      <c r="J130" s="251"/>
      <c r="K130" s="251"/>
      <c r="L130" s="251"/>
    </row>
    <row r="131" spans="9:12" x14ac:dyDescent="0.2">
      <c r="I131" s="251"/>
      <c r="J131" s="251"/>
      <c r="K131" s="251"/>
      <c r="L131" s="251"/>
    </row>
    <row r="132" spans="9:12" x14ac:dyDescent="0.2">
      <c r="I132" s="251"/>
      <c r="J132" s="251"/>
      <c r="K132" s="251"/>
      <c r="L132" s="251"/>
    </row>
    <row r="133" spans="9:12" x14ac:dyDescent="0.2">
      <c r="I133" s="251"/>
      <c r="J133" s="251"/>
      <c r="K133" s="251"/>
      <c r="L133" s="251"/>
    </row>
    <row r="134" spans="9:12" x14ac:dyDescent="0.2">
      <c r="I134" s="251"/>
      <c r="J134" s="251"/>
      <c r="K134" s="251"/>
      <c r="L134" s="251"/>
    </row>
    <row r="135" spans="9:12" x14ac:dyDescent="0.2">
      <c r="I135" s="251"/>
      <c r="J135" s="251"/>
      <c r="K135" s="251"/>
      <c r="L135" s="251"/>
    </row>
  </sheetData>
  <conditionalFormatting sqref="E27">
    <cfRule type="expression" dxfId="11" priority="236">
      <formula>AND(SUM($I$26:$AG$26)&gt;0, $E$27=0)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6"/>
  <sheetViews>
    <sheetView showGridLines="0" zoomScale="90" zoomScaleNormal="90" workbookViewId="0">
      <pane xSplit="7" ySplit="10" topLeftCell="H11" activePane="bottomRight" state="frozen"/>
      <selection activeCell="I24" sqref="I24"/>
      <selection pane="topRight" activeCell="I24" sqref="I24"/>
      <selection pane="bottomLeft" activeCell="I24" sqref="I24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Replace compound filled cable terminations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5" t="s">
        <v>135</v>
      </c>
      <c r="B3" s="5"/>
      <c r="C3" s="202" t="str">
        <f>INDEX(Assumptions!$E$14:$E$18, MATCH(A3,_xlfn.ANCHORARRAY( Assumptions!$C$14),0))</f>
        <v>Replace over 7 years (3% failure rate)</v>
      </c>
    </row>
    <row r="4" spans="1:43" x14ac:dyDescent="0.2">
      <c r="A4" s="203" t="str">
        <f>(INDEX(Data!$D$9:$D$13, MATCH(A3, options,0)))</f>
        <v/>
      </c>
      <c r="B4" s="189"/>
      <c r="C4" s="240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2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6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3" x14ac:dyDescent="0.2">
      <c r="A12" s="3"/>
      <c r="B12" s="3"/>
      <c r="C12" s="3"/>
      <c r="D12" s="3"/>
      <c r="G12" s="207"/>
      <c r="AH12"/>
    </row>
    <row r="13" spans="1:43" x14ac:dyDescent="0.2">
      <c r="C13" s="3" t="s">
        <v>17</v>
      </c>
      <c r="D13"/>
      <c r="E13" s="126" t="s">
        <v>69</v>
      </c>
      <c r="G13" s="20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262</v>
      </c>
      <c r="D14"/>
      <c r="E14" s="151">
        <v>50</v>
      </c>
      <c r="G14" s="209">
        <f>input_dollars</f>
        <v>45291</v>
      </c>
      <c r="H14" s="152"/>
      <c r="I14" s="32">
        <f>INDEX(Workings_costs!G$13:G$17, MATCH($A$3, Workings_costs!$C$13:$C$17,0))*Workings_costs!$E$7</f>
        <v>2400000</v>
      </c>
      <c r="J14" s="32">
        <f>INDEX(Workings_costs!H$13:H$17, MATCH($A$3, Workings_costs!$C$13:$C$17,0))*Workings_costs!$E$7</f>
        <v>2400000</v>
      </c>
      <c r="K14" s="32">
        <f>INDEX(Workings_costs!I$13:I$17, MATCH($A$3, Workings_costs!$C$13:$C$17,0))*Workings_costs!$E$7</f>
        <v>2400000</v>
      </c>
      <c r="L14" s="32">
        <f>INDEX(Workings_costs!J$13:J$17, MATCH($A$3, Workings_costs!$C$13:$C$17,0))*Workings_costs!$E$7</f>
        <v>2400000</v>
      </c>
      <c r="M14" s="32">
        <f>INDEX(Workings_costs!K$13:K$17, MATCH($A$3, Workings_costs!$C$13:$C$17,0))*Workings_costs!$E$7</f>
        <v>2400000</v>
      </c>
      <c r="N14" s="32">
        <f>INDEX(Workings_costs!L$13:L$17, MATCH($A$3, Workings_costs!$C$13:$C$17,0))*Workings_costs!$E$7</f>
        <v>2400000</v>
      </c>
      <c r="O14" s="32">
        <f>INDEX(Workings_costs!M$13:M$17, MATCH($A$3, Workings_costs!$C$13:$C$17,0))*Workings_costs!$E$7</f>
        <v>897000.00000000012</v>
      </c>
      <c r="P14" s="32">
        <f>INDEX(Workings_costs!N$13:N$17, MATCH($A$3, Workings_costs!$C$13:$C$17,0))*Workings_costs!$E$7</f>
        <v>0</v>
      </c>
      <c r="Q14" s="32">
        <f>INDEX(Workings_costs!O$13:O$17, MATCH($A$3, Workings_costs!$C$13:$C$17,0))*Workings_costs!$E$7</f>
        <v>0</v>
      </c>
      <c r="R14" s="32">
        <f>INDEX(Workings_costs!P$13:P$17, MATCH($A$3, Workings_costs!$C$13:$C$17,0))*Workings_costs!$E$7</f>
        <v>0</v>
      </c>
      <c r="S14" s="32">
        <f>INDEX(Workings_costs!Q$13:Q$17, MATCH($A$3, Workings_costs!$C$13:$C$17,0))*Workings_costs!$E$7</f>
        <v>0</v>
      </c>
      <c r="T14" s="32">
        <f>INDEX(Workings_costs!R$13:R$17, MATCH($A$3, Workings_costs!$C$13:$C$17,0))*Workings_costs!$E$7</f>
        <v>0</v>
      </c>
      <c r="U14" s="32">
        <f>INDEX(Workings_costs!S$13:S$17, MATCH($A$3, Workings_costs!$C$13:$C$17,0))*Workings_costs!$E$7</f>
        <v>0</v>
      </c>
      <c r="V14" s="32">
        <f>INDEX(Workings_costs!T$13:T$17, MATCH($A$3, Workings_costs!$C$13:$C$17,0))*Workings_costs!$E$7</f>
        <v>0</v>
      </c>
      <c r="W14" s="32">
        <f>INDEX(Workings_costs!U$13:U$17, MATCH($A$3, Workings_costs!$C$13:$C$17,0))*Workings_costs!$E$7</f>
        <v>0</v>
      </c>
      <c r="X14" s="32">
        <f>INDEX(Workings_costs!V$13:V$17, MATCH($A$3, Workings_costs!$C$13:$C$17,0))*Workings_costs!$E$7</f>
        <v>0</v>
      </c>
      <c r="Y14" s="32">
        <f>INDEX(Workings_costs!W$13:W$17, MATCH($A$3, Workings_costs!$C$13:$C$17,0))*Workings_costs!$E$7</f>
        <v>0</v>
      </c>
      <c r="Z14" s="32">
        <f>INDEX(Workings_costs!X$13:X$17, MATCH($A$3, Workings_costs!$C$13:$C$17,0))*Workings_costs!$E$7</f>
        <v>0</v>
      </c>
      <c r="AA14" s="32">
        <f>INDEX(Workings_costs!Y$13:Y$17, MATCH($A$3, Workings_costs!$C$13:$C$17,0))*Workings_costs!$E$7</f>
        <v>0</v>
      </c>
      <c r="AB14" s="32">
        <f>INDEX(Workings_costs!Z$13:Z$17, MATCH($A$3, Workings_costs!$C$13:$C$17,0))*Workings_costs!$E$7</f>
        <v>0</v>
      </c>
      <c r="AC14" s="32">
        <f>INDEX(Workings_costs!AA$13:AA$17, MATCH($A$3, Workings_costs!$C$13:$C$17,0))*Workings_costs!$E$7</f>
        <v>0</v>
      </c>
      <c r="AD14" s="32">
        <f>INDEX(Workings_costs!AB$13:AB$17, MATCH($A$3, Workings_costs!$C$13:$C$17,0))*Workings_costs!$E$7</f>
        <v>0</v>
      </c>
      <c r="AE14" s="32">
        <f>INDEX(Workings_costs!AC$13:AC$17, MATCH($A$3, Workings_costs!$C$13:$C$17,0))*Workings_costs!$E$7</f>
        <v>0</v>
      </c>
      <c r="AF14" s="32">
        <f>INDEX(Workings_costs!AD$13:AD$17, MATCH($A$3, Workings_costs!$C$13:$C$17,0))*Workings_costs!$E$7</f>
        <v>0</v>
      </c>
      <c r="AG14" s="32">
        <f>INDEX(Workings_costs!AE$13:AE$17, MATCH($A$3, Workings_costs!$C$13:$C$17,0))*Workings_costs!$E$7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247</v>
      </c>
      <c r="D15"/>
      <c r="E15" s="151">
        <v>50</v>
      </c>
      <c r="G15" s="209">
        <f>input_dollars</f>
        <v>45291</v>
      </c>
      <c r="H15" s="2"/>
      <c r="I15" s="32">
        <f>INDEX(Workings_costs!G$21:G$25, MATCH($A$3, Workings_costs!$C$21:$C$25,0))*Workings_costs!$E$9</f>
        <v>275000</v>
      </c>
      <c r="J15" s="32">
        <f>INDEX(Workings_costs!H$21:H$25, MATCH($A$3, Workings_costs!$C$21:$C$25,0))*Workings_costs!$E$9</f>
        <v>220000</v>
      </c>
      <c r="K15" s="32">
        <f>INDEX(Workings_costs!I$21:I$25, MATCH($A$3, Workings_costs!$C$21:$C$25,0))*Workings_costs!$E$9</f>
        <v>165000</v>
      </c>
      <c r="L15" s="32">
        <f>INDEX(Workings_costs!J$21:J$25, MATCH($A$3, Workings_costs!$C$21:$C$25,0))*Workings_costs!$E$9</f>
        <v>165000</v>
      </c>
      <c r="M15" s="32">
        <f>INDEX(Workings_costs!K$21:K$25, MATCH($A$3, Workings_costs!$C$21:$C$25,0))*Workings_costs!$E$9</f>
        <v>110000</v>
      </c>
      <c r="N15" s="32">
        <f>INDEX(Workings_costs!L$21:L$25, MATCH($A$3, Workings_costs!$C$21:$C$25,0))*Workings_costs!$E$9</f>
        <v>55000</v>
      </c>
      <c r="O15" s="32">
        <f>INDEX(Workings_costs!M$21:M$25, MATCH($A$3, Workings_costs!$C$21:$C$25,0))*Workings_costs!$E$9</f>
        <v>0</v>
      </c>
      <c r="P15" s="32">
        <f>INDEX(Workings_costs!N$21:N$25, MATCH($A$3, Workings_costs!$C$21:$C$25,0))*Workings_costs!$E$9</f>
        <v>0</v>
      </c>
      <c r="Q15" s="32">
        <f>INDEX(Workings_costs!O$21:O$25, MATCH($A$3, Workings_costs!$C$21:$C$25,0))*Workings_costs!$E$9</f>
        <v>0</v>
      </c>
      <c r="R15" s="32">
        <f>INDEX(Workings_costs!P$21:P$25, MATCH($A$3, Workings_costs!$C$21:$C$25,0))*Workings_costs!$E$9</f>
        <v>0</v>
      </c>
      <c r="S15" s="32">
        <f>INDEX(Workings_costs!Q$21:Q$25, MATCH($A$3, Workings_costs!$C$21:$C$25,0))*Workings_costs!$E$9</f>
        <v>0</v>
      </c>
      <c r="T15" s="32">
        <f>INDEX(Workings_costs!R$21:R$25, MATCH($A$3, Workings_costs!$C$21:$C$25,0))*Workings_costs!$E$9</f>
        <v>0</v>
      </c>
      <c r="U15" s="32">
        <f>INDEX(Workings_costs!S$21:S$25, MATCH($A$3, Workings_costs!$C$21:$C$25,0))*Workings_costs!$E$9</f>
        <v>0</v>
      </c>
      <c r="V15" s="32">
        <f>INDEX(Workings_costs!T$21:T$25, MATCH($A$3, Workings_costs!$C$21:$C$25,0))*Workings_costs!$E$9</f>
        <v>0</v>
      </c>
      <c r="W15" s="32">
        <f>INDEX(Workings_costs!U$21:U$25, MATCH($A$3, Workings_costs!$C$21:$C$25,0))*Workings_costs!$E$9</f>
        <v>0</v>
      </c>
      <c r="X15" s="32">
        <f>INDEX(Workings_costs!V$21:V$25, MATCH($A$3, Workings_costs!$C$21:$C$25,0))*Workings_costs!$E$9</f>
        <v>0</v>
      </c>
      <c r="Y15" s="32">
        <f>INDEX(Workings_costs!W$21:W$25, MATCH($A$3, Workings_costs!$C$21:$C$25,0))*Workings_costs!$E$9</f>
        <v>0</v>
      </c>
      <c r="Z15" s="32">
        <f>INDEX(Workings_costs!X$21:X$25, MATCH($A$3, Workings_costs!$C$21:$C$25,0))*Workings_costs!$E$9</f>
        <v>0</v>
      </c>
      <c r="AA15" s="32">
        <f>INDEX(Workings_costs!Y$21:Y$25, MATCH($A$3, Workings_costs!$C$21:$C$25,0))*Workings_costs!$E$9</f>
        <v>0</v>
      </c>
      <c r="AB15" s="32">
        <f>INDEX(Workings_costs!Z$21:Z$25, MATCH($A$3, Workings_costs!$C$21:$C$25,0))*Workings_costs!$E$9</f>
        <v>0</v>
      </c>
      <c r="AC15" s="32">
        <f>INDEX(Workings_costs!AA$21:AA$25, MATCH($A$3, Workings_costs!$C$21:$C$25,0))*Workings_costs!$E$9</f>
        <v>0</v>
      </c>
      <c r="AD15" s="32">
        <f>INDEX(Workings_costs!AB$21:AB$25, MATCH($A$3, Workings_costs!$C$21:$C$25,0))*Workings_costs!$E$9</f>
        <v>0</v>
      </c>
      <c r="AE15" s="32">
        <f>INDEX(Workings_costs!AC$21:AC$25, MATCH($A$3, Workings_costs!$C$21:$C$25,0))*Workings_costs!$E$9</f>
        <v>0</v>
      </c>
      <c r="AF15" s="32">
        <f>INDEX(Workings_costs!AD$21:AD$25, MATCH($A$3, Workings_costs!$C$21:$C$25,0))*Workings_costs!$E$9</f>
        <v>0</v>
      </c>
      <c r="AG15" s="32">
        <f>INDEX(Workings_costs!AE$21:AE$25, MATCH($A$3, Workings_costs!$C$21:$C$25,0))*Workings_costs!$E$9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09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9">
        <f>input_dollars</f>
        <v>45291</v>
      </c>
      <c r="H17" s="107"/>
      <c r="I17" s="106">
        <f t="shared" ref="I17:Q17" si="0">SUM(I14:I16)</f>
        <v>2675000</v>
      </c>
      <c r="J17" s="106">
        <f t="shared" si="0"/>
        <v>2620000</v>
      </c>
      <c r="K17" s="106">
        <f t="shared" si="0"/>
        <v>2565000</v>
      </c>
      <c r="L17" s="106">
        <f t="shared" si="0"/>
        <v>2565000</v>
      </c>
      <c r="M17" s="106">
        <f t="shared" si="0"/>
        <v>2510000</v>
      </c>
      <c r="N17" s="106">
        <f t="shared" si="0"/>
        <v>2455000</v>
      </c>
      <c r="O17" s="106">
        <f t="shared" si="0"/>
        <v>897000.00000000012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9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7"/>
      <c r="AH20"/>
    </row>
    <row r="21" spans="1:43" x14ac:dyDescent="0.2">
      <c r="C21"/>
      <c r="D21"/>
      <c r="E21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268</v>
      </c>
      <c r="D24" s="111"/>
      <c r="E24" s="111"/>
      <c r="F24" s="111"/>
      <c r="G24" s="210"/>
      <c r="H24" s="111"/>
      <c r="I24" s="32">
        <f>INDEX(Workings_costs!G$21:G$25, MATCH($A$3, Workings_costs!$C$21:$C$25,0))</f>
        <v>5</v>
      </c>
      <c r="J24" s="32">
        <f>INDEX(Workings_costs!H$21:H$25, MATCH($A$3, Workings_costs!$C$21:$C$25,0))</f>
        <v>4</v>
      </c>
      <c r="K24" s="32">
        <f>INDEX(Workings_costs!I$21:I$25, MATCH($A$3, Workings_costs!$C$21:$C$25,0))</f>
        <v>3</v>
      </c>
      <c r="L24" s="32">
        <f>INDEX(Workings_costs!J$21:J$25, MATCH($A$3, Workings_costs!$C$21:$C$25,0))</f>
        <v>3</v>
      </c>
      <c r="M24" s="32">
        <f>INDEX(Workings_costs!K$21:K$25, MATCH($A$3, Workings_costs!$C$21:$C$25,0))</f>
        <v>2</v>
      </c>
      <c r="N24" s="32">
        <f>INDEX(Workings_costs!L$21:L$25, MATCH($A$3, Workings_costs!$C$21:$C$25,0))</f>
        <v>1</v>
      </c>
      <c r="O24" s="32">
        <f>INDEX(Workings_costs!M$21:M$25, MATCH($A$3, Workings_costs!$C$21:$C$25,0))</f>
        <v>0</v>
      </c>
      <c r="P24" s="32">
        <f>INDEX(Workings_costs!N$21:N$25, MATCH($A$3, Workings_costs!$C$21:$C$25,0))</f>
        <v>0</v>
      </c>
      <c r="Q24" s="32">
        <f>INDEX(Workings_costs!O$21:O$25, MATCH($A$3, Workings_costs!$C$21:$C$25,0))</f>
        <v>0</v>
      </c>
      <c r="R24" s="32">
        <f>INDEX(Workings_costs!P$21:P$25, MATCH($A$3, Workings_costs!$C$21:$C$25,0))</f>
        <v>0</v>
      </c>
      <c r="S24" s="32">
        <f>INDEX(Workings_costs!Q$21:Q$25, MATCH($A$3, Workings_costs!$C$21:$C$25,0))</f>
        <v>0</v>
      </c>
      <c r="T24" s="32">
        <f>INDEX(Workings_costs!R$21:R$25, MATCH($A$3, Workings_costs!$C$21:$C$25,0))</f>
        <v>0</v>
      </c>
      <c r="U24" s="32">
        <f>INDEX(Workings_costs!S$21:S$25, MATCH($A$3, Workings_costs!$C$21:$C$25,0))</f>
        <v>0</v>
      </c>
      <c r="V24" s="32">
        <f>INDEX(Workings_costs!T$21:T$25, MATCH($A$3, Workings_costs!$C$21:$C$25,0))</f>
        <v>0</v>
      </c>
      <c r="W24" s="32">
        <f>INDEX(Workings_costs!U$21:U$25, MATCH($A$3, Workings_costs!$C$21:$C$25,0))</f>
        <v>0</v>
      </c>
      <c r="X24" s="32">
        <f>INDEX(Workings_costs!V$21:V$25, MATCH($A$3, Workings_costs!$C$21:$C$25,0))</f>
        <v>0</v>
      </c>
      <c r="Y24" s="32">
        <f>INDEX(Workings_costs!W$21:W$25, MATCH($A$3, Workings_costs!$C$21:$C$25,0))</f>
        <v>0</v>
      </c>
      <c r="Z24" s="32">
        <f>INDEX(Workings_costs!X$21:X$25, MATCH($A$3, Workings_costs!$C$21:$C$25,0))</f>
        <v>0</v>
      </c>
      <c r="AA24" s="32">
        <f>INDEX(Workings_costs!Y$21:Y$25, MATCH($A$3, Workings_costs!$C$21:$C$25,0))</f>
        <v>0</v>
      </c>
      <c r="AB24" s="32">
        <f>INDEX(Workings_costs!Z$21:Z$25, MATCH($A$3, Workings_costs!$C$21:$C$25,0))</f>
        <v>0</v>
      </c>
      <c r="AC24" s="32">
        <f>INDEX(Workings_costs!AA$21:AA$25, MATCH($A$3, Workings_costs!$C$21:$C$25,0))</f>
        <v>0</v>
      </c>
      <c r="AD24" s="32">
        <f>INDEX(Workings_costs!AB$21:AB$25, MATCH($A$3, Workings_costs!$C$21:$C$25,0))</f>
        <v>0</v>
      </c>
      <c r="AE24" s="32">
        <f>INDEX(Workings_costs!AC$21:AC$25, MATCH($A$3, Workings_costs!$C$21:$C$25,0))</f>
        <v>0</v>
      </c>
      <c r="AF24" s="32">
        <f>INDEX(Workings_costs!AD$21:AD$25, MATCH($A$3, Workings_costs!$C$21:$C$25,0))</f>
        <v>0</v>
      </c>
      <c r="AG24" s="32">
        <f>INDEX(Workings_costs!AE$21:AE$25, MATCH($A$3, Workings_costs!$C$21:$C$25,0))</f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11"/>
      <c r="D25" s="210"/>
      <c r="E25" s="111"/>
      <c r="F25" s="111"/>
      <c r="G25" s="2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/>
      <c r="AI25"/>
      <c r="AJ25"/>
      <c r="AK25"/>
      <c r="AL25"/>
      <c r="AM25"/>
      <c r="AN25"/>
      <c r="AO25"/>
      <c r="AP25"/>
      <c r="AQ25"/>
    </row>
    <row r="26" spans="1:43" x14ac:dyDescent="0.2">
      <c r="C26" s="1" t="s">
        <v>123</v>
      </c>
      <c r="D26" s="207"/>
      <c r="E26"/>
      <c r="G26" s="209" t="s">
        <v>40</v>
      </c>
      <c r="H26"/>
      <c r="I26" s="334">
        <f>I24*Workings_risks!$E$9*Workings_risks!$E$11/60</f>
        <v>22.154999999999998</v>
      </c>
      <c r="J26" s="334">
        <f>J24*Workings_risks!$E$9*Workings_risks!$E$11/60</f>
        <v>17.723999999999997</v>
      </c>
      <c r="K26" s="334">
        <f>K24*Workings_risks!$E$9*Workings_risks!$E$11/60</f>
        <v>13.293000000000001</v>
      </c>
      <c r="L26" s="334">
        <f>L24*Workings_risks!$E$9*Workings_risks!$E$11/60</f>
        <v>13.293000000000001</v>
      </c>
      <c r="M26" s="334">
        <f>M24*Workings_risks!$E$9*Workings_risks!$E$11/60</f>
        <v>8.8619999999999983</v>
      </c>
      <c r="N26" s="334">
        <f>N24*Workings_risks!$E$9*Workings_risks!$E$11/60</f>
        <v>4.4309999999999992</v>
      </c>
      <c r="O26" s="334">
        <f>O24*Workings_risks!$E$9*Workings_risks!$E$11/60</f>
        <v>0</v>
      </c>
      <c r="P26" s="334">
        <f>P24*Workings_risks!$E$9*Workings_risks!$E$11/60</f>
        <v>0</v>
      </c>
      <c r="Q26" s="334">
        <f>Q24*Workings_risks!$E$9*Workings_risks!$E$11/60</f>
        <v>0</v>
      </c>
      <c r="R26" s="334">
        <f>R24*Workings_risks!$E$9*Workings_risks!$E$11/60</f>
        <v>0</v>
      </c>
      <c r="S26" s="334">
        <f>S24*Workings_risks!$E$9*Workings_risks!$E$11/60</f>
        <v>0</v>
      </c>
      <c r="T26" s="334">
        <f>T24*Workings_risks!$E$9*Workings_risks!$E$11/60</f>
        <v>0</v>
      </c>
      <c r="U26" s="334">
        <f>U24*Workings_risks!$E$9*Workings_risks!$E$11/60</f>
        <v>0</v>
      </c>
      <c r="V26" s="334">
        <f>V24*Workings_risks!$E$9*Workings_risks!$E$11/60</f>
        <v>0</v>
      </c>
      <c r="W26" s="334">
        <f>W24*Workings_risks!$E$9*Workings_risks!$E$11/60</f>
        <v>0</v>
      </c>
      <c r="X26" s="334">
        <f>X24*Workings_risks!$E$9*Workings_risks!$E$11/60</f>
        <v>0</v>
      </c>
      <c r="Y26" s="334">
        <f>Y24*Workings_risks!$E$9*Workings_risks!$E$11/60</f>
        <v>0</v>
      </c>
      <c r="Z26" s="334">
        <f>Z24*Workings_risks!$E$9*Workings_risks!$E$11/60</f>
        <v>0</v>
      </c>
      <c r="AA26" s="334">
        <f>AA24*Workings_risks!$E$9*Workings_risks!$E$11/60</f>
        <v>0</v>
      </c>
      <c r="AB26" s="334">
        <f>AB24*Workings_risks!$E$9*Workings_risks!$E$11/60</f>
        <v>0</v>
      </c>
      <c r="AC26" s="334">
        <f>AC24*Workings_risks!$E$9*Workings_risks!$E$11/60</f>
        <v>0</v>
      </c>
      <c r="AD26" s="334">
        <f>AD24*Workings_risks!$E$9*Workings_risks!$E$11/60</f>
        <v>0</v>
      </c>
      <c r="AE26" s="334">
        <f>AE24*Workings_risks!$E$9*Workings_risks!$E$11/60</f>
        <v>0</v>
      </c>
      <c r="AF26" s="334">
        <f>AF24*Workings_risks!$E$9*Workings_risks!$E$11/60</f>
        <v>0</v>
      </c>
      <c r="AG26" s="334">
        <f>AG24*Workings_risks!$E$9*Workings_risks!$E$11/60</f>
        <v>0</v>
      </c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124</v>
      </c>
      <c r="D27" s="207" t="s">
        <v>63</v>
      </c>
      <c r="E27" s="113">
        <f>Assumptions!H41*vcr_esc</f>
        <v>47819.790378690712</v>
      </c>
      <c r="F27" s="240" t="str">
        <f>IF(AND(SUM(I26:AG26)&lt;&gt;0, E27=0), "!", "")</f>
        <v/>
      </c>
      <c r="G27" s="209">
        <f>input_dollars</f>
        <v>45291</v>
      </c>
      <c r="H27"/>
      <c r="I27" s="119">
        <f>I26*$E$27*Workings_risks!$E$15</f>
        <v>1515009.8618510463</v>
      </c>
      <c r="J27" s="119">
        <f>J26*$E$27*Workings_risks!$E$15</f>
        <v>1212007.8894808369</v>
      </c>
      <c r="K27" s="119">
        <f>K26*$E$27*Workings_risks!$E$15</f>
        <v>909005.9171106281</v>
      </c>
      <c r="L27" s="119">
        <f>L26*$E$27*Workings_risks!$E$15</f>
        <v>909005.9171106281</v>
      </c>
      <c r="M27" s="119">
        <f>M26*$E$27*Workings_risks!$E$15</f>
        <v>606003.94474041846</v>
      </c>
      <c r="N27" s="119">
        <f>N26*$E$27*Workings_risks!$E$15</f>
        <v>303001.97237020923</v>
      </c>
      <c r="O27" s="119">
        <f>O26*$E$27*Workings_risks!$E$15</f>
        <v>0</v>
      </c>
      <c r="P27" s="119">
        <f>P26*$E$27*Workings_risks!$E$15</f>
        <v>0</v>
      </c>
      <c r="Q27" s="119">
        <f>Q26*$E$27*Workings_risks!$E$15</f>
        <v>0</v>
      </c>
      <c r="R27" s="119">
        <f>R26*$E$27*Workings_risks!$E$15</f>
        <v>0</v>
      </c>
      <c r="S27" s="119">
        <f>S26*$E$27*Workings_risks!$E$15</f>
        <v>0</v>
      </c>
      <c r="T27" s="119">
        <f>T26*$E$27*Workings_risks!$E$15</f>
        <v>0</v>
      </c>
      <c r="U27" s="119">
        <f>U26*$E$27*Workings_risks!$E$15</f>
        <v>0</v>
      </c>
      <c r="V27" s="119">
        <f>V26*$E$27*Workings_risks!$E$15</f>
        <v>0</v>
      </c>
      <c r="W27" s="119">
        <f>W26*$E$27*Workings_risks!$E$15</f>
        <v>0</v>
      </c>
      <c r="X27" s="119">
        <f>X26*$E$27*Workings_risks!$E$15</f>
        <v>0</v>
      </c>
      <c r="Y27" s="119">
        <f>Y26*$E$27*Workings_risks!$E$15</f>
        <v>0</v>
      </c>
      <c r="Z27" s="119">
        <f>Z26*$E$27*Workings_risks!$E$15</f>
        <v>0</v>
      </c>
      <c r="AA27" s="119">
        <f>AA26*$E$27*Workings_risks!$E$15</f>
        <v>0</v>
      </c>
      <c r="AB27" s="119">
        <f>AB26*$E$27*Workings_risks!$E$15</f>
        <v>0</v>
      </c>
      <c r="AC27" s="119">
        <f>AC26*$E$27*Workings_risks!$E$15</f>
        <v>0</v>
      </c>
      <c r="AD27" s="119">
        <f>AD26*$E$27*Workings_risks!$E$15</f>
        <v>0</v>
      </c>
      <c r="AE27" s="119">
        <f>AE26*$E$27*Workings_risks!$E$15</f>
        <v>0</v>
      </c>
      <c r="AF27" s="119">
        <f>AF26*$E$27*Workings_risks!$E$15</f>
        <v>0</v>
      </c>
      <c r="AG27" s="119">
        <f>AG26*$E$27*Workings_risks!$E$15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D28" s="208"/>
      <c r="E28"/>
      <c r="G28" s="20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114</v>
      </c>
      <c r="D29" s="207" t="s">
        <v>206</v>
      </c>
      <c r="G29" s="209">
        <f>input_dollars</f>
        <v>45291</v>
      </c>
      <c r="H29" s="152"/>
      <c r="I29" s="32">
        <f>I$24*Workings_risks!$E17</f>
        <v>167450</v>
      </c>
      <c r="J29" s="32">
        <f>J$24*Workings_risks!$E17</f>
        <v>133960</v>
      </c>
      <c r="K29" s="32">
        <f>K$24*Workings_risks!$E17</f>
        <v>100470</v>
      </c>
      <c r="L29" s="32">
        <f>L$24*Workings_risks!$E17</f>
        <v>100470</v>
      </c>
      <c r="M29" s="32">
        <f>M$24*Workings_risks!$E17</f>
        <v>66980</v>
      </c>
      <c r="N29" s="32">
        <f>N$24*Workings_risks!$E17</f>
        <v>33490</v>
      </c>
      <c r="O29" s="32">
        <f>O$24*Workings_risks!$E17</f>
        <v>0</v>
      </c>
      <c r="P29" s="32">
        <f>P$24*Workings_risks!$E17</f>
        <v>0</v>
      </c>
      <c r="Q29" s="32">
        <f>Q$24*Workings_risks!$E17</f>
        <v>0</v>
      </c>
      <c r="R29" s="32">
        <f>R$24*Workings_risks!$E17</f>
        <v>0</v>
      </c>
      <c r="S29" s="32">
        <f>S$24*Workings_risks!$E17</f>
        <v>0</v>
      </c>
      <c r="T29" s="32">
        <f>T$24*Workings_risks!$E17</f>
        <v>0</v>
      </c>
      <c r="U29" s="32">
        <f>U$24*Workings_risks!$E17</f>
        <v>0</v>
      </c>
      <c r="V29" s="32">
        <f>V$24*Workings_risks!$E17</f>
        <v>0</v>
      </c>
      <c r="W29" s="32">
        <f>W$24*Workings_risks!$E17</f>
        <v>0</v>
      </c>
      <c r="X29" s="32">
        <f>X$24*Workings_risks!$E17</f>
        <v>0</v>
      </c>
      <c r="Y29" s="32">
        <f>Y$24*Workings_risks!$E17</f>
        <v>0</v>
      </c>
      <c r="Z29" s="32">
        <f>Z$24*Workings_risks!$E17</f>
        <v>0</v>
      </c>
      <c r="AA29" s="32">
        <f>AA$24*Workings_risks!$E17</f>
        <v>0</v>
      </c>
      <c r="AB29" s="32">
        <f>AB$24*Workings_risks!$E17</f>
        <v>0</v>
      </c>
      <c r="AC29" s="32">
        <f>AC$24*Workings_risks!$E17</f>
        <v>0</v>
      </c>
      <c r="AD29" s="32">
        <f>AD$24*Workings_risks!$E17</f>
        <v>0</v>
      </c>
      <c r="AE29" s="32">
        <f>AE$24*Workings_risks!$E17</f>
        <v>0</v>
      </c>
      <c r="AF29" s="32">
        <f>AF$24*Workings_risks!$E17</f>
        <v>0</v>
      </c>
      <c r="AG29" s="32">
        <f>AG$24*Workings_risks!$E17</f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116</v>
      </c>
      <c r="D30" s="208"/>
      <c r="E30"/>
      <c r="G30" s="209">
        <f>input_dollars</f>
        <v>45291</v>
      </c>
      <c r="H30" s="152"/>
      <c r="I30" s="32" cm="1">
        <f t="array" ref="I30">(1+Assumptions!$G$81)*SUMPRODUCT((Assumptions!$G$78:$G$79)*('Option1 (base case)'!I$24:I$24))</f>
        <v>0</v>
      </c>
      <c r="J30" s="32" cm="1">
        <f t="array" ref="J30">(1+Assumptions!$G$81)*SUMPRODUCT((Assumptions!$G$78:$G$79)*('Option1 (base case)'!J$24:J$24))</f>
        <v>0</v>
      </c>
      <c r="K30" s="32" cm="1">
        <f t="array" ref="K30">(1+Assumptions!$G$81)*SUMPRODUCT((Assumptions!$G$78:$G$79)*('Option1 (base case)'!K$24:K$24))</f>
        <v>0</v>
      </c>
      <c r="L30" s="32" cm="1">
        <f t="array" ref="L30">(1+Assumptions!$G$81)*SUMPRODUCT((Assumptions!$G$78:$G$79)*('Option1 (base case)'!L$24:L$24))</f>
        <v>0</v>
      </c>
      <c r="M30" s="32" cm="1">
        <f t="array" ref="M30">(1+Assumptions!$G$81)*SUMPRODUCT((Assumptions!$G$78:$G$79)*('Option1 (base case)'!M$24:M$24))</f>
        <v>0</v>
      </c>
      <c r="N30" s="32" cm="1">
        <f t="array" ref="N30">(1+Assumptions!$G$81)*SUMPRODUCT((Assumptions!$G$78:$G$79)*('Option1 (base case)'!N$24:N$24))</f>
        <v>0</v>
      </c>
      <c r="O30" s="32" cm="1">
        <f t="array" ref="O30">(1+Assumptions!$G$81)*SUMPRODUCT((Assumptions!$G$78:$G$79)*('Option1 (base case)'!O$24:O$24))</f>
        <v>0</v>
      </c>
      <c r="P30" s="32" cm="1">
        <f t="array" ref="P30">(1+Assumptions!$G$81)*SUMPRODUCT((Assumptions!$G$78:$G$79)*('Option1 (base case)'!P$24:P$24))</f>
        <v>0</v>
      </c>
      <c r="Q30" s="32" cm="1">
        <f t="array" ref="Q30">(1+Assumptions!$G$81)*SUMPRODUCT((Assumptions!$G$78:$G$79)*('Option1 (base case)'!Q$24:Q$24))</f>
        <v>0</v>
      </c>
      <c r="R30" s="32" cm="1">
        <f t="array" ref="R30">(1+Assumptions!$G$81)*SUMPRODUCT((Assumptions!$G$78:$G$79)*('Option1 (base case)'!R$24:R$24))</f>
        <v>0</v>
      </c>
      <c r="S30" s="32" cm="1">
        <f t="array" ref="S30">(1+Assumptions!$G$81)*SUMPRODUCT((Assumptions!$G$78:$G$79)*('Option1 (base case)'!S$24:S$24))</f>
        <v>0</v>
      </c>
      <c r="T30" s="32" cm="1">
        <f t="array" ref="T30">(1+Assumptions!$G$81)*SUMPRODUCT((Assumptions!$G$78:$G$79)*('Option1 (base case)'!T$24:T$24))</f>
        <v>0</v>
      </c>
      <c r="U30" s="32" cm="1">
        <f t="array" ref="U30">(1+Assumptions!$G$81)*SUMPRODUCT((Assumptions!$G$78:$G$79)*('Option1 (base case)'!U$24:U$24))</f>
        <v>0</v>
      </c>
      <c r="V30" s="32" cm="1">
        <f t="array" ref="V30">(1+Assumptions!$G$81)*SUMPRODUCT((Assumptions!$G$78:$G$79)*('Option1 (base case)'!V$24:V$24))</f>
        <v>0</v>
      </c>
      <c r="W30" s="32" cm="1">
        <f t="array" ref="W30">(1+Assumptions!$G$81)*SUMPRODUCT((Assumptions!$G$78:$G$79)*('Option1 (base case)'!W$24:W$24))</f>
        <v>0</v>
      </c>
      <c r="X30" s="32" cm="1">
        <f t="array" ref="X30">(1+Assumptions!$G$81)*SUMPRODUCT((Assumptions!$G$78:$G$79)*('Option1 (base case)'!X$24:X$24))</f>
        <v>0</v>
      </c>
      <c r="Y30" s="32" cm="1">
        <f t="array" ref="Y30">(1+Assumptions!$G$81)*SUMPRODUCT((Assumptions!$G$78:$G$79)*('Option1 (base case)'!Y$24:Y$24))</f>
        <v>0</v>
      </c>
      <c r="Z30" s="32" cm="1">
        <f t="array" ref="Z30">(1+Assumptions!$G$81)*SUMPRODUCT((Assumptions!$G$78:$G$79)*('Option1 (base case)'!Z$24:Z$24))</f>
        <v>0</v>
      </c>
      <c r="AA30" s="32" cm="1">
        <f t="array" ref="AA30">(1+Assumptions!$G$81)*SUMPRODUCT((Assumptions!$G$78:$G$79)*('Option1 (base case)'!AA$24:AA$24))</f>
        <v>0</v>
      </c>
      <c r="AB30" s="32" cm="1">
        <f t="array" ref="AB30">(1+Assumptions!$G$81)*SUMPRODUCT((Assumptions!$G$78:$G$79)*('Option1 (base case)'!AB$24:AB$24))</f>
        <v>0</v>
      </c>
      <c r="AC30" s="32" cm="1">
        <f t="array" ref="AC30">(1+Assumptions!$G$81)*SUMPRODUCT((Assumptions!$G$78:$G$79)*('Option1 (base case)'!AC$24:AC$24))</f>
        <v>0</v>
      </c>
      <c r="AD30" s="32" cm="1">
        <f t="array" ref="AD30">(1+Assumptions!$G$81)*SUMPRODUCT((Assumptions!$G$78:$G$79)*('Option1 (base case)'!AD$24:AD$24))</f>
        <v>0</v>
      </c>
      <c r="AE30" s="32" cm="1">
        <f t="array" ref="AE30">(1+Assumptions!$G$81)*SUMPRODUCT((Assumptions!$G$78:$G$79)*('Option1 (base case)'!AE$24:AE$24))</f>
        <v>0</v>
      </c>
      <c r="AF30" s="32" cm="1">
        <f t="array" ref="AF30">(1+Assumptions!$G$81)*SUMPRODUCT((Assumptions!$G$78:$G$79)*('Option1 (base case)'!AF$24:AF$24))</f>
        <v>0</v>
      </c>
      <c r="AG30" s="32" cm="1">
        <f t="array" ref="AG30">(1+Assumptions!$G$81)*SUMPRODUCT((Assumptions!$G$78:$G$79)*('Option1 (base case)'!AG$24:AG$24))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7" t="s">
        <v>206</v>
      </c>
      <c r="E31"/>
      <c r="G31" s="209">
        <f>input_dollars</f>
        <v>45291</v>
      </c>
      <c r="H31"/>
      <c r="I31" s="32">
        <f>I$24*Workings_risks!$E19</f>
        <v>2750</v>
      </c>
      <c r="J31" s="32">
        <f>J$24*Workings_risks!$E19</f>
        <v>2200</v>
      </c>
      <c r="K31" s="32">
        <f>K$24*Workings_risks!$E19</f>
        <v>1650</v>
      </c>
      <c r="L31" s="32">
        <f>L$24*Workings_risks!$E19</f>
        <v>1650</v>
      </c>
      <c r="M31" s="32">
        <f>M$24*Workings_risks!$E19</f>
        <v>1100</v>
      </c>
      <c r="N31" s="32">
        <f>N$24*Workings_risks!$E19</f>
        <v>550</v>
      </c>
      <c r="O31" s="32">
        <f>O$24*Workings_risks!$E19</f>
        <v>0</v>
      </c>
      <c r="P31" s="32">
        <f>P$24*Workings_risks!$E19</f>
        <v>0</v>
      </c>
      <c r="Q31" s="32">
        <f>Q$24*Workings_risks!$E19</f>
        <v>0</v>
      </c>
      <c r="R31" s="32">
        <f>R$24*Workings_risks!$E19</f>
        <v>0</v>
      </c>
      <c r="S31" s="32">
        <f>S$24*Workings_risks!$E19</f>
        <v>0</v>
      </c>
      <c r="T31" s="32">
        <f>T$24*Workings_risks!$E19</f>
        <v>0</v>
      </c>
      <c r="U31" s="32">
        <f>U$24*Workings_risks!$E19</f>
        <v>0</v>
      </c>
      <c r="V31" s="32">
        <f>V$24*Workings_risks!$E19</f>
        <v>0</v>
      </c>
      <c r="W31" s="32">
        <f>W$24*Workings_risks!$E19</f>
        <v>0</v>
      </c>
      <c r="X31" s="32">
        <f>X$24*Workings_risks!$E19</f>
        <v>0</v>
      </c>
      <c r="Y31" s="32">
        <f>Y$24*Workings_risks!$E19</f>
        <v>0</v>
      </c>
      <c r="Z31" s="32">
        <f>Z$24*Workings_risks!$E19</f>
        <v>0</v>
      </c>
      <c r="AA31" s="32">
        <f>AA$24*Workings_risks!$E19</f>
        <v>0</v>
      </c>
      <c r="AB31" s="32">
        <f>AB$24*Workings_risks!$E19</f>
        <v>0</v>
      </c>
      <c r="AC31" s="32">
        <f>AC$24*Workings_risks!$E19</f>
        <v>0</v>
      </c>
      <c r="AD31" s="32">
        <f>AD$24*Workings_risks!$E19</f>
        <v>0</v>
      </c>
      <c r="AE31" s="32">
        <f>AE$24*Workings_risks!$E19</f>
        <v>0</v>
      </c>
      <c r="AF31" s="32">
        <f>AF$24*Workings_risks!$E19</f>
        <v>0</v>
      </c>
      <c r="AG31" s="32">
        <f>AG$24*Workings_risks!$E19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7" t="s">
        <v>171</v>
      </c>
      <c r="D32" s="221"/>
      <c r="E32"/>
      <c r="G32" s="209">
        <f>input_dollars</f>
        <v>45291</v>
      </c>
      <c r="H32"/>
      <c r="I32" s="32">
        <f>I$24*Workings_risks!$E21</f>
        <v>65000</v>
      </c>
      <c r="J32" s="32">
        <f>J$24*Workings_risks!$E21</f>
        <v>52000</v>
      </c>
      <c r="K32" s="32">
        <f>K$24*Workings_risks!$E21</f>
        <v>39000</v>
      </c>
      <c r="L32" s="32">
        <f>L$24*Workings_risks!$E21</f>
        <v>39000</v>
      </c>
      <c r="M32" s="32">
        <f>M$24*Workings_risks!$E21</f>
        <v>26000</v>
      </c>
      <c r="N32" s="32">
        <f>N$24*Workings_risks!$E21</f>
        <v>13000</v>
      </c>
      <c r="O32" s="32">
        <f>O$24*Workings_risks!$E21</f>
        <v>0</v>
      </c>
      <c r="P32" s="32">
        <f>P$24*Workings_risks!$E21</f>
        <v>0</v>
      </c>
      <c r="Q32" s="32">
        <f>Q$24*Workings_risks!$E21</f>
        <v>0</v>
      </c>
      <c r="R32" s="32">
        <f>R$24*Workings_risks!$E21</f>
        <v>0</v>
      </c>
      <c r="S32" s="32">
        <f>S$24*Workings_risks!$E21</f>
        <v>0</v>
      </c>
      <c r="T32" s="32">
        <f>T$24*Workings_risks!$E21</f>
        <v>0</v>
      </c>
      <c r="U32" s="32">
        <f>U$24*Workings_risks!$E21</f>
        <v>0</v>
      </c>
      <c r="V32" s="32">
        <f>V$24*Workings_risks!$E21</f>
        <v>0</v>
      </c>
      <c r="W32" s="32">
        <f>W$24*Workings_risks!$E21</f>
        <v>0</v>
      </c>
      <c r="X32" s="32">
        <f>X$24*Workings_risks!$E21</f>
        <v>0</v>
      </c>
      <c r="Y32" s="32">
        <f>Y$24*Workings_risks!$E21</f>
        <v>0</v>
      </c>
      <c r="Z32" s="32">
        <f>Z$24*Workings_risks!$E21</f>
        <v>0</v>
      </c>
      <c r="AA32" s="32">
        <f>AA$24*Workings_risks!$E21</f>
        <v>0</v>
      </c>
      <c r="AB32" s="32">
        <f>AB$24*Workings_risks!$E21</f>
        <v>0</v>
      </c>
      <c r="AC32" s="32">
        <f>AC$24*Workings_risks!$E21</f>
        <v>0</v>
      </c>
      <c r="AD32" s="32">
        <f>AD$24*Workings_risks!$E21</f>
        <v>0</v>
      </c>
      <c r="AE32" s="32">
        <f>AE$24*Workings_risks!$E21</f>
        <v>0</v>
      </c>
      <c r="AF32" s="32">
        <f>AF$24*Workings_risks!$E21</f>
        <v>0</v>
      </c>
      <c r="AG32" s="32">
        <f>AG$24*Workings_risks!$E21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7" t="s">
        <v>171</v>
      </c>
      <c r="D33" s="208"/>
      <c r="E33"/>
      <c r="G33" s="209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D34" s="208"/>
      <c r="E34"/>
      <c r="G34" s="20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pans="1:16372" x14ac:dyDescent="0.2">
      <c r="C35" s="3" t="s">
        <v>170</v>
      </c>
      <c r="D35" s="220"/>
      <c r="E35" s="107"/>
      <c r="F35" s="3"/>
      <c r="G35" s="211"/>
      <c r="H35" s="107"/>
      <c r="I35" s="172">
        <f>SUM(I27:I33)</f>
        <v>1750209.8618510463</v>
      </c>
      <c r="J35" s="172">
        <f t="shared" ref="J35:AB35" si="2">SUM(J27:J33)</f>
        <v>1400167.8894808369</v>
      </c>
      <c r="K35" s="172">
        <f t="shared" si="2"/>
        <v>1050125.917110628</v>
      </c>
      <c r="L35" s="172">
        <f t="shared" si="2"/>
        <v>1050125.917110628</v>
      </c>
      <c r="M35" s="172">
        <f t="shared" si="2"/>
        <v>700083.94474041846</v>
      </c>
      <c r="N35" s="172">
        <f t="shared" si="2"/>
        <v>350041.97237020923</v>
      </c>
      <c r="O35" s="172">
        <f t="shared" si="2"/>
        <v>0</v>
      </c>
      <c r="P35" s="172">
        <f t="shared" si="2"/>
        <v>0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>SUM(AC27:AC33)</f>
        <v>0</v>
      </c>
      <c r="AD35" s="172">
        <f>SUM(AD27:AD33)</f>
        <v>0</v>
      </c>
      <c r="AE35" s="172">
        <f>SUM(AE27:AE33)</f>
        <v>0</v>
      </c>
      <c r="AF35" s="172">
        <f>SUM(AF27:AF33)</f>
        <v>0</v>
      </c>
      <c r="AG35" s="172">
        <f>SUM(AG27:AG33)</f>
        <v>0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D36"/>
      <c r="E36"/>
      <c r="G36" s="20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5" x14ac:dyDescent="0.2">
      <c r="A37" s="89" t="s">
        <v>56</v>
      </c>
      <c r="B37" s="89"/>
      <c r="C37" s="89"/>
      <c r="D37" s="89"/>
      <c r="E37" s="89"/>
      <c r="F37" s="89"/>
      <c r="G37" s="20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/>
      <c r="AI37"/>
      <c r="AJ37"/>
      <c r="AK37"/>
      <c r="AL37"/>
      <c r="AM37"/>
      <c r="AN37"/>
      <c r="AO37"/>
      <c r="AP37"/>
      <c r="AQ37"/>
    </row>
    <row r="38" spans="1:16372" x14ac:dyDescent="0.2">
      <c r="D38"/>
      <c r="E38"/>
      <c r="G38" s="20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25">
      <c r="C40" s="1" t="s">
        <v>59</v>
      </c>
      <c r="G40" s="207" t="s">
        <v>40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/>
    </row>
    <row r="41" spans="1:16372" ht="13.5" x14ac:dyDescent="0.25">
      <c r="C41" s="1" t="s">
        <v>129</v>
      </c>
      <c r="G41" s="207" t="s">
        <v>104</v>
      </c>
      <c r="I41" s="85">
        <f t="shared" ref="I41:AG41" si="3">I40*I7</f>
        <v>0</v>
      </c>
      <c r="J41" s="85">
        <f t="shared" si="3"/>
        <v>0</v>
      </c>
      <c r="K41" s="85">
        <f t="shared" si="3"/>
        <v>0</v>
      </c>
      <c r="L41" s="85">
        <f t="shared" si="3"/>
        <v>0</v>
      </c>
      <c r="M41" s="85">
        <f t="shared" si="3"/>
        <v>0</v>
      </c>
      <c r="N41" s="85">
        <f t="shared" si="3"/>
        <v>0</v>
      </c>
      <c r="O41" s="85">
        <f t="shared" si="3"/>
        <v>0</v>
      </c>
      <c r="P41" s="85">
        <f t="shared" si="3"/>
        <v>0</v>
      </c>
      <c r="Q41" s="85">
        <f t="shared" si="3"/>
        <v>0</v>
      </c>
      <c r="R41" s="85">
        <f t="shared" si="3"/>
        <v>0</v>
      </c>
      <c r="S41" s="85">
        <f t="shared" si="3"/>
        <v>0</v>
      </c>
      <c r="T41" s="85">
        <f t="shared" si="3"/>
        <v>0</v>
      </c>
      <c r="U41" s="85">
        <f t="shared" si="3"/>
        <v>0</v>
      </c>
      <c r="V41" s="85">
        <f t="shared" si="3"/>
        <v>0</v>
      </c>
      <c r="W41" s="85">
        <f t="shared" si="3"/>
        <v>0</v>
      </c>
      <c r="X41" s="85">
        <f t="shared" si="3"/>
        <v>0</v>
      </c>
      <c r="Y41" s="85">
        <f t="shared" si="3"/>
        <v>0</v>
      </c>
      <c r="Z41" s="85">
        <f t="shared" si="3"/>
        <v>0</v>
      </c>
      <c r="AA41" s="85">
        <f t="shared" si="3"/>
        <v>0</v>
      </c>
      <c r="AB41" s="85">
        <f t="shared" si="3"/>
        <v>0</v>
      </c>
      <c r="AC41" s="85">
        <f t="shared" si="3"/>
        <v>0</v>
      </c>
      <c r="AD41" s="85">
        <f t="shared" si="3"/>
        <v>0</v>
      </c>
      <c r="AE41" s="85">
        <f t="shared" si="3"/>
        <v>0</v>
      </c>
      <c r="AF41" s="85">
        <f t="shared" si="3"/>
        <v>0</v>
      </c>
      <c r="AG41" s="85">
        <f t="shared" si="3"/>
        <v>0</v>
      </c>
      <c r="AH41"/>
    </row>
    <row r="42" spans="1:16372" x14ac:dyDescent="0.2">
      <c r="D42"/>
      <c r="E42"/>
      <c r="G42" s="20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2">
      <c r="D43" s="208"/>
      <c r="E43"/>
      <c r="G43" s="20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C44" s="1" t="s">
        <v>14</v>
      </c>
      <c r="D44" s="207" t="s">
        <v>63</v>
      </c>
      <c r="E44" s="113">
        <f>Assumptions!G94</f>
        <v>0</v>
      </c>
      <c r="G44" s="209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/>
    </row>
    <row r="45" spans="1:16372" x14ac:dyDescent="0.2">
      <c r="C45" s="1" t="s">
        <v>4</v>
      </c>
      <c r="D45" s="207" t="s">
        <v>63</v>
      </c>
      <c r="E45" s="113">
        <f>Assumptions!G95</f>
        <v>0</v>
      </c>
      <c r="G45" s="209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5</v>
      </c>
      <c r="D46" s="207" t="s">
        <v>63</v>
      </c>
      <c r="E46" s="112">
        <f>Assumptions!G96</f>
        <v>4220.9953699573898</v>
      </c>
      <c r="G46" s="209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15</v>
      </c>
      <c r="D47" s="207" t="s">
        <v>126</v>
      </c>
      <c r="E47" s="112">
        <f>Assumptions!G97</f>
        <v>0</v>
      </c>
      <c r="G47" s="209" t="s">
        <v>203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201</v>
      </c>
      <c r="D48" s="207" t="s">
        <v>204</v>
      </c>
      <c r="E48" s="112">
        <f>Assumptions!G98</f>
        <v>0.54769380678923496</v>
      </c>
      <c r="G48" s="209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7" t="s">
        <v>204</v>
      </c>
      <c r="E49" s="112">
        <f>Assumptions!G99</f>
        <v>0.54769380678923496</v>
      </c>
      <c r="G49" s="209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6</v>
      </c>
      <c r="D50" s="207" t="s">
        <v>126</v>
      </c>
      <c r="E50" s="112">
        <f>Assumptions!G100</f>
        <v>0</v>
      </c>
      <c r="G50" s="209" t="s">
        <v>203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7</v>
      </c>
      <c r="D51" s="207" t="s">
        <v>126</v>
      </c>
      <c r="E51" s="112">
        <f>Assumptions!G101</f>
        <v>0</v>
      </c>
      <c r="G51" s="209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D52" s="207"/>
      <c r="G52" s="20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/>
    </row>
    <row r="53" spans="1:43" x14ac:dyDescent="0.2">
      <c r="C53" s="1" t="s">
        <v>117</v>
      </c>
      <c r="D53" s="207"/>
      <c r="G53" s="209">
        <f>input_dollars</f>
        <v>45291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/>
    </row>
    <row r="54" spans="1:43" x14ac:dyDescent="0.2">
      <c r="C54" s="1" t="s">
        <v>118</v>
      </c>
      <c r="D54" s="207"/>
      <c r="G54" s="209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D55" s="207"/>
      <c r="G55" s="207"/>
      <c r="AH55"/>
    </row>
    <row r="56" spans="1:43" x14ac:dyDescent="0.2">
      <c r="C56" s="3" t="s">
        <v>125</v>
      </c>
      <c r="D56" s="220"/>
      <c r="E56" s="107"/>
      <c r="F56" s="3"/>
      <c r="G56" s="212">
        <f>input_dollars</f>
        <v>45291</v>
      </c>
      <c r="H56" s="107"/>
      <c r="I56" s="172" cm="1">
        <f t="array" ref="I56">SUMPRODUCT((I$44:I$51)*($E$44:$E$51))+SUM(I53:I54)+I41</f>
        <v>0</v>
      </c>
      <c r="J56" s="172" cm="1">
        <f t="array" ref="J56">SUMPRODUCT((J$44:J$51)*($E$44:$E$51))+SUM(J53:J54)+J41</f>
        <v>0</v>
      </c>
      <c r="K56" s="172" cm="1">
        <f t="array" ref="K56">SUMPRODUCT((K$44:K$51)*($E$44:$E$51))+SUM(K53:K54)+K41</f>
        <v>0</v>
      </c>
      <c r="L56" s="172" cm="1">
        <f t="array" ref="L56">SUMPRODUCT((L$44:L$51)*($E$44:$E$51))+SUM(L53:L54)+L41</f>
        <v>0</v>
      </c>
      <c r="M56" s="172" cm="1">
        <f t="array" ref="M56">SUMPRODUCT((M$44:M$51)*($E$44:$E$51))+SUM(M53:M54)+M41</f>
        <v>0</v>
      </c>
      <c r="N56" s="172" cm="1">
        <f t="array" ref="N56">SUMPRODUCT((N$44:N$51)*($E$44:$E$51))+SUM(N53:N54)+N41</f>
        <v>0</v>
      </c>
      <c r="O56" s="172" cm="1">
        <f t="array" ref="O56">SUMPRODUCT((O$44:O$51)*($E$44:$E$51))+SUM(O53:O54)+O41</f>
        <v>0</v>
      </c>
      <c r="P56" s="172" cm="1">
        <f t="array" ref="P56">SUMPRODUCT((P$44:P$51)*($E$44:$E$51))+SUM(P53:P54)+P41</f>
        <v>0</v>
      </c>
      <c r="Q56" s="172" cm="1">
        <f t="array" ref="Q56">SUMPRODUCT((Q$44:Q$51)*($E$44:$E$51))+SUM(Q53:Q54)+Q41</f>
        <v>0</v>
      </c>
      <c r="R56" s="172" cm="1">
        <f t="array" ref="R56">SUMPRODUCT((R$44:R$51)*($E$44:$E$51))+SUM(R53:R54)+R41</f>
        <v>0</v>
      </c>
      <c r="S56" s="172" cm="1">
        <f t="array" ref="S56">SUMPRODUCT((S$44:S$51)*($E$44:$E$51))+SUM(S53:S54)+S41</f>
        <v>0</v>
      </c>
      <c r="T56" s="172" cm="1">
        <f t="array" ref="T56">SUMPRODUCT((T$44:T$51)*($E$44:$E$51))+SUM(T53:T54)+T41</f>
        <v>0</v>
      </c>
      <c r="U56" s="172" cm="1">
        <f t="array" ref="U56">SUMPRODUCT((U$44:U$51)*($E$44:$E$51))+SUM(U53:U54)+U41</f>
        <v>0</v>
      </c>
      <c r="V56" s="172" cm="1">
        <f t="array" ref="V56">SUMPRODUCT((V$44:V$51)*($E$44:$E$51))+SUM(V53:V54)+V41</f>
        <v>0</v>
      </c>
      <c r="W56" s="172" cm="1">
        <f t="array" ref="W56">SUMPRODUCT((W$44:W$51)*($E$44:$E$51))+SUM(W53:W54)+W41</f>
        <v>0</v>
      </c>
      <c r="X56" s="172" cm="1">
        <f t="array" ref="X56">SUMPRODUCT((X$44:X$51)*($E$44:$E$51))+SUM(X53:X54)+X41</f>
        <v>0</v>
      </c>
      <c r="Y56" s="172" cm="1">
        <f t="array" ref="Y56">SUMPRODUCT((Y$44:Y$51)*($E$44:$E$51))+SUM(Y53:Y54)+Y41</f>
        <v>0</v>
      </c>
      <c r="Z56" s="172" cm="1">
        <f t="array" ref="Z56">SUMPRODUCT((Z$44:Z$51)*($E$44:$E$51))+SUM(Z53:Z54)+Z41</f>
        <v>0</v>
      </c>
      <c r="AA56" s="172" cm="1">
        <f t="array" ref="AA56">SUMPRODUCT((AA$44:AA$51)*($E$44:$E$51))+SUM(AA53:AA54)+AA41</f>
        <v>0</v>
      </c>
      <c r="AB56" s="172" cm="1">
        <f t="array" ref="AB56">SUMPRODUCT((AB$44:AB$51)*($E$44:$E$51))+SUM(AB53:AB54)+AB41</f>
        <v>0</v>
      </c>
      <c r="AC56" s="172" cm="1">
        <f t="array" ref="AC56">SUMPRODUCT((AC$44:AC$51)*($E$44:$E$51))+SUM(AC53:AC54)+AC41</f>
        <v>0</v>
      </c>
      <c r="AD56" s="172" cm="1">
        <f t="array" ref="AD56">SUMPRODUCT((AD$44:AD$51)*($E$44:$E$51))+SUM(AD53:AD54)+AD41</f>
        <v>0</v>
      </c>
      <c r="AE56" s="172" cm="1">
        <f t="array" ref="AE56">SUMPRODUCT((AE$44:AE$51)*($E$44:$E$51))+SUM(AE53:AE54)+AE41</f>
        <v>0</v>
      </c>
      <c r="AF56" s="172" cm="1">
        <f t="array" ref="AF56">SUMPRODUCT((AF$44:AF$51)*($E$44:$E$51))+SUM(AF53:AF54)+AF41</f>
        <v>0</v>
      </c>
      <c r="AG56" s="172" cm="1">
        <f t="array" ref="AG56">SUMPRODUCT((AG$44:AG$51)*($E$44:$E$51))+SUM(AG53:AG54)+AG41</f>
        <v>0</v>
      </c>
      <c r="AH56"/>
    </row>
    <row r="57" spans="1:43" x14ac:dyDescent="0.2">
      <c r="D57" s="207"/>
      <c r="G57" s="207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/>
    </row>
    <row r="58" spans="1:43" x14ac:dyDescent="0.2">
      <c r="G58" s="207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ht="15" x14ac:dyDescent="0.2">
      <c r="A59" s="89" t="s">
        <v>16</v>
      </c>
      <c r="B59" s="89"/>
      <c r="C59" s="89"/>
      <c r="D59" s="89"/>
      <c r="E59" s="89"/>
      <c r="F59" s="89"/>
      <c r="G59" s="206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/>
      <c r="AI59"/>
      <c r="AJ59"/>
      <c r="AK59"/>
      <c r="AL59"/>
      <c r="AM59"/>
      <c r="AN59"/>
      <c r="AO59"/>
      <c r="AP59"/>
      <c r="AQ59"/>
    </row>
    <row r="60" spans="1:43" ht="15" x14ac:dyDescent="0.2">
      <c r="A60" s="111"/>
      <c r="B60" s="111"/>
      <c r="C60" s="111"/>
      <c r="D60" s="111"/>
      <c r="E60" s="111"/>
      <c r="F60" s="111"/>
      <c r="G60" s="2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/>
      <c r="AI60"/>
      <c r="AJ60"/>
      <c r="AK60"/>
      <c r="AL60"/>
      <c r="AM60"/>
      <c r="AN60"/>
      <c r="AO60"/>
      <c r="AP60"/>
      <c r="AQ60"/>
    </row>
    <row r="61" spans="1:43" ht="12.75" customHeight="1" x14ac:dyDescent="0.2">
      <c r="A61" s="111"/>
      <c r="B61" s="111"/>
      <c r="C61" s="111"/>
      <c r="D61" s="111"/>
      <c r="E61" s="111"/>
      <c r="F61"/>
      <c r="G61" s="2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3" x14ac:dyDescent="0.2">
      <c r="C62" s="4"/>
      <c r="F62" s="2"/>
      <c r="G62" s="214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/>
    </row>
    <row r="63" spans="1:43" x14ac:dyDescent="0.2">
      <c r="C63" s="4" t="str">
        <f>'Option1 (base case)'!C63</f>
        <v>Risks mitigated vs base case</v>
      </c>
      <c r="G63" s="212">
        <f>input_dollars</f>
        <v>45291</v>
      </c>
      <c r="I63" s="135">
        <f>(1-INDEX(Data!$C$9:$C$13, MATCH($A$3, options,0)))*('Option1 (base case)'!I35-I35)</f>
        <v>0</v>
      </c>
      <c r="J63" s="135">
        <f>(1-INDEX(Data!$C$9:$C$13, MATCH($A$3, options,0)))*('Option1 (base case)'!J35-J35)</f>
        <v>350041.97237020941</v>
      </c>
      <c r="K63" s="135">
        <f>(1-INDEX(Data!$C$9:$C$13, MATCH($A$3, options,0)))*('Option1 (base case)'!K35-K35)</f>
        <v>700083.94474041834</v>
      </c>
      <c r="L63" s="135">
        <f>(1-INDEX(Data!$C$9:$C$13, MATCH($A$3, options,0)))*('Option1 (base case)'!L35-L35)</f>
        <v>700083.94474041834</v>
      </c>
      <c r="M63" s="135">
        <f>(1-INDEX(Data!$C$9:$C$13, MATCH($A$3, options,0)))*('Option1 (base case)'!M35-M35)</f>
        <v>1050125.917110628</v>
      </c>
      <c r="N63" s="135">
        <f>(1-INDEX(Data!$C$9:$C$13, MATCH($A$3, options,0)))*('Option1 (base case)'!N35-N35)</f>
        <v>1050125.9171106277</v>
      </c>
      <c r="O63" s="135">
        <f>(1-INDEX(Data!$C$9:$C$13, MATCH($A$3, options,0)))*('Option1 (base case)'!O35-O35)</f>
        <v>1400167.8894808369</v>
      </c>
      <c r="P63" s="135">
        <f>(1-INDEX(Data!$C$9:$C$13, MATCH($A$3, options,0)))*('Option1 (base case)'!P35-P35)</f>
        <v>1400167.8894808369</v>
      </c>
      <c r="Q63" s="135">
        <f>(1-INDEX(Data!$C$9:$C$13, MATCH($A$3, options,0)))*('Option1 (base case)'!Q35-Q35)</f>
        <v>1400167.8894808369</v>
      </c>
      <c r="R63" s="135">
        <f>(1-INDEX(Data!$C$9:$C$13, MATCH($A$3, options,0)))*('Option1 (base case)'!R35-R35)</f>
        <v>1400167.8894808369</v>
      </c>
      <c r="S63" s="135">
        <f>(1-INDEX(Data!$C$9:$C$13, MATCH($A$3, options,0)))*('Option1 (base case)'!S35-S35)</f>
        <v>1400167.8894808369</v>
      </c>
      <c r="T63" s="135">
        <f>(1-INDEX(Data!$C$9:$C$13, MATCH($A$3, options,0)))*('Option1 (base case)'!T35-T35)</f>
        <v>1400167.8894808369</v>
      </c>
      <c r="U63" s="135">
        <f>(1-INDEX(Data!$C$9:$C$13, MATCH($A$3, options,0)))*('Option1 (base case)'!U35-U35)</f>
        <v>1400167.8894808369</v>
      </c>
      <c r="V63" s="135">
        <f>(1-INDEX(Data!$C$9:$C$13, MATCH($A$3, options,0)))*('Option1 (base case)'!V35-V35)</f>
        <v>1050125.917110628</v>
      </c>
      <c r="W63" s="135">
        <f>(1-INDEX(Data!$C$9:$C$13, MATCH($A$3, options,0)))*('Option1 (base case)'!W35-W35)</f>
        <v>1050125.917110628</v>
      </c>
      <c r="X63" s="135">
        <f>(1-INDEX(Data!$C$9:$C$13, MATCH($A$3, options,0)))*('Option1 (base case)'!X35-X35)</f>
        <v>1050125.917110628</v>
      </c>
      <c r="Y63" s="135">
        <f>(1-INDEX(Data!$C$9:$C$13, MATCH($A$3, options,0)))*('Option1 (base case)'!Y35-Y35)</f>
        <v>1050125.917110628</v>
      </c>
      <c r="Z63" s="135">
        <f>(1-INDEX(Data!$C$9:$C$13, MATCH($A$3, options,0)))*('Option1 (base case)'!Z35-Z35)</f>
        <v>1050125.917110628</v>
      </c>
      <c r="AA63" s="135">
        <f>(1-INDEX(Data!$C$9:$C$13, MATCH($A$3, options,0)))*('Option1 (base case)'!AA35-AA35)</f>
        <v>1050125.917110628</v>
      </c>
      <c r="AB63" s="135">
        <f>(1-INDEX(Data!$C$9:$C$13, MATCH($A$3, options,0)))*('Option1 (base case)'!AB35-AB35)</f>
        <v>1050125.917110628</v>
      </c>
      <c r="AC63" s="135">
        <f>(1-INDEX(Data!$C$9:$C$13, MATCH($A$3, options,0)))*('Option1 (base case)'!AC35-AC35)</f>
        <v>1050125.917110628</v>
      </c>
      <c r="AD63" s="135">
        <f>(1-INDEX(Data!$C$9:$C$13, MATCH($A$3, options,0)))*('Option1 (base case)'!AD35-AD35)</f>
        <v>1050125.917110628</v>
      </c>
      <c r="AE63" s="135">
        <f>(1-INDEX(Data!$C$9:$C$13, MATCH($A$3, options,0)))*('Option1 (base case)'!AE35-AE35)</f>
        <v>1050125.917110628</v>
      </c>
      <c r="AF63" s="135">
        <f>(1-INDEX(Data!$C$9:$C$13, MATCH($A$3, options,0)))*('Option1 (base case)'!AF35-AF35)</f>
        <v>1050125.917110628</v>
      </c>
      <c r="AG63" s="135">
        <f>(1-INDEX(Data!$C$9:$C$13, MATCH($A$3, options,0)))*('Option1 (base case)'!AG35-AG35)</f>
        <v>700083.94474041846</v>
      </c>
      <c r="AH63"/>
    </row>
    <row r="64" spans="1:43" x14ac:dyDescent="0.2">
      <c r="G64" s="214"/>
      <c r="AH64"/>
    </row>
    <row r="65" spans="1:34" x14ac:dyDescent="0.2">
      <c r="A65" s="8"/>
      <c r="B65" s="8"/>
      <c r="C65" s="150" t="s">
        <v>30</v>
      </c>
      <c r="D65" s="38"/>
      <c r="F65" s="97"/>
      <c r="G65" s="21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/>
    </row>
    <row r="66" spans="1:34" x14ac:dyDescent="0.2">
      <c r="A66" s="8"/>
      <c r="B66" s="8"/>
      <c r="C66" s="4" t="str">
        <f>C14</f>
        <v>Replace Cable Boxes under program</v>
      </c>
      <c r="D66" s="38"/>
      <c r="F66" s="97"/>
      <c r="G66" s="212">
        <f>input_dollars</f>
        <v>45291</v>
      </c>
      <c r="H66" s="31"/>
      <c r="I66" s="119">
        <f t="shared" ref="I66:AG66" si="4">-I14</f>
        <v>-2400000</v>
      </c>
      <c r="J66" s="119">
        <f t="shared" si="4"/>
        <v>-2400000</v>
      </c>
      <c r="K66" s="119">
        <f t="shared" si="4"/>
        <v>-2400000</v>
      </c>
      <c r="L66" s="119">
        <f t="shared" si="4"/>
        <v>-2400000</v>
      </c>
      <c r="M66" s="119">
        <f t="shared" si="4"/>
        <v>-2400000</v>
      </c>
      <c r="N66" s="119">
        <f t="shared" si="4"/>
        <v>-2400000</v>
      </c>
      <c r="O66" s="119">
        <f t="shared" si="4"/>
        <v>-897000.00000000012</v>
      </c>
      <c r="P66" s="119">
        <f t="shared" si="4"/>
        <v>0</v>
      </c>
      <c r="Q66" s="119">
        <f t="shared" si="4"/>
        <v>0</v>
      </c>
      <c r="R66" s="119">
        <f t="shared" si="4"/>
        <v>0</v>
      </c>
      <c r="S66" s="119">
        <f t="shared" si="4"/>
        <v>0</v>
      </c>
      <c r="T66" s="119">
        <f t="shared" si="4"/>
        <v>0</v>
      </c>
      <c r="U66" s="119">
        <f t="shared" si="4"/>
        <v>0</v>
      </c>
      <c r="V66" s="119">
        <f t="shared" si="4"/>
        <v>0</v>
      </c>
      <c r="W66" s="119">
        <f t="shared" si="4"/>
        <v>0</v>
      </c>
      <c r="X66" s="119">
        <f t="shared" si="4"/>
        <v>0</v>
      </c>
      <c r="Y66" s="119">
        <f t="shared" si="4"/>
        <v>0</v>
      </c>
      <c r="Z66" s="119">
        <f t="shared" si="4"/>
        <v>0</v>
      </c>
      <c r="AA66" s="119">
        <f t="shared" si="4"/>
        <v>0</v>
      </c>
      <c r="AB66" s="119">
        <f t="shared" si="4"/>
        <v>0</v>
      </c>
      <c r="AC66" s="119">
        <f t="shared" si="4"/>
        <v>0</v>
      </c>
      <c r="AD66" s="119">
        <f t="shared" si="4"/>
        <v>0</v>
      </c>
      <c r="AE66" s="119">
        <f t="shared" si="4"/>
        <v>0</v>
      </c>
      <c r="AF66" s="119">
        <f t="shared" si="4"/>
        <v>0</v>
      </c>
      <c r="AG66" s="119">
        <f t="shared" si="4"/>
        <v>0</v>
      </c>
      <c r="AH66"/>
    </row>
    <row r="67" spans="1:34" x14ac:dyDescent="0.2">
      <c r="A67" s="8"/>
      <c r="B67" s="8"/>
      <c r="C67" s="4" t="str">
        <f>C15</f>
        <v>Replace Failed Cable Boxes under Faults Capex</v>
      </c>
      <c r="D67" s="38"/>
      <c r="F67" s="97"/>
      <c r="G67" s="212">
        <f>input_dollars</f>
        <v>45291</v>
      </c>
      <c r="H67" s="31"/>
      <c r="I67" s="119">
        <f t="shared" ref="I67:AG67" si="5">-I15</f>
        <v>-275000</v>
      </c>
      <c r="J67" s="119">
        <f t="shared" si="5"/>
        <v>-220000</v>
      </c>
      <c r="K67" s="119">
        <f t="shared" si="5"/>
        <v>-165000</v>
      </c>
      <c r="L67" s="119">
        <f t="shared" si="5"/>
        <v>-165000</v>
      </c>
      <c r="M67" s="119">
        <f t="shared" si="5"/>
        <v>-110000</v>
      </c>
      <c r="N67" s="119">
        <f t="shared" si="5"/>
        <v>-55000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C16</f>
        <v>0</v>
      </c>
      <c r="D68" s="38"/>
      <c r="F68" s="97"/>
      <c r="G68" s="212">
        <f>input_dollars</f>
        <v>45291</v>
      </c>
      <c r="H68" s="31"/>
      <c r="I68" s="119">
        <f t="shared" ref="I68:AG68" si="6">-I16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/>
      <c r="D69" s="38"/>
      <c r="F69" s="97"/>
      <c r="G69" s="216"/>
      <c r="H69" s="31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/>
    </row>
    <row r="70" spans="1:34" x14ac:dyDescent="0.2">
      <c r="A70" s="8"/>
      <c r="B70" s="8"/>
      <c r="C70" s="150" t="s">
        <v>155</v>
      </c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4" t="str">
        <f>C14</f>
        <v>Replace Cable Boxes under program</v>
      </c>
      <c r="D71" s="38"/>
      <c r="F71" s="97"/>
      <c r="G71" s="212">
        <f>input_dollars</f>
        <v>45291</v>
      </c>
      <c r="H71" s="31"/>
      <c r="I71" s="119" cm="1">
        <f t="array" ref="I71">SUMPRODUCT(($I66:I66))-SUMPRODUCT(($I66:I66)*($I$6:I$6&lt;=(I$6-$E14)))</f>
        <v>-2400000</v>
      </c>
      <c r="J71" s="119" cm="1">
        <f t="array" ref="J71">SUMPRODUCT(($I66:J66))-SUMPRODUCT(($I66:J66)*($I$6:J$6&lt;=(J$6-$E14)))</f>
        <v>-4800000</v>
      </c>
      <c r="K71" s="119" cm="1">
        <f t="array" ref="K71">SUMPRODUCT(($I66:K66))-SUMPRODUCT(($I66:K66)*($I$6:K$6&lt;=(K$6-$E14)))</f>
        <v>-7200000</v>
      </c>
      <c r="L71" s="119" cm="1">
        <f t="array" ref="L71">SUMPRODUCT(($I66:L66))-SUMPRODUCT(($I66:L66)*($I$6:L$6&lt;=(L$6-$E14)))</f>
        <v>-9600000</v>
      </c>
      <c r="M71" s="119" cm="1">
        <f t="array" ref="M71">SUMPRODUCT(($I66:M66))-SUMPRODUCT(($I66:M66)*($I$6:M$6&lt;=(M$6-$E14)))</f>
        <v>-12000000</v>
      </c>
      <c r="N71" s="119" cm="1">
        <f t="array" ref="N71">SUMPRODUCT(($I66:N66))-SUMPRODUCT(($I66:N66)*($I$6:N$6&lt;=(N$6-$E14)))</f>
        <v>-14400000</v>
      </c>
      <c r="O71" s="119" cm="1">
        <f t="array" ref="O71">SUMPRODUCT(($I66:O66))-SUMPRODUCT(($I66:O66)*($I$6:O$6&lt;=(O$6-$E14)))</f>
        <v>-15297000</v>
      </c>
      <c r="P71" s="119" cm="1">
        <f t="array" ref="P71">SUMPRODUCT(($I66:P66))-SUMPRODUCT(($I66:P66)*($I$6:P$6&lt;=(P$6-$E14)))</f>
        <v>-15297000</v>
      </c>
      <c r="Q71" s="119" cm="1">
        <f t="array" ref="Q71">SUMPRODUCT(($I66:Q66))-SUMPRODUCT(($I66:Q66)*($I$6:Q$6&lt;=(Q$6-$E14)))</f>
        <v>-15297000</v>
      </c>
      <c r="R71" s="119" cm="1">
        <f t="array" ref="R71">SUMPRODUCT(($I66:R66))-SUMPRODUCT(($I66:R66)*($I$6:R$6&lt;=(R$6-$E14)))</f>
        <v>-15297000</v>
      </c>
      <c r="S71" s="119" cm="1">
        <f t="array" ref="S71">SUMPRODUCT(($I66:S66))-SUMPRODUCT(($I66:S66)*($I$6:S$6&lt;=(S$6-$E14)))</f>
        <v>-15297000</v>
      </c>
      <c r="T71" s="119" cm="1">
        <f t="array" ref="T71">SUMPRODUCT(($I66:T66))-SUMPRODUCT(($I66:T66)*($I$6:T$6&lt;=(T$6-$E14)))</f>
        <v>-15297000</v>
      </c>
      <c r="U71" s="119" cm="1">
        <f t="array" ref="U71">SUMPRODUCT(($I66:U66))-SUMPRODUCT(($I66:U66)*($I$6:U$6&lt;=(U$6-$E14)))</f>
        <v>-15297000</v>
      </c>
      <c r="V71" s="119" cm="1">
        <f t="array" ref="V71">SUMPRODUCT(($I66:V66))-SUMPRODUCT(($I66:V66)*($I$6:V$6&lt;=(V$6-$E14)))</f>
        <v>-15297000</v>
      </c>
      <c r="W71" s="119" cm="1">
        <f t="array" ref="W71">SUMPRODUCT(($I66:W66))-SUMPRODUCT(($I66:W66)*($I$6:W$6&lt;=(W$6-$E14)))</f>
        <v>-15297000</v>
      </c>
      <c r="X71" s="119" cm="1">
        <f t="array" ref="X71">SUMPRODUCT(($I66:X66))-SUMPRODUCT(($I66:X66)*($I$6:X$6&lt;=(X$6-$E14)))</f>
        <v>-15297000</v>
      </c>
      <c r="Y71" s="119" cm="1">
        <f t="array" ref="Y71">SUMPRODUCT(($I66:Y66))-SUMPRODUCT(($I66:Y66)*($I$6:Y$6&lt;=(Y$6-$E14)))</f>
        <v>-15297000</v>
      </c>
      <c r="Z71" s="119" cm="1">
        <f t="array" ref="Z71">SUMPRODUCT(($I66:Z66))-SUMPRODUCT(($I66:Z66)*($I$6:Z$6&lt;=(Z$6-$E14)))</f>
        <v>-15297000</v>
      </c>
      <c r="AA71" s="119" cm="1">
        <f t="array" ref="AA71">SUMPRODUCT(($I66:AA66))-SUMPRODUCT(($I66:AA66)*($I$6:AA$6&lt;=(AA$6-$E14)))</f>
        <v>-15297000</v>
      </c>
      <c r="AB71" s="119" cm="1">
        <f t="array" ref="AB71">SUMPRODUCT(($I66:AB66))-SUMPRODUCT(($I66:AB66)*($I$6:AB$6&lt;=(AB$6-$E14)))</f>
        <v>-15297000</v>
      </c>
      <c r="AC71" s="119" cm="1">
        <f t="array" ref="AC71">SUMPRODUCT(($I66:AC66))-SUMPRODUCT(($I66:AC66)*($I$6:AC$6&lt;=(AC$6-$E14)))</f>
        <v>-15297000</v>
      </c>
      <c r="AD71" s="119" cm="1">
        <f t="array" ref="AD71">SUMPRODUCT(($I66:AD66))-SUMPRODUCT(($I66:AD66)*($I$6:AD$6&lt;=(AD$6-$E14)))</f>
        <v>-15297000</v>
      </c>
      <c r="AE71" s="119" cm="1">
        <f t="array" ref="AE71">SUMPRODUCT(($I66:AE66))-SUMPRODUCT(($I66:AE66)*($I$6:AE$6&lt;=(AE$6-$E14)))</f>
        <v>-15297000</v>
      </c>
      <c r="AF71" s="119" cm="1">
        <f t="array" ref="AF71">SUMPRODUCT(($I66:AF66))-SUMPRODUCT(($I66:AF66)*($I$6:AF$6&lt;=(AF$6-$E14)))</f>
        <v>-15297000</v>
      </c>
      <c r="AG71" s="119" cm="1">
        <f t="array" ref="AG71">SUMPRODUCT(($I66:AG66))-SUMPRODUCT(($I66:AG66)*($I$6:AG$6&lt;=(AG$6-$E14)))</f>
        <v>-15297000</v>
      </c>
      <c r="AH71"/>
    </row>
    <row r="72" spans="1:34" x14ac:dyDescent="0.2">
      <c r="A72" s="8"/>
      <c r="B72" s="8"/>
      <c r="C72" s="4" t="str">
        <f>C15</f>
        <v>Replace Failed Cable Boxes under Faults Capex</v>
      </c>
      <c r="D72" s="38"/>
      <c r="F72" s="97"/>
      <c r="G72" s="212">
        <f>input_dollars</f>
        <v>45291</v>
      </c>
      <c r="H72" s="31"/>
      <c r="I72" s="119" cm="1">
        <f t="array" ref="I72">SUMPRODUCT(($I67:I67))-SUMPRODUCT(($I67:I67)*($I$6:I$6&lt;=(I$6-$E15)))</f>
        <v>-275000</v>
      </c>
      <c r="J72" s="119" cm="1">
        <f t="array" ref="J72">SUMPRODUCT(($I67:J67))-SUMPRODUCT(($I67:J67)*($I$6:J$6&lt;=(J$6-$E15)))</f>
        <v>-495000</v>
      </c>
      <c r="K72" s="119" cm="1">
        <f t="array" ref="K72">SUMPRODUCT(($I67:K67))-SUMPRODUCT(($I67:K67)*($I$6:K$6&lt;=(K$6-$E15)))</f>
        <v>-660000</v>
      </c>
      <c r="L72" s="119" cm="1">
        <f t="array" ref="L72">SUMPRODUCT(($I67:L67))-SUMPRODUCT(($I67:L67)*($I$6:L$6&lt;=(L$6-$E15)))</f>
        <v>-825000</v>
      </c>
      <c r="M72" s="119" cm="1">
        <f t="array" ref="M72">SUMPRODUCT(($I67:M67))-SUMPRODUCT(($I67:M67)*($I$6:M$6&lt;=(M$6-$E15)))</f>
        <v>-935000</v>
      </c>
      <c r="N72" s="119" cm="1">
        <f t="array" ref="N72">SUMPRODUCT(($I67:N67))-SUMPRODUCT(($I67:N67)*($I$6:N$6&lt;=(N$6-$E15)))</f>
        <v>-990000</v>
      </c>
      <c r="O72" s="119" cm="1">
        <f t="array" ref="O72">SUMPRODUCT(($I67:O67))-SUMPRODUCT(($I67:O67)*($I$6:O$6&lt;=(O$6-$E15)))</f>
        <v>-990000</v>
      </c>
      <c r="P72" s="119" cm="1">
        <f t="array" ref="P72">SUMPRODUCT(($I67:P67))-SUMPRODUCT(($I67:P67)*($I$6:P$6&lt;=(P$6-$E15)))</f>
        <v>-990000</v>
      </c>
      <c r="Q72" s="119" cm="1">
        <f t="array" ref="Q72">SUMPRODUCT(($I67:Q67))-SUMPRODUCT(($I67:Q67)*($I$6:Q$6&lt;=(Q$6-$E15)))</f>
        <v>-990000</v>
      </c>
      <c r="R72" s="119" cm="1">
        <f t="array" ref="R72">SUMPRODUCT(($I67:R67))-SUMPRODUCT(($I67:R67)*($I$6:R$6&lt;=(R$6-$E15)))</f>
        <v>-990000</v>
      </c>
      <c r="S72" s="119" cm="1">
        <f t="array" ref="S72">SUMPRODUCT(($I67:S67))-SUMPRODUCT(($I67:S67)*($I$6:S$6&lt;=(S$6-$E15)))</f>
        <v>-990000</v>
      </c>
      <c r="T72" s="119" cm="1">
        <f t="array" ref="T72">SUMPRODUCT(($I67:T67))-SUMPRODUCT(($I67:T67)*($I$6:T$6&lt;=(T$6-$E15)))</f>
        <v>-990000</v>
      </c>
      <c r="U72" s="119" cm="1">
        <f t="array" ref="U72">SUMPRODUCT(($I67:U67))-SUMPRODUCT(($I67:U67)*($I$6:U$6&lt;=(U$6-$E15)))</f>
        <v>-990000</v>
      </c>
      <c r="V72" s="119" cm="1">
        <f t="array" ref="V72">SUMPRODUCT(($I67:V67))-SUMPRODUCT(($I67:V67)*($I$6:V$6&lt;=(V$6-$E15)))</f>
        <v>-990000</v>
      </c>
      <c r="W72" s="119" cm="1">
        <f t="array" ref="W72">SUMPRODUCT(($I67:W67))-SUMPRODUCT(($I67:W67)*($I$6:W$6&lt;=(W$6-$E15)))</f>
        <v>-990000</v>
      </c>
      <c r="X72" s="119" cm="1">
        <f t="array" ref="X72">SUMPRODUCT(($I67:X67))-SUMPRODUCT(($I67:X67)*($I$6:X$6&lt;=(X$6-$E15)))</f>
        <v>-990000</v>
      </c>
      <c r="Y72" s="119" cm="1">
        <f t="array" ref="Y72">SUMPRODUCT(($I67:Y67))-SUMPRODUCT(($I67:Y67)*($I$6:Y$6&lt;=(Y$6-$E15)))</f>
        <v>-990000</v>
      </c>
      <c r="Z72" s="119" cm="1">
        <f t="array" ref="Z72">SUMPRODUCT(($I67:Z67))-SUMPRODUCT(($I67:Z67)*($I$6:Z$6&lt;=(Z$6-$E15)))</f>
        <v>-990000</v>
      </c>
      <c r="AA72" s="119" cm="1">
        <f t="array" ref="AA72">SUMPRODUCT(($I67:AA67))-SUMPRODUCT(($I67:AA67)*($I$6:AA$6&lt;=(AA$6-$E15)))</f>
        <v>-990000</v>
      </c>
      <c r="AB72" s="119" cm="1">
        <f t="array" ref="AB72">SUMPRODUCT(($I67:AB67))-SUMPRODUCT(($I67:AB67)*($I$6:AB$6&lt;=(AB$6-$E15)))</f>
        <v>-990000</v>
      </c>
      <c r="AC72" s="119" cm="1">
        <f t="array" ref="AC72">SUMPRODUCT(($I67:AC67))-SUMPRODUCT(($I67:AC67)*($I$6:AC$6&lt;=(AC$6-$E15)))</f>
        <v>-990000</v>
      </c>
      <c r="AD72" s="119" cm="1">
        <f t="array" ref="AD72">SUMPRODUCT(($I67:AD67))-SUMPRODUCT(($I67:AD67)*($I$6:AD$6&lt;=(AD$6-$E15)))</f>
        <v>-990000</v>
      </c>
      <c r="AE72" s="119" cm="1">
        <f t="array" ref="AE72">SUMPRODUCT(($I67:AE67))-SUMPRODUCT(($I67:AE67)*($I$6:AE$6&lt;=(AE$6-$E15)))</f>
        <v>-990000</v>
      </c>
      <c r="AF72" s="119" cm="1">
        <f t="array" ref="AF72">SUMPRODUCT(($I67:AF67))-SUMPRODUCT(($I67:AF67)*($I$6:AF$6&lt;=(AF$6-$E15)))</f>
        <v>-990000</v>
      </c>
      <c r="AG72" s="119" cm="1">
        <f t="array" ref="AG72">SUMPRODUCT(($I67:AG67))-SUMPRODUCT(($I67:AG67)*($I$6:AG$6&lt;=(AG$6-$E15)))</f>
        <v>-990000</v>
      </c>
      <c r="AH72"/>
    </row>
    <row r="73" spans="1:34" x14ac:dyDescent="0.2">
      <c r="A73" s="8"/>
      <c r="B73" s="8"/>
      <c r="C73" s="4">
        <f>C16</f>
        <v>0</v>
      </c>
      <c r="D73" s="38"/>
      <c r="F73" s="97"/>
      <c r="G73" s="212">
        <f>input_dollars</f>
        <v>45291</v>
      </c>
      <c r="H73" s="31"/>
      <c r="I73" s="119" cm="1">
        <f t="array" ref="I73">SUMPRODUCT(($I68:I68))-SUMPRODUCT(($I68:I68)*($I$6:I$6&lt;=(I$6-$E16)))</f>
        <v>0</v>
      </c>
      <c r="J73" s="119" cm="1">
        <f t="array" ref="J73">SUMPRODUCT(($I68:J68))-SUMPRODUCT(($I68:J68)*($I$6:J$6&lt;=(J$6-$E16)))</f>
        <v>0</v>
      </c>
      <c r="K73" s="119" cm="1">
        <f t="array" ref="K73">SUMPRODUCT(($I68:K68))-SUMPRODUCT(($I68:K68)*($I$6:K$6&lt;=(K$6-$E16)))</f>
        <v>0</v>
      </c>
      <c r="L73" s="119" cm="1">
        <f t="array" ref="L73">SUMPRODUCT(($I68:L68))-SUMPRODUCT(($I68:L68)*($I$6:L$6&lt;=(L$6-$E16)))</f>
        <v>0</v>
      </c>
      <c r="M73" s="119" cm="1">
        <f t="array" ref="M73">SUMPRODUCT(($I68:M68))-SUMPRODUCT(($I68:M68)*($I$6:M$6&lt;=(M$6-$E16)))</f>
        <v>0</v>
      </c>
      <c r="N73" s="119" cm="1">
        <f t="array" ref="N73">SUMPRODUCT(($I68:N68))-SUMPRODUCT(($I68:N68)*($I$6:N$6&lt;=(N$6-$E16)))</f>
        <v>0</v>
      </c>
      <c r="O73" s="119" cm="1">
        <f t="array" ref="O73">SUMPRODUCT(($I68:O68))-SUMPRODUCT(($I68:O68)*($I$6:O$6&lt;=(O$6-$E16)))</f>
        <v>0</v>
      </c>
      <c r="P73" s="119" cm="1">
        <f t="array" ref="P73">SUMPRODUCT(($I68:P68))-SUMPRODUCT(($I68:P68)*($I$6:P$6&lt;=(P$6-$E16)))</f>
        <v>0</v>
      </c>
      <c r="Q73" s="119" cm="1">
        <f t="array" ref="Q73">SUMPRODUCT(($I68:Q68))-SUMPRODUCT(($I68:Q68)*($I$6:Q$6&lt;=(Q$6-$E16)))</f>
        <v>0</v>
      </c>
      <c r="R73" s="119" cm="1">
        <f t="array" ref="R73">SUMPRODUCT(($I68:R68))-SUMPRODUCT(($I68:R68)*($I$6:R$6&lt;=(R$6-$E16)))</f>
        <v>0</v>
      </c>
      <c r="S73" s="119" cm="1">
        <f t="array" ref="S73">SUMPRODUCT(($I68:S68))-SUMPRODUCT(($I68:S68)*($I$6:S$6&lt;=(S$6-$E16)))</f>
        <v>0</v>
      </c>
      <c r="T73" s="119" cm="1">
        <f t="array" ref="T73">SUMPRODUCT(($I68:T68))-SUMPRODUCT(($I68:T68)*($I$6:T$6&lt;=(T$6-$E16)))</f>
        <v>0</v>
      </c>
      <c r="U73" s="119" cm="1">
        <f t="array" ref="U73">SUMPRODUCT(($I68:U68))-SUMPRODUCT(($I68:U68)*($I$6:U$6&lt;=(U$6-$E16)))</f>
        <v>0</v>
      </c>
      <c r="V73" s="119" cm="1">
        <f t="array" ref="V73">SUMPRODUCT(($I68:V68))-SUMPRODUCT(($I68:V68)*($I$6:V$6&lt;=(V$6-$E16)))</f>
        <v>0</v>
      </c>
      <c r="W73" s="119" cm="1">
        <f t="array" ref="W73">SUMPRODUCT(($I68:W68))-SUMPRODUCT(($I68:W68)*($I$6:W$6&lt;=(W$6-$E16)))</f>
        <v>0</v>
      </c>
      <c r="X73" s="119" cm="1">
        <f t="array" ref="X73">SUMPRODUCT(($I68:X68))-SUMPRODUCT(($I68:X68)*($I$6:X$6&lt;=(X$6-$E16)))</f>
        <v>0</v>
      </c>
      <c r="Y73" s="119" cm="1">
        <f t="array" ref="Y73">SUMPRODUCT(($I68:Y68))-SUMPRODUCT(($I68:Y68)*($I$6:Y$6&lt;=(Y$6-$E16)))</f>
        <v>0</v>
      </c>
      <c r="Z73" s="119" cm="1">
        <f t="array" ref="Z73">SUMPRODUCT(($I68:Z68))-SUMPRODUCT(($I68:Z68)*($I$6:Z$6&lt;=(Z$6-$E16)))</f>
        <v>0</v>
      </c>
      <c r="AA73" s="119" cm="1">
        <f t="array" ref="AA73">SUMPRODUCT(($I68:AA68))-SUMPRODUCT(($I68:AA68)*($I$6:AA$6&lt;=(AA$6-$E16)))</f>
        <v>0</v>
      </c>
      <c r="AB73" s="119" cm="1">
        <f t="array" ref="AB73">SUMPRODUCT(($I68:AB68))-SUMPRODUCT(($I68:AB68)*($I$6:AB$6&lt;=(AB$6-$E16)))</f>
        <v>0</v>
      </c>
      <c r="AC73" s="119" cm="1">
        <f t="array" ref="AC73">SUMPRODUCT(($I68:AC68))-SUMPRODUCT(($I68:AC68)*($I$6:AC$6&lt;=(AC$6-$E16)))</f>
        <v>0</v>
      </c>
      <c r="AD73" s="119" cm="1">
        <f t="array" ref="AD73">SUMPRODUCT(($I68:AD68))-SUMPRODUCT(($I68:AD68)*($I$6:AD$6&lt;=(AD$6-$E16)))</f>
        <v>0</v>
      </c>
      <c r="AE73" s="119" cm="1">
        <f t="array" ref="AE73">SUMPRODUCT(($I68:AE68))-SUMPRODUCT(($I68:AE68)*($I$6:AE$6&lt;=(AE$6-$E16)))</f>
        <v>0</v>
      </c>
      <c r="AF73" s="119" cm="1">
        <f t="array" ref="AF73">SUMPRODUCT(($I68:AF68))-SUMPRODUCT(($I68:AF68)*($I$6:AF$6&lt;=(AF$6-$E16)))</f>
        <v>0</v>
      </c>
      <c r="AG73" s="119" cm="1">
        <f t="array" ref="AG73">SUMPRODUCT(($I68:AG68))-SUMPRODUCT(($I68:AG68)*($I$6:AG$6&lt;=(AG$6-$E16)))</f>
        <v>0</v>
      </c>
      <c r="AH73"/>
    </row>
    <row r="74" spans="1:34" x14ac:dyDescent="0.2">
      <c r="A74" s="8"/>
      <c r="B74" s="8"/>
      <c r="C74" s="4"/>
      <c r="D74" s="38"/>
      <c r="F74" s="97"/>
      <c r="G74" s="216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/>
    </row>
    <row r="75" spans="1:34" x14ac:dyDescent="0.2">
      <c r="A75" s="8"/>
      <c r="B75" s="8"/>
      <c r="C75" s="150" t="s">
        <v>91</v>
      </c>
      <c r="D75" s="38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4" t="str">
        <f>$C$75&amp;" - "&amp;C14</f>
        <v>Annualised capex - Replace Cable Boxes under program</v>
      </c>
      <c r="D76" s="38"/>
      <c r="G76" s="212">
        <f>input_dollars</f>
        <v>45291</v>
      </c>
      <c r="H76" s="31"/>
      <c r="I76" s="119">
        <f t="shared" ref="I76:AG76" si="7">IF($E14=0,0,-PMT(real_disc, $E14,H71,))</f>
        <v>0</v>
      </c>
      <c r="J76" s="119">
        <f t="shared" si="7"/>
        <v>-102320.90295971515</v>
      </c>
      <c r="K76" s="119">
        <f t="shared" si="7"/>
        <v>-204641.80591943031</v>
      </c>
      <c r="L76" s="119">
        <f t="shared" si="7"/>
        <v>-306962.70887914544</v>
      </c>
      <c r="M76" s="119">
        <f t="shared" si="7"/>
        <v>-409283.61183886061</v>
      </c>
      <c r="N76" s="119">
        <f t="shared" si="7"/>
        <v>-511604.51479857572</v>
      </c>
      <c r="O76" s="119">
        <f t="shared" si="7"/>
        <v>-613925.41775829089</v>
      </c>
      <c r="P76" s="119">
        <f t="shared" si="7"/>
        <v>-652167.85523948446</v>
      </c>
      <c r="Q76" s="119">
        <f t="shared" si="7"/>
        <v>-652167.85523948446</v>
      </c>
      <c r="R76" s="119">
        <f t="shared" si="7"/>
        <v>-652167.85523948446</v>
      </c>
      <c r="S76" s="119">
        <f t="shared" si="7"/>
        <v>-652167.85523948446</v>
      </c>
      <c r="T76" s="119">
        <f t="shared" si="7"/>
        <v>-652167.85523948446</v>
      </c>
      <c r="U76" s="119">
        <f t="shared" si="7"/>
        <v>-652167.85523948446</v>
      </c>
      <c r="V76" s="119">
        <f t="shared" si="7"/>
        <v>-652167.85523948446</v>
      </c>
      <c r="W76" s="119">
        <f t="shared" si="7"/>
        <v>-652167.85523948446</v>
      </c>
      <c r="X76" s="119">
        <f t="shared" si="7"/>
        <v>-652167.85523948446</v>
      </c>
      <c r="Y76" s="119">
        <f t="shared" si="7"/>
        <v>-652167.85523948446</v>
      </c>
      <c r="Z76" s="119">
        <f t="shared" si="7"/>
        <v>-652167.85523948446</v>
      </c>
      <c r="AA76" s="119">
        <f t="shared" si="7"/>
        <v>-652167.85523948446</v>
      </c>
      <c r="AB76" s="119">
        <f t="shared" si="7"/>
        <v>-652167.85523948446</v>
      </c>
      <c r="AC76" s="119">
        <f t="shared" si="7"/>
        <v>-652167.85523948446</v>
      </c>
      <c r="AD76" s="119">
        <f t="shared" si="7"/>
        <v>-652167.85523948446</v>
      </c>
      <c r="AE76" s="119">
        <f t="shared" si="7"/>
        <v>-652167.85523948446</v>
      </c>
      <c r="AF76" s="119">
        <f t="shared" si="7"/>
        <v>-652167.85523948446</v>
      </c>
      <c r="AG76" s="119">
        <f t="shared" si="7"/>
        <v>-652167.85523948446</v>
      </c>
      <c r="AH76"/>
    </row>
    <row r="77" spans="1:34" x14ac:dyDescent="0.2">
      <c r="A77" s="8"/>
      <c r="B77" s="8"/>
      <c r="C77" s="4" t="str">
        <f>$C$75&amp;" - "&amp;C15</f>
        <v>Annualised capex - Replace Failed Cable Boxes under Faults Capex</v>
      </c>
      <c r="D77" s="38"/>
      <c r="G77" s="212">
        <f>input_dollars</f>
        <v>45291</v>
      </c>
      <c r="H77" s="31"/>
      <c r="I77" s="119">
        <f t="shared" ref="I77:AG77" si="8">IF($E15=0,0,-PMT(real_disc, $E15,H72,))</f>
        <v>0</v>
      </c>
      <c r="J77" s="119">
        <f t="shared" si="8"/>
        <v>-11724.270130800694</v>
      </c>
      <c r="K77" s="119">
        <f t="shared" si="8"/>
        <v>-21103.686235441248</v>
      </c>
      <c r="L77" s="119">
        <f t="shared" si="8"/>
        <v>-28138.248313921667</v>
      </c>
      <c r="M77" s="119">
        <f t="shared" si="8"/>
        <v>-35172.810392402083</v>
      </c>
      <c r="N77" s="119">
        <f t="shared" si="8"/>
        <v>-39862.518444722366</v>
      </c>
      <c r="O77" s="119">
        <f t="shared" si="8"/>
        <v>-42207.372470882496</v>
      </c>
      <c r="P77" s="119">
        <f t="shared" si="8"/>
        <v>-42207.372470882496</v>
      </c>
      <c r="Q77" s="119">
        <f t="shared" si="8"/>
        <v>-42207.372470882496</v>
      </c>
      <c r="R77" s="119">
        <f t="shared" si="8"/>
        <v>-42207.372470882496</v>
      </c>
      <c r="S77" s="119">
        <f t="shared" si="8"/>
        <v>-42207.372470882496</v>
      </c>
      <c r="T77" s="119">
        <f t="shared" si="8"/>
        <v>-42207.372470882496</v>
      </c>
      <c r="U77" s="119">
        <f t="shared" si="8"/>
        <v>-42207.372470882496</v>
      </c>
      <c r="V77" s="119">
        <f t="shared" si="8"/>
        <v>-42207.372470882496</v>
      </c>
      <c r="W77" s="119">
        <f t="shared" si="8"/>
        <v>-42207.372470882496</v>
      </c>
      <c r="X77" s="119">
        <f t="shared" si="8"/>
        <v>-42207.372470882496</v>
      </c>
      <c r="Y77" s="119">
        <f t="shared" si="8"/>
        <v>-42207.372470882496</v>
      </c>
      <c r="Z77" s="119">
        <f t="shared" si="8"/>
        <v>-42207.372470882496</v>
      </c>
      <c r="AA77" s="119">
        <f t="shared" si="8"/>
        <v>-42207.372470882496</v>
      </c>
      <c r="AB77" s="119">
        <f t="shared" si="8"/>
        <v>-42207.372470882496</v>
      </c>
      <c r="AC77" s="119">
        <f t="shared" si="8"/>
        <v>-42207.372470882496</v>
      </c>
      <c r="AD77" s="119">
        <f t="shared" si="8"/>
        <v>-42207.372470882496</v>
      </c>
      <c r="AE77" s="119">
        <f t="shared" si="8"/>
        <v>-42207.372470882496</v>
      </c>
      <c r="AF77" s="119">
        <f t="shared" si="8"/>
        <v>-42207.372470882496</v>
      </c>
      <c r="AG77" s="119">
        <f t="shared" si="8"/>
        <v>-42207.372470882496</v>
      </c>
      <c r="AH77"/>
    </row>
    <row r="78" spans="1:34" x14ac:dyDescent="0.2">
      <c r="A78" s="8"/>
      <c r="B78" s="8"/>
      <c r="C78" s="4" t="str">
        <f>$C$75&amp;" - "&amp;C16</f>
        <v xml:space="preserve">Annualised capex - </v>
      </c>
      <c r="D78" s="38"/>
      <c r="G78" s="212">
        <f>input_dollars</f>
        <v>45291</v>
      </c>
      <c r="H78" s="31"/>
      <c r="I78" s="119">
        <f t="shared" ref="I78:AG78" si="9">IF($E16=0,0,-PMT(real_disc, $E16,H73,))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174" t="s">
        <v>156</v>
      </c>
      <c r="D79" s="174"/>
      <c r="E79" s="175"/>
      <c r="F79" s="176"/>
      <c r="G79" s="217">
        <f>input_dollars</f>
        <v>45291</v>
      </c>
      <c r="H79" s="177"/>
      <c r="I79" s="178">
        <f>SUM(I76:I78)</f>
        <v>0</v>
      </c>
      <c r="J79" s="178">
        <f t="shared" ref="J79:AB79" si="10">SUM(J76:J78)</f>
        <v>-114045.17309051585</v>
      </c>
      <c r="K79" s="178">
        <f t="shared" si="10"/>
        <v>-225745.49215487155</v>
      </c>
      <c r="L79" s="178">
        <f t="shared" si="10"/>
        <v>-335100.95719306712</v>
      </c>
      <c r="M79" s="178">
        <f t="shared" si="10"/>
        <v>-444456.42223126267</v>
      </c>
      <c r="N79" s="178">
        <f t="shared" si="10"/>
        <v>-551467.03324329806</v>
      </c>
      <c r="O79" s="178">
        <f t="shared" si="10"/>
        <v>-656132.79022917338</v>
      </c>
      <c r="P79" s="178">
        <f t="shared" si="10"/>
        <v>-694375.22771036695</v>
      </c>
      <c r="Q79" s="178">
        <f t="shared" si="10"/>
        <v>-694375.22771036695</v>
      </c>
      <c r="R79" s="178">
        <f t="shared" si="10"/>
        <v>-694375.22771036695</v>
      </c>
      <c r="S79" s="178">
        <f t="shared" si="10"/>
        <v>-694375.22771036695</v>
      </c>
      <c r="T79" s="178">
        <f t="shared" si="10"/>
        <v>-694375.22771036695</v>
      </c>
      <c r="U79" s="178">
        <f t="shared" si="10"/>
        <v>-694375.22771036695</v>
      </c>
      <c r="V79" s="178">
        <f t="shared" si="10"/>
        <v>-694375.22771036695</v>
      </c>
      <c r="W79" s="178">
        <f t="shared" si="10"/>
        <v>-694375.22771036695</v>
      </c>
      <c r="X79" s="178">
        <f t="shared" si="10"/>
        <v>-694375.22771036695</v>
      </c>
      <c r="Y79" s="178">
        <f t="shared" si="10"/>
        <v>-694375.22771036695</v>
      </c>
      <c r="Z79" s="178">
        <f t="shared" si="10"/>
        <v>-694375.22771036695</v>
      </c>
      <c r="AA79" s="178">
        <f t="shared" si="10"/>
        <v>-694375.22771036695</v>
      </c>
      <c r="AB79" s="178">
        <f t="shared" si="10"/>
        <v>-694375.22771036695</v>
      </c>
      <c r="AC79" s="178">
        <f>SUM(AC76:AC78)</f>
        <v>-694375.22771036695</v>
      </c>
      <c r="AD79" s="178">
        <f>SUM(AD76:AD78)</f>
        <v>-694375.22771036695</v>
      </c>
      <c r="AE79" s="178">
        <f>SUM(AE76:AE78)</f>
        <v>-694375.22771036695</v>
      </c>
      <c r="AF79" s="178">
        <f>SUM(AF76:AF78)</f>
        <v>-694375.22771036695</v>
      </c>
      <c r="AG79" s="178">
        <f>SUM(AG76:AG78)</f>
        <v>-694375.22771036695</v>
      </c>
      <c r="AH79"/>
    </row>
    <row r="80" spans="1:34" x14ac:dyDescent="0.2">
      <c r="A80" s="8"/>
      <c r="B80" s="8"/>
      <c r="C80" s="75"/>
      <c r="D80" s="38"/>
      <c r="F80"/>
      <c r="G80" s="21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x14ac:dyDescent="0.2">
      <c r="A81" s="8"/>
      <c r="B81" s="8"/>
      <c r="C81" s="4" t="s">
        <v>91</v>
      </c>
      <c r="D81" s="38"/>
      <c r="F81" s="97"/>
      <c r="G81" s="212">
        <f t="shared" ref="G81:G86" si="11">input_dollars</f>
        <v>45291</v>
      </c>
      <c r="H81" s="31"/>
      <c r="I81" s="119">
        <f>I79</f>
        <v>0</v>
      </c>
      <c r="J81" s="119">
        <f t="shared" ref="J81:AB81" si="12">J79</f>
        <v>-114045.17309051585</v>
      </c>
      <c r="K81" s="119">
        <f t="shared" si="12"/>
        <v>-225745.49215487155</v>
      </c>
      <c r="L81" s="119">
        <f t="shared" si="12"/>
        <v>-335100.95719306712</v>
      </c>
      <c r="M81" s="119">
        <f t="shared" si="12"/>
        <v>-444456.42223126267</v>
      </c>
      <c r="N81" s="119">
        <f t="shared" si="12"/>
        <v>-551467.03324329806</v>
      </c>
      <c r="O81" s="119">
        <f t="shared" si="12"/>
        <v>-656132.79022917338</v>
      </c>
      <c r="P81" s="119">
        <f t="shared" si="12"/>
        <v>-694375.22771036695</v>
      </c>
      <c r="Q81" s="119">
        <f t="shared" si="12"/>
        <v>-694375.22771036695</v>
      </c>
      <c r="R81" s="119">
        <f t="shared" si="12"/>
        <v>-694375.22771036695</v>
      </c>
      <c r="S81" s="119">
        <f t="shared" si="12"/>
        <v>-694375.22771036695</v>
      </c>
      <c r="T81" s="119">
        <f t="shared" si="12"/>
        <v>-694375.22771036695</v>
      </c>
      <c r="U81" s="119">
        <f t="shared" si="12"/>
        <v>-694375.22771036695</v>
      </c>
      <c r="V81" s="119">
        <f t="shared" si="12"/>
        <v>-694375.22771036695</v>
      </c>
      <c r="W81" s="119">
        <f t="shared" si="12"/>
        <v>-694375.22771036695</v>
      </c>
      <c r="X81" s="119">
        <f t="shared" si="12"/>
        <v>-694375.22771036695</v>
      </c>
      <c r="Y81" s="119">
        <f t="shared" si="12"/>
        <v>-694375.22771036695</v>
      </c>
      <c r="Z81" s="119">
        <f t="shared" si="12"/>
        <v>-694375.22771036695</v>
      </c>
      <c r="AA81" s="119">
        <f t="shared" si="12"/>
        <v>-694375.22771036695</v>
      </c>
      <c r="AB81" s="119">
        <f t="shared" si="12"/>
        <v>-694375.22771036695</v>
      </c>
      <c r="AC81" s="119">
        <f>AC79</f>
        <v>-694375.22771036695</v>
      </c>
      <c r="AD81" s="119">
        <f>AD79</f>
        <v>-694375.22771036695</v>
      </c>
      <c r="AE81" s="119">
        <f>AE79</f>
        <v>-694375.22771036695</v>
      </c>
      <c r="AF81" s="119">
        <f>AF79</f>
        <v>-694375.22771036695</v>
      </c>
      <c r="AG81" s="119">
        <f>AG79</f>
        <v>-694375.22771036695</v>
      </c>
      <c r="AH81"/>
    </row>
    <row r="82" spans="1:34" x14ac:dyDescent="0.2">
      <c r="A82" s="8"/>
      <c r="B82" s="8"/>
      <c r="C82" s="4" t="s">
        <v>31</v>
      </c>
      <c r="D82" s="38"/>
      <c r="F82" s="97"/>
      <c r="G82" s="212">
        <f t="shared" si="11"/>
        <v>45291</v>
      </c>
      <c r="H82" s="31"/>
      <c r="I82" s="31">
        <f t="shared" ref="I82:AG82" si="13">-I19</f>
        <v>0</v>
      </c>
      <c r="J82" s="31">
        <f t="shared" si="13"/>
        <v>0</v>
      </c>
      <c r="K82" s="31">
        <f t="shared" si="13"/>
        <v>0</v>
      </c>
      <c r="L82" s="31">
        <f t="shared" si="13"/>
        <v>0</v>
      </c>
      <c r="M82" s="31">
        <f t="shared" si="13"/>
        <v>0</v>
      </c>
      <c r="N82" s="31">
        <f t="shared" si="13"/>
        <v>0</v>
      </c>
      <c r="O82" s="31">
        <f t="shared" si="13"/>
        <v>0</v>
      </c>
      <c r="P82" s="31">
        <f t="shared" si="13"/>
        <v>0</v>
      </c>
      <c r="Q82" s="31">
        <f t="shared" si="13"/>
        <v>0</v>
      </c>
      <c r="R82" s="31">
        <f t="shared" si="13"/>
        <v>0</v>
      </c>
      <c r="S82" s="31">
        <f t="shared" si="13"/>
        <v>0</v>
      </c>
      <c r="T82" s="31">
        <f t="shared" si="13"/>
        <v>0</v>
      </c>
      <c r="U82" s="31">
        <f t="shared" si="13"/>
        <v>0</v>
      </c>
      <c r="V82" s="31">
        <f t="shared" si="13"/>
        <v>0</v>
      </c>
      <c r="W82" s="31">
        <f t="shared" si="13"/>
        <v>0</v>
      </c>
      <c r="X82" s="31">
        <f t="shared" si="13"/>
        <v>0</v>
      </c>
      <c r="Y82" s="31">
        <f t="shared" si="13"/>
        <v>0</v>
      </c>
      <c r="Z82" s="31">
        <f t="shared" si="13"/>
        <v>0</v>
      </c>
      <c r="AA82" s="31">
        <f t="shared" si="13"/>
        <v>0</v>
      </c>
      <c r="AB82" s="31">
        <f t="shared" si="13"/>
        <v>0</v>
      </c>
      <c r="AC82" s="31">
        <f t="shared" si="13"/>
        <v>0</v>
      </c>
      <c r="AD82" s="31">
        <f t="shared" si="13"/>
        <v>0</v>
      </c>
      <c r="AE82" s="31">
        <f t="shared" si="13"/>
        <v>0</v>
      </c>
      <c r="AF82" s="31">
        <f t="shared" si="13"/>
        <v>0</v>
      </c>
      <c r="AG82" s="31">
        <f t="shared" si="13"/>
        <v>0</v>
      </c>
      <c r="AH82"/>
    </row>
    <row r="83" spans="1:34" x14ac:dyDescent="0.2">
      <c r="A83" s="8"/>
      <c r="B83" s="8"/>
      <c r="C83" s="4" t="s">
        <v>140</v>
      </c>
      <c r="D83" s="38"/>
      <c r="F83" s="97"/>
      <c r="G83" s="212">
        <f t="shared" si="11"/>
        <v>45291</v>
      </c>
      <c r="H83" s="31"/>
      <c r="I83" s="31">
        <f t="shared" ref="I83:AG83" si="14">I63</f>
        <v>0</v>
      </c>
      <c r="J83" s="31">
        <f t="shared" si="14"/>
        <v>350041.97237020941</v>
      </c>
      <c r="K83" s="31">
        <f t="shared" si="14"/>
        <v>700083.94474041834</v>
      </c>
      <c r="L83" s="31">
        <f t="shared" si="14"/>
        <v>700083.94474041834</v>
      </c>
      <c r="M83" s="31">
        <f t="shared" si="14"/>
        <v>1050125.917110628</v>
      </c>
      <c r="N83" s="31">
        <f t="shared" si="14"/>
        <v>1050125.9171106277</v>
      </c>
      <c r="O83" s="31">
        <f t="shared" si="14"/>
        <v>1400167.8894808369</v>
      </c>
      <c r="P83" s="31">
        <f t="shared" si="14"/>
        <v>1400167.8894808369</v>
      </c>
      <c r="Q83" s="31">
        <f t="shared" si="14"/>
        <v>1400167.8894808369</v>
      </c>
      <c r="R83" s="31">
        <f t="shared" si="14"/>
        <v>1400167.8894808369</v>
      </c>
      <c r="S83" s="31">
        <f t="shared" si="14"/>
        <v>1400167.8894808369</v>
      </c>
      <c r="T83" s="31">
        <f t="shared" si="14"/>
        <v>1400167.8894808369</v>
      </c>
      <c r="U83" s="31">
        <f t="shared" si="14"/>
        <v>1400167.8894808369</v>
      </c>
      <c r="V83" s="31">
        <f t="shared" si="14"/>
        <v>1050125.917110628</v>
      </c>
      <c r="W83" s="31">
        <f t="shared" si="14"/>
        <v>1050125.917110628</v>
      </c>
      <c r="X83" s="31">
        <f t="shared" si="14"/>
        <v>1050125.917110628</v>
      </c>
      <c r="Y83" s="31">
        <f t="shared" si="14"/>
        <v>1050125.917110628</v>
      </c>
      <c r="Z83" s="31">
        <f t="shared" si="14"/>
        <v>1050125.917110628</v>
      </c>
      <c r="AA83" s="31">
        <f t="shared" si="14"/>
        <v>1050125.917110628</v>
      </c>
      <c r="AB83" s="31">
        <f t="shared" si="14"/>
        <v>1050125.917110628</v>
      </c>
      <c r="AC83" s="31">
        <f t="shared" si="14"/>
        <v>1050125.917110628</v>
      </c>
      <c r="AD83" s="31">
        <f t="shared" si="14"/>
        <v>1050125.917110628</v>
      </c>
      <c r="AE83" s="31">
        <f t="shared" si="14"/>
        <v>1050125.917110628</v>
      </c>
      <c r="AF83" s="31">
        <f t="shared" si="14"/>
        <v>1050125.917110628</v>
      </c>
      <c r="AG83" s="31">
        <f t="shared" si="14"/>
        <v>700083.94474041846</v>
      </c>
      <c r="AH83"/>
    </row>
    <row r="84" spans="1:34" x14ac:dyDescent="0.2">
      <c r="A84" s="8"/>
      <c r="B84" s="8"/>
      <c r="C84" s="4" t="s">
        <v>122</v>
      </c>
      <c r="D84" s="38"/>
      <c r="F84" s="97"/>
      <c r="G84" s="212">
        <f t="shared" si="11"/>
        <v>45291</v>
      </c>
      <c r="H84" s="31"/>
      <c r="I84" s="31">
        <f t="shared" ref="I84:AG84" si="15">I56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/>
      <c r="D85" s="38"/>
      <c r="F85" s="31"/>
      <c r="G85" s="21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/>
    </row>
    <row r="86" spans="1:34" x14ac:dyDescent="0.2">
      <c r="A86" s="8"/>
      <c r="B86" s="8"/>
      <c r="C86" s="179" t="s">
        <v>186</v>
      </c>
      <c r="D86" s="180"/>
      <c r="E86" s="175"/>
      <c r="F86" s="181"/>
      <c r="G86" s="217">
        <f t="shared" si="11"/>
        <v>45291</v>
      </c>
      <c r="H86" s="181"/>
      <c r="I86" s="181">
        <f t="shared" ref="I86:AB86" si="16">SUM(I81:I85)</f>
        <v>0</v>
      </c>
      <c r="J86" s="181">
        <f t="shared" si="16"/>
        <v>235996.79927969357</v>
      </c>
      <c r="K86" s="181">
        <f t="shared" si="16"/>
        <v>474338.45258554677</v>
      </c>
      <c r="L86" s="181">
        <f t="shared" si="16"/>
        <v>364982.98754735122</v>
      </c>
      <c r="M86" s="181">
        <f t="shared" si="16"/>
        <v>605669.49487936532</v>
      </c>
      <c r="N86" s="181">
        <f t="shared" si="16"/>
        <v>498658.88386732969</v>
      </c>
      <c r="O86" s="181">
        <f t="shared" si="16"/>
        <v>744035.09925166355</v>
      </c>
      <c r="P86" s="181">
        <f t="shared" si="16"/>
        <v>705792.66177046997</v>
      </c>
      <c r="Q86" s="181">
        <f t="shared" si="16"/>
        <v>705792.66177046997</v>
      </c>
      <c r="R86" s="181">
        <f t="shared" si="16"/>
        <v>705792.66177046997</v>
      </c>
      <c r="S86" s="181">
        <f t="shared" si="16"/>
        <v>705792.66177046997</v>
      </c>
      <c r="T86" s="181">
        <f t="shared" si="16"/>
        <v>705792.66177046997</v>
      </c>
      <c r="U86" s="181">
        <f t="shared" si="16"/>
        <v>705792.66177046997</v>
      </c>
      <c r="V86" s="181">
        <f t="shared" si="16"/>
        <v>355750.68940026104</v>
      </c>
      <c r="W86" s="181">
        <f t="shared" si="16"/>
        <v>355750.68940026104</v>
      </c>
      <c r="X86" s="181">
        <f t="shared" si="16"/>
        <v>355750.68940026104</v>
      </c>
      <c r="Y86" s="181">
        <f t="shared" si="16"/>
        <v>355750.68940026104</v>
      </c>
      <c r="Z86" s="181">
        <f t="shared" si="16"/>
        <v>355750.68940026104</v>
      </c>
      <c r="AA86" s="181">
        <f t="shared" si="16"/>
        <v>355750.68940026104</v>
      </c>
      <c r="AB86" s="181">
        <f t="shared" si="16"/>
        <v>355750.68940026104</v>
      </c>
      <c r="AC86" s="181">
        <f>SUM(AC81:AC85)</f>
        <v>355750.68940026104</v>
      </c>
      <c r="AD86" s="181">
        <f>SUM(AD81:AD85)</f>
        <v>355750.68940026104</v>
      </c>
      <c r="AE86" s="181">
        <f>SUM(AE81:AE85)</f>
        <v>355750.68940026104</v>
      </c>
      <c r="AF86" s="181">
        <f>SUM(AF81:AF85)</f>
        <v>355750.68940026104</v>
      </c>
      <c r="AG86" s="181">
        <f>SUM(AG81:AG85)</f>
        <v>5708.7170300515136</v>
      </c>
      <c r="AH86"/>
    </row>
    <row r="87" spans="1:34" x14ac:dyDescent="0.2">
      <c r="A87" s="8"/>
      <c r="B87" s="8"/>
      <c r="C87" s="75"/>
      <c r="D87" s="141"/>
      <c r="E87" s="64"/>
      <c r="F87" s="144"/>
      <c r="G87" s="21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/>
    </row>
    <row r="88" spans="1:34" x14ac:dyDescent="0.2">
      <c r="A88" s="8"/>
      <c r="B88" s="8"/>
      <c r="C88" s="75"/>
      <c r="D88" s="141"/>
      <c r="E88" s="64"/>
      <c r="F88" s="144"/>
      <c r="G88" s="21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232" t="s">
        <v>196</v>
      </c>
      <c r="D89" s="82"/>
      <c r="E89" s="233"/>
      <c r="F89" s="234"/>
      <c r="G89" s="235" cm="1">
        <f t="array" ref="G89">IF(SUM($I17:$AG17)=0,0,(INDEX(I$6:AG$6,MATCH(TRUE,INDEX($I17:$AG17&lt;&gt;0,),0))))</f>
        <v>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/>
    </row>
    <row r="90" spans="1:34" x14ac:dyDescent="0.2">
      <c r="C90" s="82"/>
      <c r="D90" s="236"/>
      <c r="E90" s="233"/>
      <c r="F90" s="233"/>
      <c r="G90" s="235"/>
    </row>
    <row r="91" spans="1:34" x14ac:dyDescent="0.2">
      <c r="C91" s="237" t="s">
        <v>191</v>
      </c>
      <c r="D91" s="238"/>
      <c r="E91" s="238"/>
      <c r="F91" s="238"/>
      <c r="G91" s="239">
        <f>IF(_xlfn.MINIFS($G$89:$G$90, $G$89:$G$90, "&gt;"&amp;0)=0, $A$4, _xlfn.MINIFS($G$89:$G$90, $G$89:$G$90, "&gt;"&amp;0))</f>
        <v>1</v>
      </c>
    </row>
    <row r="93" spans="1:34" x14ac:dyDescent="0.2">
      <c r="G93" s="12"/>
    </row>
    <row r="101" spans="1:43" ht="15" x14ac:dyDescent="0.2">
      <c r="A101" s="89" t="s">
        <v>216</v>
      </c>
      <c r="B101" s="89"/>
      <c r="C101" s="89"/>
      <c r="D101" s="89"/>
      <c r="E101" s="89"/>
      <c r="F101" s="89"/>
      <c r="G101" s="206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/>
      <c r="AI101"/>
      <c r="AJ101"/>
      <c r="AK101"/>
      <c r="AL101"/>
      <c r="AM101"/>
      <c r="AN101"/>
      <c r="AO101"/>
      <c r="AP101"/>
      <c r="AQ101"/>
    </row>
    <row r="103" spans="1:43" x14ac:dyDescent="0.2"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43" x14ac:dyDescent="0.2"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43" x14ac:dyDescent="0.2">
      <c r="A105" s="1" t="s">
        <v>119</v>
      </c>
      <c r="C105" s="1" t="s">
        <v>186</v>
      </c>
      <c r="D105"/>
      <c r="E105"/>
      <c r="F105"/>
      <c r="G105" s="38" t="str">
        <f>PROPER($A$3)&amp;A105</f>
        <v>Option 3NPV</v>
      </c>
      <c r="I105" s="31">
        <f>I86</f>
        <v>0</v>
      </c>
      <c r="J105" s="31">
        <f t="shared" ref="J105:AG105" si="17">J86</f>
        <v>235996.79927969357</v>
      </c>
      <c r="K105" s="31">
        <f t="shared" si="17"/>
        <v>474338.45258554677</v>
      </c>
      <c r="L105" s="31">
        <f t="shared" si="17"/>
        <v>364982.98754735122</v>
      </c>
      <c r="M105" s="31">
        <f t="shared" si="17"/>
        <v>605669.49487936532</v>
      </c>
      <c r="N105" s="31">
        <f t="shared" si="17"/>
        <v>498658.88386732969</v>
      </c>
      <c r="O105" s="31">
        <f t="shared" si="17"/>
        <v>744035.09925166355</v>
      </c>
      <c r="P105" s="31">
        <f t="shared" si="17"/>
        <v>705792.66177046997</v>
      </c>
      <c r="Q105" s="31">
        <f t="shared" si="17"/>
        <v>705792.66177046997</v>
      </c>
      <c r="R105" s="31">
        <f t="shared" si="17"/>
        <v>705792.66177046997</v>
      </c>
      <c r="S105" s="31">
        <f t="shared" si="17"/>
        <v>705792.66177046997</v>
      </c>
      <c r="T105" s="31">
        <f t="shared" si="17"/>
        <v>705792.66177046997</v>
      </c>
      <c r="U105" s="31">
        <f t="shared" si="17"/>
        <v>705792.66177046997</v>
      </c>
      <c r="V105" s="31">
        <f t="shared" si="17"/>
        <v>355750.68940026104</v>
      </c>
      <c r="W105" s="31">
        <f t="shared" si="17"/>
        <v>355750.68940026104</v>
      </c>
      <c r="X105" s="31">
        <f t="shared" si="17"/>
        <v>355750.68940026104</v>
      </c>
      <c r="Y105" s="31">
        <f t="shared" si="17"/>
        <v>355750.68940026104</v>
      </c>
      <c r="Z105" s="31">
        <f t="shared" si="17"/>
        <v>355750.68940026104</v>
      </c>
      <c r="AA105" s="31">
        <f t="shared" si="17"/>
        <v>355750.68940026104</v>
      </c>
      <c r="AB105" s="31">
        <f t="shared" si="17"/>
        <v>355750.68940026104</v>
      </c>
      <c r="AC105" s="31">
        <f t="shared" si="17"/>
        <v>355750.68940026104</v>
      </c>
      <c r="AD105" s="31">
        <f t="shared" si="17"/>
        <v>355750.68940026104</v>
      </c>
      <c r="AE105" s="31">
        <f t="shared" si="17"/>
        <v>355750.68940026104</v>
      </c>
      <c r="AF105" s="31">
        <f t="shared" si="17"/>
        <v>355750.68940026104</v>
      </c>
      <c r="AG105" s="31">
        <f t="shared" si="17"/>
        <v>5708.7170300515136</v>
      </c>
    </row>
    <row r="106" spans="1:43" x14ac:dyDescent="0.2">
      <c r="C106" s="1" t="s">
        <v>156</v>
      </c>
      <c r="D106"/>
      <c r="E106"/>
      <c r="F106"/>
      <c r="G106"/>
      <c r="I106" s="31">
        <f>I81</f>
        <v>0</v>
      </c>
      <c r="J106" s="31">
        <f t="shared" ref="J106:AG106" si="18">J81</f>
        <v>-114045.17309051585</v>
      </c>
      <c r="K106" s="31">
        <f t="shared" si="18"/>
        <v>-225745.49215487155</v>
      </c>
      <c r="L106" s="31">
        <f t="shared" si="18"/>
        <v>-335100.95719306712</v>
      </c>
      <c r="M106" s="31">
        <f t="shared" si="18"/>
        <v>-444456.42223126267</v>
      </c>
      <c r="N106" s="31">
        <f t="shared" si="18"/>
        <v>-551467.03324329806</v>
      </c>
      <c r="O106" s="31">
        <f t="shared" si="18"/>
        <v>-656132.79022917338</v>
      </c>
      <c r="P106" s="31">
        <f t="shared" si="18"/>
        <v>-694375.22771036695</v>
      </c>
      <c r="Q106" s="31">
        <f t="shared" si="18"/>
        <v>-694375.22771036695</v>
      </c>
      <c r="R106" s="31">
        <f t="shared" si="18"/>
        <v>-694375.22771036695</v>
      </c>
      <c r="S106" s="31">
        <f t="shared" si="18"/>
        <v>-694375.22771036695</v>
      </c>
      <c r="T106" s="31">
        <f t="shared" si="18"/>
        <v>-694375.22771036695</v>
      </c>
      <c r="U106" s="31">
        <f t="shared" si="18"/>
        <v>-694375.22771036695</v>
      </c>
      <c r="V106" s="31">
        <f t="shared" si="18"/>
        <v>-694375.22771036695</v>
      </c>
      <c r="W106" s="31">
        <f t="shared" si="18"/>
        <v>-694375.22771036695</v>
      </c>
      <c r="X106" s="31">
        <f t="shared" si="18"/>
        <v>-694375.22771036695</v>
      </c>
      <c r="Y106" s="31">
        <f t="shared" si="18"/>
        <v>-694375.22771036695</v>
      </c>
      <c r="Z106" s="31">
        <f t="shared" si="18"/>
        <v>-694375.22771036695</v>
      </c>
      <c r="AA106" s="31">
        <f t="shared" si="18"/>
        <v>-694375.22771036695</v>
      </c>
      <c r="AB106" s="31">
        <f t="shared" si="18"/>
        <v>-694375.22771036695</v>
      </c>
      <c r="AC106" s="31">
        <f t="shared" si="18"/>
        <v>-694375.22771036695</v>
      </c>
      <c r="AD106" s="31">
        <f t="shared" si="18"/>
        <v>-694375.22771036695</v>
      </c>
      <c r="AE106" s="31">
        <f t="shared" si="18"/>
        <v>-694375.22771036695</v>
      </c>
      <c r="AF106" s="31">
        <f t="shared" si="18"/>
        <v>-694375.22771036695</v>
      </c>
      <c r="AG106" s="31">
        <f t="shared" si="18"/>
        <v>-694375.22771036695</v>
      </c>
    </row>
    <row r="107" spans="1:43" x14ac:dyDescent="0.2">
      <c r="C107" s="1" t="s">
        <v>239</v>
      </c>
      <c r="D107"/>
      <c r="E107"/>
      <c r="F107"/>
      <c r="G107"/>
      <c r="I107" s="31">
        <f>SUM(I83:I84)</f>
        <v>0</v>
      </c>
      <c r="J107" s="31">
        <f t="shared" ref="J107:AG107" si="19">SUM(J83:J84)</f>
        <v>350041.97237020941</v>
      </c>
      <c r="K107" s="31">
        <f t="shared" si="19"/>
        <v>700083.94474041834</v>
      </c>
      <c r="L107" s="31">
        <f t="shared" si="19"/>
        <v>700083.94474041834</v>
      </c>
      <c r="M107" s="31">
        <f t="shared" si="19"/>
        <v>1050125.917110628</v>
      </c>
      <c r="N107" s="31">
        <f t="shared" si="19"/>
        <v>1050125.9171106277</v>
      </c>
      <c r="O107" s="31">
        <f t="shared" si="19"/>
        <v>1400167.8894808369</v>
      </c>
      <c r="P107" s="31">
        <f t="shared" si="19"/>
        <v>1400167.8894808369</v>
      </c>
      <c r="Q107" s="31">
        <f t="shared" si="19"/>
        <v>1400167.8894808369</v>
      </c>
      <c r="R107" s="31">
        <f t="shared" si="19"/>
        <v>1400167.8894808369</v>
      </c>
      <c r="S107" s="31">
        <f t="shared" si="19"/>
        <v>1400167.8894808369</v>
      </c>
      <c r="T107" s="31">
        <f t="shared" si="19"/>
        <v>1400167.8894808369</v>
      </c>
      <c r="U107" s="31">
        <f t="shared" si="19"/>
        <v>1400167.8894808369</v>
      </c>
      <c r="V107" s="31">
        <f t="shared" si="19"/>
        <v>1050125.917110628</v>
      </c>
      <c r="W107" s="31">
        <f t="shared" si="19"/>
        <v>1050125.917110628</v>
      </c>
      <c r="X107" s="31">
        <f t="shared" si="19"/>
        <v>1050125.917110628</v>
      </c>
      <c r="Y107" s="31">
        <f t="shared" si="19"/>
        <v>1050125.917110628</v>
      </c>
      <c r="Z107" s="31">
        <f t="shared" si="19"/>
        <v>1050125.917110628</v>
      </c>
      <c r="AA107" s="31">
        <f t="shared" si="19"/>
        <v>1050125.917110628</v>
      </c>
      <c r="AB107" s="31">
        <f t="shared" si="19"/>
        <v>1050125.917110628</v>
      </c>
      <c r="AC107" s="31">
        <f t="shared" si="19"/>
        <v>1050125.917110628</v>
      </c>
      <c r="AD107" s="31">
        <f t="shared" si="19"/>
        <v>1050125.917110628</v>
      </c>
      <c r="AE107" s="31">
        <f t="shared" si="19"/>
        <v>1050125.917110628</v>
      </c>
      <c r="AF107" s="31">
        <f t="shared" si="19"/>
        <v>1050125.917110628</v>
      </c>
      <c r="AG107" s="31">
        <f t="shared" si="19"/>
        <v>700083.94474041846</v>
      </c>
    </row>
    <row r="108" spans="1:43" x14ac:dyDescent="0.2">
      <c r="D108" s="304" t="str">
        <f>Assumptions!G110</f>
        <v>Capex</v>
      </c>
      <c r="E108" s="304" t="str">
        <f>Assumptions!H110</f>
        <v>Total benefits</v>
      </c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43" x14ac:dyDescent="0.2">
      <c r="A109" s="1" t="str">
        <f>"sens"&amp;Assumptions!B111</f>
        <v>sens1</v>
      </c>
      <c r="C109" s="303" t="str">
        <f>Assumptions!C111</f>
        <v>Capex 10% higher</v>
      </c>
      <c r="D109" s="304">
        <f>Assumptions!G111</f>
        <v>0.1</v>
      </c>
      <c r="E109" s="304">
        <f>Assumptions!H111</f>
        <v>0</v>
      </c>
      <c r="G109" s="38" t="str">
        <f>PROPER($A$3)&amp;A109</f>
        <v>Option 3sens1</v>
      </c>
      <c r="I109" s="31" cm="1">
        <f t="array" ref="I109">I$105+IF($C109&lt;&gt;0,SUMPRODUCT((I$106:I$107)*TRANSPOSE(($D109:$E109))),0)</f>
        <v>0</v>
      </c>
      <c r="J109" s="31" cm="1">
        <f t="array" ref="J109">J$105+IF($C109&lt;&gt;0,SUMPRODUCT((J$106:J$107)*TRANSPOSE(($D109:$E109))),0)</f>
        <v>224592.28197064198</v>
      </c>
      <c r="K109" s="31" cm="1">
        <f t="array" ref="K109">K$105+IF($C109&lt;&gt;0,SUMPRODUCT((K$106:K$107)*TRANSPOSE(($D109:$E109))),0)</f>
        <v>451763.90337005962</v>
      </c>
      <c r="L109" s="31" cm="1">
        <f t="array" ref="L109">L$105+IF($C109&lt;&gt;0,SUMPRODUCT((L$106:L$107)*TRANSPOSE(($D109:$E109))),0)</f>
        <v>331472.89182804449</v>
      </c>
      <c r="M109" s="31" cm="1">
        <f t="array" ref="M109">M$105+IF($C109&lt;&gt;0,SUMPRODUCT((M$106:M$107)*TRANSPOSE(($D109:$E109))),0)</f>
        <v>561223.85265623906</v>
      </c>
      <c r="N109" s="31" cm="1">
        <f t="array" ref="N109">N$105+IF($C109&lt;&gt;0,SUMPRODUCT((N$106:N$107)*TRANSPOSE(($D109:$E109))),0)</f>
        <v>443512.18054299988</v>
      </c>
      <c r="O109" s="31" cm="1">
        <f t="array" ref="O109">O$105+IF($C109&lt;&gt;0,SUMPRODUCT((O$106:O$107)*TRANSPOSE(($D109:$E109))),0)</f>
        <v>678421.82022874616</v>
      </c>
      <c r="P109" s="31" cm="1">
        <f t="array" ref="P109">P$105+IF($C109&lt;&gt;0,SUMPRODUCT((P$106:P$107)*TRANSPOSE(($D109:$E109))),0)</f>
        <v>636355.13899943326</v>
      </c>
      <c r="Q109" s="31" cm="1">
        <f t="array" ref="Q109">Q$105+IF($C109&lt;&gt;0,SUMPRODUCT((Q$106:Q$107)*TRANSPOSE(($D109:$E109))),0)</f>
        <v>636355.13899943326</v>
      </c>
      <c r="R109" s="31" cm="1">
        <f t="array" ref="R109">R$105+IF($C109&lt;&gt;0,SUMPRODUCT((R$106:R$107)*TRANSPOSE(($D109:$E109))),0)</f>
        <v>636355.13899943326</v>
      </c>
      <c r="S109" s="31" cm="1">
        <f t="array" ref="S109">S$105+IF($C109&lt;&gt;0,SUMPRODUCT((S$106:S$107)*TRANSPOSE(($D109:$E109))),0)</f>
        <v>636355.13899943326</v>
      </c>
      <c r="T109" s="31" cm="1">
        <f t="array" ref="T109">T$105+IF($C109&lt;&gt;0,SUMPRODUCT((T$106:T$107)*TRANSPOSE(($D109:$E109))),0)</f>
        <v>636355.13899943326</v>
      </c>
      <c r="U109" s="31" cm="1">
        <f t="array" ref="U109">U$105+IF($C109&lt;&gt;0,SUMPRODUCT((U$106:U$107)*TRANSPOSE(($D109:$E109))),0)</f>
        <v>636355.13899943326</v>
      </c>
      <c r="V109" s="31" cm="1">
        <f t="array" ref="V109">V$105+IF($C109&lt;&gt;0,SUMPRODUCT((V$106:V$107)*TRANSPOSE(($D109:$E109))),0)</f>
        <v>286313.16662922432</v>
      </c>
      <c r="W109" s="31" cm="1">
        <f t="array" ref="W109">W$105+IF($C109&lt;&gt;0,SUMPRODUCT((W$106:W$107)*TRANSPOSE(($D109:$E109))),0)</f>
        <v>286313.16662922432</v>
      </c>
      <c r="X109" s="31" cm="1">
        <f t="array" ref="X109">X$105+IF($C109&lt;&gt;0,SUMPRODUCT((X$106:X$107)*TRANSPOSE(($D109:$E109))),0)</f>
        <v>286313.16662922432</v>
      </c>
      <c r="Y109" s="31" cm="1">
        <f t="array" ref="Y109">Y$105+IF($C109&lt;&gt;0,SUMPRODUCT((Y$106:Y$107)*TRANSPOSE(($D109:$E109))),0)</f>
        <v>286313.16662922432</v>
      </c>
      <c r="Z109" s="31" cm="1">
        <f t="array" ref="Z109">Z$105+IF($C109&lt;&gt;0,SUMPRODUCT((Z$106:Z$107)*TRANSPOSE(($D109:$E109))),0)</f>
        <v>286313.16662922432</v>
      </c>
      <c r="AA109" s="31" cm="1">
        <f t="array" ref="AA109">AA$105+IF($C109&lt;&gt;0,SUMPRODUCT((AA$106:AA$107)*TRANSPOSE(($D109:$E109))),0)</f>
        <v>286313.16662922432</v>
      </c>
      <c r="AB109" s="31" cm="1">
        <f t="array" ref="AB109">AB$105+IF($C109&lt;&gt;0,SUMPRODUCT((AB$106:AB$107)*TRANSPOSE(($D109:$E109))),0)</f>
        <v>286313.16662922432</v>
      </c>
      <c r="AC109" s="31" cm="1">
        <f t="array" ref="AC109">AC$105+IF($C109&lt;&gt;0,SUMPRODUCT((AC$106:AC$107)*TRANSPOSE(($D109:$E109))),0)</f>
        <v>286313.16662922432</v>
      </c>
      <c r="AD109" s="31" cm="1">
        <f t="array" ref="AD109">AD$105+IF($C109&lt;&gt;0,SUMPRODUCT((AD$106:AD$107)*TRANSPOSE(($D109:$E109))),0)</f>
        <v>286313.16662922432</v>
      </c>
      <c r="AE109" s="31" cm="1">
        <f t="array" ref="AE109">AE$105+IF($C109&lt;&gt;0,SUMPRODUCT((AE$106:AE$107)*TRANSPOSE(($D109:$E109))),0)</f>
        <v>286313.16662922432</v>
      </c>
      <c r="AF109" s="31" cm="1">
        <f t="array" ref="AF109">AF$105+IF($C109&lt;&gt;0,SUMPRODUCT((AF$106:AF$107)*TRANSPOSE(($D109:$E109))),0)</f>
        <v>286313.16662922432</v>
      </c>
      <c r="AG109" s="31" cm="1">
        <f t="array" ref="AG109">AG$105+IF($C109&lt;&gt;0,SUMPRODUCT((AG$106:AG$107)*TRANSPOSE(($D109:$E109))),0)</f>
        <v>-63728.80574098519</v>
      </c>
    </row>
    <row r="110" spans="1:43" x14ac:dyDescent="0.2">
      <c r="A110" s="1" t="str">
        <f>"sens"&amp;Assumptions!B112</f>
        <v>sens2</v>
      </c>
      <c r="C110" s="303" t="str">
        <f>Assumptions!C112</f>
        <v>Capex 10% lower</v>
      </c>
      <c r="D110" s="304">
        <f>Assumptions!G112</f>
        <v>-0.1</v>
      </c>
      <c r="E110" s="304">
        <f>Assumptions!H112</f>
        <v>0</v>
      </c>
      <c r="G110" s="38" t="str">
        <f t="shared" ref="G110:G116" si="20">PROPER($A$3)&amp;A110</f>
        <v>Option 3sens2</v>
      </c>
      <c r="I110" s="31" cm="1">
        <f t="array" ref="I110">I$105+IF($C110&lt;&gt;0,SUMPRODUCT((I$106:I$107)*TRANSPOSE(($D110:$E110))),0)</f>
        <v>0</v>
      </c>
      <c r="J110" s="31" cm="1">
        <f t="array" ref="J110">J$105+IF($C110&lt;&gt;0,SUMPRODUCT((J$106:J$107)*TRANSPOSE(($D110:$E110))),0)</f>
        <v>247401.31658874516</v>
      </c>
      <c r="K110" s="31" cm="1">
        <f t="array" ref="K110">K$105+IF($C110&lt;&gt;0,SUMPRODUCT((K$106:K$107)*TRANSPOSE(($D110:$E110))),0)</f>
        <v>496913.00180103391</v>
      </c>
      <c r="L110" s="31" cm="1">
        <f t="array" ref="L110">L$105+IF($C110&lt;&gt;0,SUMPRODUCT((L$106:L$107)*TRANSPOSE(($D110:$E110))),0)</f>
        <v>398493.08326665795</v>
      </c>
      <c r="M110" s="31" cm="1">
        <f t="array" ref="M110">M$105+IF($C110&lt;&gt;0,SUMPRODUCT((M$106:M$107)*TRANSPOSE(($D110:$E110))),0)</f>
        <v>650115.13710249157</v>
      </c>
      <c r="N110" s="31" cm="1">
        <f t="array" ref="N110">N$105+IF($C110&lt;&gt;0,SUMPRODUCT((N$106:N$107)*TRANSPOSE(($D110:$E110))),0)</f>
        <v>553805.58719165949</v>
      </c>
      <c r="O110" s="31" cm="1">
        <f t="array" ref="O110">O$105+IF($C110&lt;&gt;0,SUMPRODUCT((O$106:O$107)*TRANSPOSE(($D110:$E110))),0)</f>
        <v>809648.37827458093</v>
      </c>
      <c r="P110" s="31" cm="1">
        <f t="array" ref="P110">P$105+IF($C110&lt;&gt;0,SUMPRODUCT((P$106:P$107)*TRANSPOSE(($D110:$E110))),0)</f>
        <v>775230.18454150669</v>
      </c>
      <c r="Q110" s="31" cm="1">
        <f t="array" ref="Q110">Q$105+IF($C110&lt;&gt;0,SUMPRODUCT((Q$106:Q$107)*TRANSPOSE(($D110:$E110))),0)</f>
        <v>775230.18454150669</v>
      </c>
      <c r="R110" s="31" cm="1">
        <f t="array" ref="R110">R$105+IF($C110&lt;&gt;0,SUMPRODUCT((R$106:R$107)*TRANSPOSE(($D110:$E110))),0)</f>
        <v>775230.18454150669</v>
      </c>
      <c r="S110" s="31" cm="1">
        <f t="array" ref="S110">S$105+IF($C110&lt;&gt;0,SUMPRODUCT((S$106:S$107)*TRANSPOSE(($D110:$E110))),0)</f>
        <v>775230.18454150669</v>
      </c>
      <c r="T110" s="31" cm="1">
        <f t="array" ref="T110">T$105+IF($C110&lt;&gt;0,SUMPRODUCT((T$106:T$107)*TRANSPOSE(($D110:$E110))),0)</f>
        <v>775230.18454150669</v>
      </c>
      <c r="U110" s="31" cm="1">
        <f t="array" ref="U110">U$105+IF($C110&lt;&gt;0,SUMPRODUCT((U$106:U$107)*TRANSPOSE(($D110:$E110))),0)</f>
        <v>775230.18454150669</v>
      </c>
      <c r="V110" s="31" cm="1">
        <f t="array" ref="V110">V$105+IF($C110&lt;&gt;0,SUMPRODUCT((V$106:V$107)*TRANSPOSE(($D110:$E110))),0)</f>
        <v>425188.21217129775</v>
      </c>
      <c r="W110" s="31" cm="1">
        <f t="array" ref="W110">W$105+IF($C110&lt;&gt;0,SUMPRODUCT((W$106:W$107)*TRANSPOSE(($D110:$E110))),0)</f>
        <v>425188.21217129775</v>
      </c>
      <c r="X110" s="31" cm="1">
        <f t="array" ref="X110">X$105+IF($C110&lt;&gt;0,SUMPRODUCT((X$106:X$107)*TRANSPOSE(($D110:$E110))),0)</f>
        <v>425188.21217129775</v>
      </c>
      <c r="Y110" s="31" cm="1">
        <f t="array" ref="Y110">Y$105+IF($C110&lt;&gt;0,SUMPRODUCT((Y$106:Y$107)*TRANSPOSE(($D110:$E110))),0)</f>
        <v>425188.21217129775</v>
      </c>
      <c r="Z110" s="31" cm="1">
        <f t="array" ref="Z110">Z$105+IF($C110&lt;&gt;0,SUMPRODUCT((Z$106:Z$107)*TRANSPOSE(($D110:$E110))),0)</f>
        <v>425188.21217129775</v>
      </c>
      <c r="AA110" s="31" cm="1">
        <f t="array" ref="AA110">AA$105+IF($C110&lt;&gt;0,SUMPRODUCT((AA$106:AA$107)*TRANSPOSE(($D110:$E110))),0)</f>
        <v>425188.21217129775</v>
      </c>
      <c r="AB110" s="31" cm="1">
        <f t="array" ref="AB110">AB$105+IF($C110&lt;&gt;0,SUMPRODUCT((AB$106:AB$107)*TRANSPOSE(($D110:$E110))),0)</f>
        <v>425188.21217129775</v>
      </c>
      <c r="AC110" s="31" cm="1">
        <f t="array" ref="AC110">AC$105+IF($C110&lt;&gt;0,SUMPRODUCT((AC$106:AC$107)*TRANSPOSE(($D110:$E110))),0)</f>
        <v>425188.21217129775</v>
      </c>
      <c r="AD110" s="31" cm="1">
        <f t="array" ref="AD110">AD$105+IF($C110&lt;&gt;0,SUMPRODUCT((AD$106:AD$107)*TRANSPOSE(($D110:$E110))),0)</f>
        <v>425188.21217129775</v>
      </c>
      <c r="AE110" s="31" cm="1">
        <f t="array" ref="AE110">AE$105+IF($C110&lt;&gt;0,SUMPRODUCT((AE$106:AE$107)*TRANSPOSE(($D110:$E110))),0)</f>
        <v>425188.21217129775</v>
      </c>
      <c r="AF110" s="31" cm="1">
        <f t="array" ref="AF110">AF$105+IF($C110&lt;&gt;0,SUMPRODUCT((AF$106:AF$107)*TRANSPOSE(($D110:$E110))),0)</f>
        <v>425188.21217129775</v>
      </c>
      <c r="AG110" s="31" cm="1">
        <f t="array" ref="AG110">AG$105+IF($C110&lt;&gt;0,SUMPRODUCT((AG$106:AG$107)*TRANSPOSE(($D110:$E110))),0)</f>
        <v>75146.239801088217</v>
      </c>
    </row>
    <row r="111" spans="1:43" x14ac:dyDescent="0.2">
      <c r="A111" s="1" t="str">
        <f>"sens"&amp;Assumptions!B113</f>
        <v>sens3</v>
      </c>
      <c r="C111" s="303" t="str">
        <f>Assumptions!C113</f>
        <v>Total benefits 10% higher</v>
      </c>
      <c r="D111" s="304">
        <f>Assumptions!G113</f>
        <v>0</v>
      </c>
      <c r="E111" s="304">
        <f>Assumptions!H113</f>
        <v>0.1</v>
      </c>
      <c r="G111" s="38" t="str">
        <f t="shared" si="20"/>
        <v>Option 3sens3</v>
      </c>
      <c r="I111" s="31" cm="1">
        <f t="array" ref="I111">I$105+IF($C111&lt;&gt;0,SUMPRODUCT((I$106:I$107)*TRANSPOSE(($D111:$E111))),0)</f>
        <v>0</v>
      </c>
      <c r="J111" s="31" cm="1">
        <f t="array" ref="J111">J$105+IF($C111&lt;&gt;0,SUMPRODUCT((J$106:J$107)*TRANSPOSE(($D111:$E111))),0)</f>
        <v>271000.99651671451</v>
      </c>
      <c r="K111" s="31" cm="1">
        <f t="array" ref="K111">K$105+IF($C111&lt;&gt;0,SUMPRODUCT((K$106:K$107)*TRANSPOSE(($D111:$E111))),0)</f>
        <v>544346.84705958865</v>
      </c>
      <c r="L111" s="31" cm="1">
        <f t="array" ref="L111">L$105+IF($C111&lt;&gt;0,SUMPRODUCT((L$106:L$107)*TRANSPOSE(($D111:$E111))),0)</f>
        <v>434991.38202139304</v>
      </c>
      <c r="M111" s="31" cm="1">
        <f t="array" ref="M111">M$105+IF($C111&lt;&gt;0,SUMPRODUCT((M$106:M$107)*TRANSPOSE(($D111:$E111))),0)</f>
        <v>710682.08659042814</v>
      </c>
      <c r="N111" s="31" cm="1">
        <f t="array" ref="N111">N$105+IF($C111&lt;&gt;0,SUMPRODUCT((N$106:N$107)*TRANSPOSE(($D111:$E111))),0)</f>
        <v>603671.47557839251</v>
      </c>
      <c r="O111" s="31" cm="1">
        <f t="array" ref="O111">O$105+IF($C111&lt;&gt;0,SUMPRODUCT((O$106:O$107)*TRANSPOSE(($D111:$E111))),0)</f>
        <v>884051.88819974731</v>
      </c>
      <c r="P111" s="31" cm="1">
        <f t="array" ref="P111">P$105+IF($C111&lt;&gt;0,SUMPRODUCT((P$106:P$107)*TRANSPOSE(($D111:$E111))),0)</f>
        <v>845809.45071855374</v>
      </c>
      <c r="Q111" s="31" cm="1">
        <f t="array" ref="Q111">Q$105+IF($C111&lt;&gt;0,SUMPRODUCT((Q$106:Q$107)*TRANSPOSE(($D111:$E111))),0)</f>
        <v>845809.45071855374</v>
      </c>
      <c r="R111" s="31" cm="1">
        <f t="array" ref="R111">R$105+IF($C111&lt;&gt;0,SUMPRODUCT((R$106:R$107)*TRANSPOSE(($D111:$E111))),0)</f>
        <v>845809.45071855374</v>
      </c>
      <c r="S111" s="31" cm="1">
        <f t="array" ref="S111">S$105+IF($C111&lt;&gt;0,SUMPRODUCT((S$106:S$107)*TRANSPOSE(($D111:$E111))),0)</f>
        <v>845809.45071855374</v>
      </c>
      <c r="T111" s="31" cm="1">
        <f t="array" ref="T111">T$105+IF($C111&lt;&gt;0,SUMPRODUCT((T$106:T$107)*TRANSPOSE(($D111:$E111))),0)</f>
        <v>845809.45071855374</v>
      </c>
      <c r="U111" s="31" cm="1">
        <f t="array" ref="U111">U$105+IF($C111&lt;&gt;0,SUMPRODUCT((U$106:U$107)*TRANSPOSE(($D111:$E111))),0)</f>
        <v>845809.45071855374</v>
      </c>
      <c r="V111" s="31" cm="1">
        <f t="array" ref="V111">V$105+IF($C111&lt;&gt;0,SUMPRODUCT((V$106:V$107)*TRANSPOSE(($D111:$E111))),0)</f>
        <v>460763.28111132386</v>
      </c>
      <c r="W111" s="31" cm="1">
        <f t="array" ref="W111">W$105+IF($C111&lt;&gt;0,SUMPRODUCT((W$106:W$107)*TRANSPOSE(($D111:$E111))),0)</f>
        <v>460763.28111132386</v>
      </c>
      <c r="X111" s="31" cm="1">
        <f t="array" ref="X111">X$105+IF($C111&lt;&gt;0,SUMPRODUCT((X$106:X$107)*TRANSPOSE(($D111:$E111))),0)</f>
        <v>460763.28111132386</v>
      </c>
      <c r="Y111" s="31" cm="1">
        <f t="array" ref="Y111">Y$105+IF($C111&lt;&gt;0,SUMPRODUCT((Y$106:Y$107)*TRANSPOSE(($D111:$E111))),0)</f>
        <v>460763.28111132386</v>
      </c>
      <c r="Z111" s="31" cm="1">
        <f t="array" ref="Z111">Z$105+IF($C111&lt;&gt;0,SUMPRODUCT((Z$106:Z$107)*TRANSPOSE(($D111:$E111))),0)</f>
        <v>460763.28111132386</v>
      </c>
      <c r="AA111" s="31" cm="1">
        <f t="array" ref="AA111">AA$105+IF($C111&lt;&gt;0,SUMPRODUCT((AA$106:AA$107)*TRANSPOSE(($D111:$E111))),0)</f>
        <v>460763.28111132386</v>
      </c>
      <c r="AB111" s="31" cm="1">
        <f t="array" ref="AB111">AB$105+IF($C111&lt;&gt;0,SUMPRODUCT((AB$106:AB$107)*TRANSPOSE(($D111:$E111))),0)</f>
        <v>460763.28111132386</v>
      </c>
      <c r="AC111" s="31" cm="1">
        <f t="array" ref="AC111">AC$105+IF($C111&lt;&gt;0,SUMPRODUCT((AC$106:AC$107)*TRANSPOSE(($D111:$E111))),0)</f>
        <v>460763.28111132386</v>
      </c>
      <c r="AD111" s="31" cm="1">
        <f t="array" ref="AD111">AD$105+IF($C111&lt;&gt;0,SUMPRODUCT((AD$106:AD$107)*TRANSPOSE(($D111:$E111))),0)</f>
        <v>460763.28111132386</v>
      </c>
      <c r="AE111" s="31" cm="1">
        <f t="array" ref="AE111">AE$105+IF($C111&lt;&gt;0,SUMPRODUCT((AE$106:AE$107)*TRANSPOSE(($D111:$E111))),0)</f>
        <v>460763.28111132386</v>
      </c>
      <c r="AF111" s="31" cm="1">
        <f t="array" ref="AF111">AF$105+IF($C111&lt;&gt;0,SUMPRODUCT((AF$106:AF$107)*TRANSPOSE(($D111:$E111))),0)</f>
        <v>460763.28111132386</v>
      </c>
      <c r="AG111" s="31" cm="1">
        <f t="array" ref="AG111">AG$105+IF($C111&lt;&gt;0,SUMPRODUCT((AG$106:AG$107)*TRANSPOSE(($D111:$E111))),0)</f>
        <v>75717.111504093366</v>
      </c>
    </row>
    <row r="112" spans="1:43" x14ac:dyDescent="0.2">
      <c r="A112" s="1" t="str">
        <f>"sens"&amp;Assumptions!B114</f>
        <v>sens4</v>
      </c>
      <c r="C112" s="303" t="str">
        <f>Assumptions!C114</f>
        <v>Total benefits 10% lower</v>
      </c>
      <c r="D112" s="304">
        <f>Assumptions!G114</f>
        <v>0</v>
      </c>
      <c r="E112" s="304">
        <f>Assumptions!H114</f>
        <v>-0.1</v>
      </c>
      <c r="G112" s="38" t="str">
        <f t="shared" si="20"/>
        <v>Option 3sens4</v>
      </c>
      <c r="I112" s="31" cm="1">
        <f t="array" ref="I112">I$105+IF($C112&lt;&gt;0,SUMPRODUCT((I$106:I$107)*TRANSPOSE(($D112:$E112))),0)</f>
        <v>0</v>
      </c>
      <c r="J112" s="31" cm="1">
        <f t="array" ref="J112">J$105+IF($C112&lt;&gt;0,SUMPRODUCT((J$106:J$107)*TRANSPOSE(($D112:$E112))),0)</f>
        <v>200992.60204267263</v>
      </c>
      <c r="K112" s="31" cm="1">
        <f t="array" ref="K112">K$105+IF($C112&lt;&gt;0,SUMPRODUCT((K$106:K$107)*TRANSPOSE(($D112:$E112))),0)</f>
        <v>404330.05811150494</v>
      </c>
      <c r="L112" s="31" cm="1">
        <f t="array" ref="L112">L$105+IF($C112&lt;&gt;0,SUMPRODUCT((L$106:L$107)*TRANSPOSE(($D112:$E112))),0)</f>
        <v>294974.5930733094</v>
      </c>
      <c r="M112" s="31" cm="1">
        <f t="array" ref="M112">M$105+IF($C112&lt;&gt;0,SUMPRODUCT((M$106:M$107)*TRANSPOSE(($D112:$E112))),0)</f>
        <v>500656.9031683025</v>
      </c>
      <c r="N112" s="31" cm="1">
        <f t="array" ref="N112">N$105+IF($C112&lt;&gt;0,SUMPRODUCT((N$106:N$107)*TRANSPOSE(($D112:$E112))),0)</f>
        <v>393646.29215626692</v>
      </c>
      <c r="O112" s="31" cm="1">
        <f t="array" ref="O112">O$105+IF($C112&lt;&gt;0,SUMPRODUCT((O$106:O$107)*TRANSPOSE(($D112:$E112))),0)</f>
        <v>604018.31030357978</v>
      </c>
      <c r="P112" s="31" cm="1">
        <f t="array" ref="P112">P$105+IF($C112&lt;&gt;0,SUMPRODUCT((P$106:P$107)*TRANSPOSE(($D112:$E112))),0)</f>
        <v>565775.87282238621</v>
      </c>
      <c r="Q112" s="31" cm="1">
        <f t="array" ref="Q112">Q$105+IF($C112&lt;&gt;0,SUMPRODUCT((Q$106:Q$107)*TRANSPOSE(($D112:$E112))),0)</f>
        <v>565775.87282238621</v>
      </c>
      <c r="R112" s="31" cm="1">
        <f t="array" ref="R112">R$105+IF($C112&lt;&gt;0,SUMPRODUCT((R$106:R$107)*TRANSPOSE(($D112:$E112))),0)</f>
        <v>565775.87282238621</v>
      </c>
      <c r="S112" s="31" cm="1">
        <f t="array" ref="S112">S$105+IF($C112&lt;&gt;0,SUMPRODUCT((S$106:S$107)*TRANSPOSE(($D112:$E112))),0)</f>
        <v>565775.87282238621</v>
      </c>
      <c r="T112" s="31" cm="1">
        <f t="array" ref="T112">T$105+IF($C112&lt;&gt;0,SUMPRODUCT((T$106:T$107)*TRANSPOSE(($D112:$E112))),0)</f>
        <v>565775.87282238621</v>
      </c>
      <c r="U112" s="31" cm="1">
        <f t="array" ref="U112">U$105+IF($C112&lt;&gt;0,SUMPRODUCT((U$106:U$107)*TRANSPOSE(($D112:$E112))),0)</f>
        <v>565775.87282238621</v>
      </c>
      <c r="V112" s="31" cm="1">
        <f t="array" ref="V112">V$105+IF($C112&lt;&gt;0,SUMPRODUCT((V$106:V$107)*TRANSPOSE(($D112:$E112))),0)</f>
        <v>250738.09768919821</v>
      </c>
      <c r="W112" s="31" cm="1">
        <f t="array" ref="W112">W$105+IF($C112&lt;&gt;0,SUMPRODUCT((W$106:W$107)*TRANSPOSE(($D112:$E112))),0)</f>
        <v>250738.09768919821</v>
      </c>
      <c r="X112" s="31" cm="1">
        <f t="array" ref="X112">X$105+IF($C112&lt;&gt;0,SUMPRODUCT((X$106:X$107)*TRANSPOSE(($D112:$E112))),0)</f>
        <v>250738.09768919821</v>
      </c>
      <c r="Y112" s="31" cm="1">
        <f t="array" ref="Y112">Y$105+IF($C112&lt;&gt;0,SUMPRODUCT((Y$106:Y$107)*TRANSPOSE(($D112:$E112))),0)</f>
        <v>250738.09768919821</v>
      </c>
      <c r="Z112" s="31" cm="1">
        <f t="array" ref="Z112">Z$105+IF($C112&lt;&gt;0,SUMPRODUCT((Z$106:Z$107)*TRANSPOSE(($D112:$E112))),0)</f>
        <v>250738.09768919821</v>
      </c>
      <c r="AA112" s="31" cm="1">
        <f t="array" ref="AA112">AA$105+IF($C112&lt;&gt;0,SUMPRODUCT((AA$106:AA$107)*TRANSPOSE(($D112:$E112))),0)</f>
        <v>250738.09768919821</v>
      </c>
      <c r="AB112" s="31" cm="1">
        <f t="array" ref="AB112">AB$105+IF($C112&lt;&gt;0,SUMPRODUCT((AB$106:AB$107)*TRANSPOSE(($D112:$E112))),0)</f>
        <v>250738.09768919821</v>
      </c>
      <c r="AC112" s="31" cm="1">
        <f t="array" ref="AC112">AC$105+IF($C112&lt;&gt;0,SUMPRODUCT((AC$106:AC$107)*TRANSPOSE(($D112:$E112))),0)</f>
        <v>250738.09768919821</v>
      </c>
      <c r="AD112" s="31" cm="1">
        <f t="array" ref="AD112">AD$105+IF($C112&lt;&gt;0,SUMPRODUCT((AD$106:AD$107)*TRANSPOSE(($D112:$E112))),0)</f>
        <v>250738.09768919821</v>
      </c>
      <c r="AE112" s="31" cm="1">
        <f t="array" ref="AE112">AE$105+IF($C112&lt;&gt;0,SUMPRODUCT((AE$106:AE$107)*TRANSPOSE(($D112:$E112))),0)</f>
        <v>250738.09768919821</v>
      </c>
      <c r="AF112" s="31" cm="1">
        <f t="array" ref="AF112">AF$105+IF($C112&lt;&gt;0,SUMPRODUCT((AF$106:AF$107)*TRANSPOSE(($D112:$E112))),0)</f>
        <v>250738.09768919821</v>
      </c>
      <c r="AG112" s="31" cm="1">
        <f t="array" ref="AG112">AG$105+IF($C112&lt;&gt;0,SUMPRODUCT((AG$106:AG$107)*TRANSPOSE(($D112:$E112))),0)</f>
        <v>-64299.677443990338</v>
      </c>
    </row>
    <row r="113" spans="1:33" x14ac:dyDescent="0.2">
      <c r="A113" s="1" t="str">
        <f>"sens"&amp;Assumptions!B115</f>
        <v>sens5</v>
      </c>
      <c r="C113" s="303" t="str">
        <f>Assumptions!C115</f>
        <v>Capex 10% higher &amp; Total benefits 10% lower</v>
      </c>
      <c r="D113" s="304">
        <f>Assumptions!G115</f>
        <v>0.1</v>
      </c>
      <c r="E113" s="304">
        <f>Assumptions!H115</f>
        <v>-0.1</v>
      </c>
      <c r="G113" s="38" t="str">
        <f t="shared" si="20"/>
        <v>Option 3sens5</v>
      </c>
      <c r="I113" s="31" cm="1">
        <f t="array" ref="I113">I$105+IF($C113&lt;&gt;0,SUMPRODUCT((I$106:I$107)*TRANSPOSE(($D113:$E113))),0)</f>
        <v>0</v>
      </c>
      <c r="J113" s="31" cm="1">
        <f t="array" ref="J113">J$105+IF($C113&lt;&gt;0,SUMPRODUCT((J$106:J$107)*TRANSPOSE(($D113:$E113))),0)</f>
        <v>189588.08473362104</v>
      </c>
      <c r="K113" s="31" cm="1">
        <f t="array" ref="K113">K$105+IF($C113&lt;&gt;0,SUMPRODUCT((K$106:K$107)*TRANSPOSE(($D113:$E113))),0)</f>
        <v>381755.5088960178</v>
      </c>
      <c r="L113" s="31" cm="1">
        <f t="array" ref="L113">L$105+IF($C113&lt;&gt;0,SUMPRODUCT((L$106:L$107)*TRANSPOSE(($D113:$E113))),0)</f>
        <v>261464.49735400267</v>
      </c>
      <c r="M113" s="31" cm="1">
        <f t="array" ref="M113">M$105+IF($C113&lt;&gt;0,SUMPRODUCT((M$106:M$107)*TRANSPOSE(($D113:$E113))),0)</f>
        <v>456211.26094517624</v>
      </c>
      <c r="N113" s="31" cm="1">
        <f t="array" ref="N113">N$105+IF($C113&lt;&gt;0,SUMPRODUCT((N$106:N$107)*TRANSPOSE(($D113:$E113))),0)</f>
        <v>338499.58883193712</v>
      </c>
      <c r="O113" s="31" cm="1">
        <f t="array" ref="O113">O$105+IF($C113&lt;&gt;0,SUMPRODUCT((O$106:O$107)*TRANSPOSE(($D113:$E113))),0)</f>
        <v>538405.03128066252</v>
      </c>
      <c r="P113" s="31" cm="1">
        <f t="array" ref="P113">P$105+IF($C113&lt;&gt;0,SUMPRODUCT((P$106:P$107)*TRANSPOSE(($D113:$E113))),0)</f>
        <v>496338.35005134955</v>
      </c>
      <c r="Q113" s="31" cm="1">
        <f t="array" ref="Q113">Q$105+IF($C113&lt;&gt;0,SUMPRODUCT((Q$106:Q$107)*TRANSPOSE(($D113:$E113))),0)</f>
        <v>496338.35005134955</v>
      </c>
      <c r="R113" s="31" cm="1">
        <f t="array" ref="R113">R$105+IF($C113&lt;&gt;0,SUMPRODUCT((R$106:R$107)*TRANSPOSE(($D113:$E113))),0)</f>
        <v>496338.35005134955</v>
      </c>
      <c r="S113" s="31" cm="1">
        <f t="array" ref="S113">S$105+IF($C113&lt;&gt;0,SUMPRODUCT((S$106:S$107)*TRANSPOSE(($D113:$E113))),0)</f>
        <v>496338.35005134955</v>
      </c>
      <c r="T113" s="31" cm="1">
        <f t="array" ref="T113">T$105+IF($C113&lt;&gt;0,SUMPRODUCT((T$106:T$107)*TRANSPOSE(($D113:$E113))),0)</f>
        <v>496338.35005134955</v>
      </c>
      <c r="U113" s="31" cm="1">
        <f t="array" ref="U113">U$105+IF($C113&lt;&gt;0,SUMPRODUCT((U$106:U$107)*TRANSPOSE(($D113:$E113))),0)</f>
        <v>496338.35005134955</v>
      </c>
      <c r="V113" s="31" cm="1">
        <f t="array" ref="V113">V$105+IF($C113&lt;&gt;0,SUMPRODUCT((V$106:V$107)*TRANSPOSE(($D113:$E113))),0)</f>
        <v>181300.57491816152</v>
      </c>
      <c r="W113" s="31" cm="1">
        <f t="array" ref="W113">W$105+IF($C113&lt;&gt;0,SUMPRODUCT((W$106:W$107)*TRANSPOSE(($D113:$E113))),0)</f>
        <v>181300.57491816152</v>
      </c>
      <c r="X113" s="31" cm="1">
        <f t="array" ref="X113">X$105+IF($C113&lt;&gt;0,SUMPRODUCT((X$106:X$107)*TRANSPOSE(($D113:$E113))),0)</f>
        <v>181300.57491816152</v>
      </c>
      <c r="Y113" s="31" cm="1">
        <f t="array" ref="Y113">Y$105+IF($C113&lt;&gt;0,SUMPRODUCT((Y$106:Y$107)*TRANSPOSE(($D113:$E113))),0)</f>
        <v>181300.57491816152</v>
      </c>
      <c r="Z113" s="31" cm="1">
        <f t="array" ref="Z113">Z$105+IF($C113&lt;&gt;0,SUMPRODUCT((Z$106:Z$107)*TRANSPOSE(($D113:$E113))),0)</f>
        <v>181300.57491816152</v>
      </c>
      <c r="AA113" s="31" cm="1">
        <f t="array" ref="AA113">AA$105+IF($C113&lt;&gt;0,SUMPRODUCT((AA$106:AA$107)*TRANSPOSE(($D113:$E113))),0)</f>
        <v>181300.57491816152</v>
      </c>
      <c r="AB113" s="31" cm="1">
        <f t="array" ref="AB113">AB$105+IF($C113&lt;&gt;0,SUMPRODUCT((AB$106:AB$107)*TRANSPOSE(($D113:$E113))),0)</f>
        <v>181300.57491816152</v>
      </c>
      <c r="AC113" s="31" cm="1">
        <f t="array" ref="AC113">AC$105+IF($C113&lt;&gt;0,SUMPRODUCT((AC$106:AC$107)*TRANSPOSE(($D113:$E113))),0)</f>
        <v>181300.57491816152</v>
      </c>
      <c r="AD113" s="31" cm="1">
        <f t="array" ref="AD113">AD$105+IF($C113&lt;&gt;0,SUMPRODUCT((AD$106:AD$107)*TRANSPOSE(($D113:$E113))),0)</f>
        <v>181300.57491816152</v>
      </c>
      <c r="AE113" s="31" cm="1">
        <f t="array" ref="AE113">AE$105+IF($C113&lt;&gt;0,SUMPRODUCT((AE$106:AE$107)*TRANSPOSE(($D113:$E113))),0)</f>
        <v>181300.57491816152</v>
      </c>
      <c r="AF113" s="31" cm="1">
        <f t="array" ref="AF113">AF$105+IF($C113&lt;&gt;0,SUMPRODUCT((AF$106:AF$107)*TRANSPOSE(($D113:$E113))),0)</f>
        <v>181300.57491816152</v>
      </c>
      <c r="AG113" s="31" cm="1">
        <f t="array" ref="AG113">AG$105+IF($C113&lt;&gt;0,SUMPRODUCT((AG$106:AG$107)*TRANSPOSE(($D113:$E113))),0)</f>
        <v>-133737.20021502703</v>
      </c>
    </row>
    <row r="114" spans="1:33" x14ac:dyDescent="0.2">
      <c r="A114" s="1" t="str">
        <f>"sens"&amp;Assumptions!B116</f>
        <v>sens</v>
      </c>
      <c r="C114" s="303">
        <f>Assumptions!C116</f>
        <v>0</v>
      </c>
      <c r="D114" s="304">
        <f>Assumptions!G116</f>
        <v>0</v>
      </c>
      <c r="E114" s="304">
        <f>Assumptions!H116</f>
        <v>0</v>
      </c>
      <c r="G114" s="38" t="str">
        <f t="shared" si="20"/>
        <v>Option 3sens</v>
      </c>
      <c r="I114" s="31" cm="1">
        <f t="array" ref="I114">I$105+IF($C114&lt;&gt;0,SUMPRODUCT((I$106:I$107)*TRANSPOSE(($D114:$E114))),0)</f>
        <v>0</v>
      </c>
      <c r="J114" s="31" cm="1">
        <f t="array" ref="J114">J$105+IF($C114&lt;&gt;0,SUMPRODUCT((J$106:J$107)*TRANSPOSE(($D114:$E114))),0)</f>
        <v>235996.79927969357</v>
      </c>
      <c r="K114" s="31" cm="1">
        <f t="array" ref="K114">K$105+IF($C114&lt;&gt;0,SUMPRODUCT((K$106:K$107)*TRANSPOSE(($D114:$E114))),0)</f>
        <v>474338.45258554677</v>
      </c>
      <c r="L114" s="31" cm="1">
        <f t="array" ref="L114">L$105+IF($C114&lt;&gt;0,SUMPRODUCT((L$106:L$107)*TRANSPOSE(($D114:$E114))),0)</f>
        <v>364982.98754735122</v>
      </c>
      <c r="M114" s="31" cm="1">
        <f t="array" ref="M114">M$105+IF($C114&lt;&gt;0,SUMPRODUCT((M$106:M$107)*TRANSPOSE(($D114:$E114))),0)</f>
        <v>605669.49487936532</v>
      </c>
      <c r="N114" s="31" cm="1">
        <f t="array" ref="N114">N$105+IF($C114&lt;&gt;0,SUMPRODUCT((N$106:N$107)*TRANSPOSE(($D114:$E114))),0)</f>
        <v>498658.88386732969</v>
      </c>
      <c r="O114" s="31" cm="1">
        <f t="array" ref="O114">O$105+IF($C114&lt;&gt;0,SUMPRODUCT((O$106:O$107)*TRANSPOSE(($D114:$E114))),0)</f>
        <v>744035.09925166355</v>
      </c>
      <c r="P114" s="31" cm="1">
        <f t="array" ref="P114">P$105+IF($C114&lt;&gt;0,SUMPRODUCT((P$106:P$107)*TRANSPOSE(($D114:$E114))),0)</f>
        <v>705792.66177046997</v>
      </c>
      <c r="Q114" s="31" cm="1">
        <f t="array" ref="Q114">Q$105+IF($C114&lt;&gt;0,SUMPRODUCT((Q$106:Q$107)*TRANSPOSE(($D114:$E114))),0)</f>
        <v>705792.66177046997</v>
      </c>
      <c r="R114" s="31" cm="1">
        <f t="array" ref="R114">R$105+IF($C114&lt;&gt;0,SUMPRODUCT((R$106:R$107)*TRANSPOSE(($D114:$E114))),0)</f>
        <v>705792.66177046997</v>
      </c>
      <c r="S114" s="31" cm="1">
        <f t="array" ref="S114">S$105+IF($C114&lt;&gt;0,SUMPRODUCT((S$106:S$107)*TRANSPOSE(($D114:$E114))),0)</f>
        <v>705792.66177046997</v>
      </c>
      <c r="T114" s="31" cm="1">
        <f t="array" ref="T114">T$105+IF($C114&lt;&gt;0,SUMPRODUCT((T$106:T$107)*TRANSPOSE(($D114:$E114))),0)</f>
        <v>705792.66177046997</v>
      </c>
      <c r="U114" s="31" cm="1">
        <f t="array" ref="U114">U$105+IF($C114&lt;&gt;0,SUMPRODUCT((U$106:U$107)*TRANSPOSE(($D114:$E114))),0)</f>
        <v>705792.66177046997</v>
      </c>
      <c r="V114" s="31" cm="1">
        <f t="array" ref="V114">V$105+IF($C114&lt;&gt;0,SUMPRODUCT((V$106:V$107)*TRANSPOSE(($D114:$E114))),0)</f>
        <v>355750.68940026104</v>
      </c>
      <c r="W114" s="31" cm="1">
        <f t="array" ref="W114">W$105+IF($C114&lt;&gt;0,SUMPRODUCT((W$106:W$107)*TRANSPOSE(($D114:$E114))),0)</f>
        <v>355750.68940026104</v>
      </c>
      <c r="X114" s="31" cm="1">
        <f t="array" ref="X114">X$105+IF($C114&lt;&gt;0,SUMPRODUCT((X$106:X$107)*TRANSPOSE(($D114:$E114))),0)</f>
        <v>355750.68940026104</v>
      </c>
      <c r="Y114" s="31" cm="1">
        <f t="array" ref="Y114">Y$105+IF($C114&lt;&gt;0,SUMPRODUCT((Y$106:Y$107)*TRANSPOSE(($D114:$E114))),0)</f>
        <v>355750.68940026104</v>
      </c>
      <c r="Z114" s="31" cm="1">
        <f t="array" ref="Z114">Z$105+IF($C114&lt;&gt;0,SUMPRODUCT((Z$106:Z$107)*TRANSPOSE(($D114:$E114))),0)</f>
        <v>355750.68940026104</v>
      </c>
      <c r="AA114" s="31" cm="1">
        <f t="array" ref="AA114">AA$105+IF($C114&lt;&gt;0,SUMPRODUCT((AA$106:AA$107)*TRANSPOSE(($D114:$E114))),0)</f>
        <v>355750.68940026104</v>
      </c>
      <c r="AB114" s="31" cm="1">
        <f t="array" ref="AB114">AB$105+IF($C114&lt;&gt;0,SUMPRODUCT((AB$106:AB$107)*TRANSPOSE(($D114:$E114))),0)</f>
        <v>355750.68940026104</v>
      </c>
      <c r="AC114" s="31" cm="1">
        <f t="array" ref="AC114">AC$105+IF($C114&lt;&gt;0,SUMPRODUCT((AC$106:AC$107)*TRANSPOSE(($D114:$E114))),0)</f>
        <v>355750.68940026104</v>
      </c>
      <c r="AD114" s="31" cm="1">
        <f t="array" ref="AD114">AD$105+IF($C114&lt;&gt;0,SUMPRODUCT((AD$106:AD$107)*TRANSPOSE(($D114:$E114))),0)</f>
        <v>355750.68940026104</v>
      </c>
      <c r="AE114" s="31" cm="1">
        <f t="array" ref="AE114">AE$105+IF($C114&lt;&gt;0,SUMPRODUCT((AE$106:AE$107)*TRANSPOSE(($D114:$E114))),0)</f>
        <v>355750.68940026104</v>
      </c>
      <c r="AF114" s="31" cm="1">
        <f t="array" ref="AF114">AF$105+IF($C114&lt;&gt;0,SUMPRODUCT((AF$106:AF$107)*TRANSPOSE(($D114:$E114))),0)</f>
        <v>355750.68940026104</v>
      </c>
      <c r="AG114" s="31" cm="1">
        <f t="array" ref="AG114">AG$105+IF($C114&lt;&gt;0,SUMPRODUCT((AG$106:AG$107)*TRANSPOSE(($D114:$E114))),0)</f>
        <v>5708.7170300515136</v>
      </c>
    </row>
    <row r="115" spans="1:33" x14ac:dyDescent="0.2">
      <c r="A115" s="1" t="str">
        <f>"sens"&amp;Assumptions!B117</f>
        <v>sens</v>
      </c>
      <c r="C115" s="303">
        <f>Assumptions!C117</f>
        <v>0</v>
      </c>
      <c r="D115" s="304">
        <f>Assumptions!G117</f>
        <v>0</v>
      </c>
      <c r="E115" s="304">
        <f>Assumptions!H117</f>
        <v>0</v>
      </c>
      <c r="G115" s="38" t="str">
        <f t="shared" si="20"/>
        <v>Option 3sens</v>
      </c>
      <c r="I115" s="31" cm="1">
        <f t="array" ref="I115">I$105+IF($C115&lt;&gt;0,SUMPRODUCT((I$106:I$107)*TRANSPOSE(($D115:$E115))),0)</f>
        <v>0</v>
      </c>
      <c r="J115" s="31" cm="1">
        <f t="array" ref="J115">J$105+IF($C115&lt;&gt;0,SUMPRODUCT((J$106:J$107)*TRANSPOSE(($D115:$E115))),0)</f>
        <v>235996.79927969357</v>
      </c>
      <c r="K115" s="31" cm="1">
        <f t="array" ref="K115">K$105+IF($C115&lt;&gt;0,SUMPRODUCT((K$106:K$107)*TRANSPOSE(($D115:$E115))),0)</f>
        <v>474338.45258554677</v>
      </c>
      <c r="L115" s="31" cm="1">
        <f t="array" ref="L115">L$105+IF($C115&lt;&gt;0,SUMPRODUCT((L$106:L$107)*TRANSPOSE(($D115:$E115))),0)</f>
        <v>364982.98754735122</v>
      </c>
      <c r="M115" s="31" cm="1">
        <f t="array" ref="M115">M$105+IF($C115&lt;&gt;0,SUMPRODUCT((M$106:M$107)*TRANSPOSE(($D115:$E115))),0)</f>
        <v>605669.49487936532</v>
      </c>
      <c r="N115" s="31" cm="1">
        <f t="array" ref="N115">N$105+IF($C115&lt;&gt;0,SUMPRODUCT((N$106:N$107)*TRANSPOSE(($D115:$E115))),0)</f>
        <v>498658.88386732969</v>
      </c>
      <c r="O115" s="31" cm="1">
        <f t="array" ref="O115">O$105+IF($C115&lt;&gt;0,SUMPRODUCT((O$106:O$107)*TRANSPOSE(($D115:$E115))),0)</f>
        <v>744035.09925166355</v>
      </c>
      <c r="P115" s="31" cm="1">
        <f t="array" ref="P115">P$105+IF($C115&lt;&gt;0,SUMPRODUCT((P$106:P$107)*TRANSPOSE(($D115:$E115))),0)</f>
        <v>705792.66177046997</v>
      </c>
      <c r="Q115" s="31" cm="1">
        <f t="array" ref="Q115">Q$105+IF($C115&lt;&gt;0,SUMPRODUCT((Q$106:Q$107)*TRANSPOSE(($D115:$E115))),0)</f>
        <v>705792.66177046997</v>
      </c>
      <c r="R115" s="31" cm="1">
        <f t="array" ref="R115">R$105+IF($C115&lt;&gt;0,SUMPRODUCT((R$106:R$107)*TRANSPOSE(($D115:$E115))),0)</f>
        <v>705792.66177046997</v>
      </c>
      <c r="S115" s="31" cm="1">
        <f t="array" ref="S115">S$105+IF($C115&lt;&gt;0,SUMPRODUCT((S$106:S$107)*TRANSPOSE(($D115:$E115))),0)</f>
        <v>705792.66177046997</v>
      </c>
      <c r="T115" s="31" cm="1">
        <f t="array" ref="T115">T$105+IF($C115&lt;&gt;0,SUMPRODUCT((T$106:T$107)*TRANSPOSE(($D115:$E115))),0)</f>
        <v>705792.66177046997</v>
      </c>
      <c r="U115" s="31" cm="1">
        <f t="array" ref="U115">U$105+IF($C115&lt;&gt;0,SUMPRODUCT((U$106:U$107)*TRANSPOSE(($D115:$E115))),0)</f>
        <v>705792.66177046997</v>
      </c>
      <c r="V115" s="31" cm="1">
        <f t="array" ref="V115">V$105+IF($C115&lt;&gt;0,SUMPRODUCT((V$106:V$107)*TRANSPOSE(($D115:$E115))),0)</f>
        <v>355750.68940026104</v>
      </c>
      <c r="W115" s="31" cm="1">
        <f t="array" ref="W115">W$105+IF($C115&lt;&gt;0,SUMPRODUCT((W$106:W$107)*TRANSPOSE(($D115:$E115))),0)</f>
        <v>355750.68940026104</v>
      </c>
      <c r="X115" s="31" cm="1">
        <f t="array" ref="X115">X$105+IF($C115&lt;&gt;0,SUMPRODUCT((X$106:X$107)*TRANSPOSE(($D115:$E115))),0)</f>
        <v>355750.68940026104</v>
      </c>
      <c r="Y115" s="31" cm="1">
        <f t="array" ref="Y115">Y$105+IF($C115&lt;&gt;0,SUMPRODUCT((Y$106:Y$107)*TRANSPOSE(($D115:$E115))),0)</f>
        <v>355750.68940026104</v>
      </c>
      <c r="Z115" s="31" cm="1">
        <f t="array" ref="Z115">Z$105+IF($C115&lt;&gt;0,SUMPRODUCT((Z$106:Z$107)*TRANSPOSE(($D115:$E115))),0)</f>
        <v>355750.68940026104</v>
      </c>
      <c r="AA115" s="31" cm="1">
        <f t="array" ref="AA115">AA$105+IF($C115&lt;&gt;0,SUMPRODUCT((AA$106:AA$107)*TRANSPOSE(($D115:$E115))),0)</f>
        <v>355750.68940026104</v>
      </c>
      <c r="AB115" s="31" cm="1">
        <f t="array" ref="AB115">AB$105+IF($C115&lt;&gt;0,SUMPRODUCT((AB$106:AB$107)*TRANSPOSE(($D115:$E115))),0)</f>
        <v>355750.68940026104</v>
      </c>
      <c r="AC115" s="31" cm="1">
        <f t="array" ref="AC115">AC$105+IF($C115&lt;&gt;0,SUMPRODUCT((AC$106:AC$107)*TRANSPOSE(($D115:$E115))),0)</f>
        <v>355750.68940026104</v>
      </c>
      <c r="AD115" s="31" cm="1">
        <f t="array" ref="AD115">AD$105+IF($C115&lt;&gt;0,SUMPRODUCT((AD$106:AD$107)*TRANSPOSE(($D115:$E115))),0)</f>
        <v>355750.68940026104</v>
      </c>
      <c r="AE115" s="31" cm="1">
        <f t="array" ref="AE115">AE$105+IF($C115&lt;&gt;0,SUMPRODUCT((AE$106:AE$107)*TRANSPOSE(($D115:$E115))),0)</f>
        <v>355750.68940026104</v>
      </c>
      <c r="AF115" s="31" cm="1">
        <f t="array" ref="AF115">AF$105+IF($C115&lt;&gt;0,SUMPRODUCT((AF$106:AF$107)*TRANSPOSE(($D115:$E115))),0)</f>
        <v>355750.68940026104</v>
      </c>
      <c r="AG115" s="31" cm="1">
        <f t="array" ref="AG115">AG$105+IF($C115&lt;&gt;0,SUMPRODUCT((AG$106:AG$107)*TRANSPOSE(($D115:$E115))),0)</f>
        <v>5708.7170300515136</v>
      </c>
    </row>
    <row r="116" spans="1:33" x14ac:dyDescent="0.2">
      <c r="A116" s="1" t="str">
        <f>"sens"&amp;Assumptions!B118</f>
        <v>sens</v>
      </c>
      <c r="C116" s="303">
        <f>Assumptions!C118</f>
        <v>0</v>
      </c>
      <c r="D116" s="304">
        <f>Assumptions!G118</f>
        <v>0</v>
      </c>
      <c r="E116" s="304">
        <f>Assumptions!H118</f>
        <v>0</v>
      </c>
      <c r="G116" s="38" t="str">
        <f t="shared" si="20"/>
        <v>Option 3sens</v>
      </c>
      <c r="I116" s="31" cm="1">
        <f t="array" ref="I116">I$105+IF($C116&lt;&gt;0,SUMPRODUCT((I$106:I$107)*TRANSPOSE(($D116:$E116))),0)</f>
        <v>0</v>
      </c>
      <c r="J116" s="31" cm="1">
        <f t="array" ref="J116">J$105+IF($C116&lt;&gt;0,SUMPRODUCT((J$106:J$107)*TRANSPOSE(($D116:$E116))),0)</f>
        <v>235996.79927969357</v>
      </c>
      <c r="K116" s="31" cm="1">
        <f t="array" ref="K116">K$105+IF($C116&lt;&gt;0,SUMPRODUCT((K$106:K$107)*TRANSPOSE(($D116:$E116))),0)</f>
        <v>474338.45258554677</v>
      </c>
      <c r="L116" s="31" cm="1">
        <f t="array" ref="L116">L$105+IF($C116&lt;&gt;0,SUMPRODUCT((L$106:L$107)*TRANSPOSE(($D116:$E116))),0)</f>
        <v>364982.98754735122</v>
      </c>
      <c r="M116" s="31" cm="1">
        <f t="array" ref="M116">M$105+IF($C116&lt;&gt;0,SUMPRODUCT((M$106:M$107)*TRANSPOSE(($D116:$E116))),0)</f>
        <v>605669.49487936532</v>
      </c>
      <c r="N116" s="31" cm="1">
        <f t="array" ref="N116">N$105+IF($C116&lt;&gt;0,SUMPRODUCT((N$106:N$107)*TRANSPOSE(($D116:$E116))),0)</f>
        <v>498658.88386732969</v>
      </c>
      <c r="O116" s="31" cm="1">
        <f t="array" ref="O116">O$105+IF($C116&lt;&gt;0,SUMPRODUCT((O$106:O$107)*TRANSPOSE(($D116:$E116))),0)</f>
        <v>744035.09925166355</v>
      </c>
      <c r="P116" s="31" cm="1">
        <f t="array" ref="P116">P$105+IF($C116&lt;&gt;0,SUMPRODUCT((P$106:P$107)*TRANSPOSE(($D116:$E116))),0)</f>
        <v>705792.66177046997</v>
      </c>
      <c r="Q116" s="31" cm="1">
        <f t="array" ref="Q116">Q$105+IF($C116&lt;&gt;0,SUMPRODUCT((Q$106:Q$107)*TRANSPOSE(($D116:$E116))),0)</f>
        <v>705792.66177046997</v>
      </c>
      <c r="R116" s="31" cm="1">
        <f t="array" ref="R116">R$105+IF($C116&lt;&gt;0,SUMPRODUCT((R$106:R$107)*TRANSPOSE(($D116:$E116))),0)</f>
        <v>705792.66177046997</v>
      </c>
      <c r="S116" s="31" cm="1">
        <f t="array" ref="S116">S$105+IF($C116&lt;&gt;0,SUMPRODUCT((S$106:S$107)*TRANSPOSE(($D116:$E116))),0)</f>
        <v>705792.66177046997</v>
      </c>
      <c r="T116" s="31" cm="1">
        <f t="array" ref="T116">T$105+IF($C116&lt;&gt;0,SUMPRODUCT((T$106:T$107)*TRANSPOSE(($D116:$E116))),0)</f>
        <v>705792.66177046997</v>
      </c>
      <c r="U116" s="31" cm="1">
        <f t="array" ref="U116">U$105+IF($C116&lt;&gt;0,SUMPRODUCT((U$106:U$107)*TRANSPOSE(($D116:$E116))),0)</f>
        <v>705792.66177046997</v>
      </c>
      <c r="V116" s="31" cm="1">
        <f t="array" ref="V116">V$105+IF($C116&lt;&gt;0,SUMPRODUCT((V$106:V$107)*TRANSPOSE(($D116:$E116))),0)</f>
        <v>355750.68940026104</v>
      </c>
      <c r="W116" s="31" cm="1">
        <f t="array" ref="W116">W$105+IF($C116&lt;&gt;0,SUMPRODUCT((W$106:W$107)*TRANSPOSE(($D116:$E116))),0)</f>
        <v>355750.68940026104</v>
      </c>
      <c r="X116" s="31" cm="1">
        <f t="array" ref="X116">X$105+IF($C116&lt;&gt;0,SUMPRODUCT((X$106:X$107)*TRANSPOSE(($D116:$E116))),0)</f>
        <v>355750.68940026104</v>
      </c>
      <c r="Y116" s="31" cm="1">
        <f t="array" ref="Y116">Y$105+IF($C116&lt;&gt;0,SUMPRODUCT((Y$106:Y$107)*TRANSPOSE(($D116:$E116))),0)</f>
        <v>355750.68940026104</v>
      </c>
      <c r="Z116" s="31" cm="1">
        <f t="array" ref="Z116">Z$105+IF($C116&lt;&gt;0,SUMPRODUCT((Z$106:Z$107)*TRANSPOSE(($D116:$E116))),0)</f>
        <v>355750.68940026104</v>
      </c>
      <c r="AA116" s="31" cm="1">
        <f t="array" ref="AA116">AA$105+IF($C116&lt;&gt;0,SUMPRODUCT((AA$106:AA$107)*TRANSPOSE(($D116:$E116))),0)</f>
        <v>355750.68940026104</v>
      </c>
      <c r="AB116" s="31" cm="1">
        <f t="array" ref="AB116">AB$105+IF($C116&lt;&gt;0,SUMPRODUCT((AB$106:AB$107)*TRANSPOSE(($D116:$E116))),0)</f>
        <v>355750.68940026104</v>
      </c>
      <c r="AC116" s="31" cm="1">
        <f t="array" ref="AC116">AC$105+IF($C116&lt;&gt;0,SUMPRODUCT((AC$106:AC$107)*TRANSPOSE(($D116:$E116))),0)</f>
        <v>355750.68940026104</v>
      </c>
      <c r="AD116" s="31" cm="1">
        <f t="array" ref="AD116">AD$105+IF($C116&lt;&gt;0,SUMPRODUCT((AD$106:AD$107)*TRANSPOSE(($D116:$E116))),0)</f>
        <v>355750.68940026104</v>
      </c>
      <c r="AE116" s="31" cm="1">
        <f t="array" ref="AE116">AE$105+IF($C116&lt;&gt;0,SUMPRODUCT((AE$106:AE$107)*TRANSPOSE(($D116:$E116))),0)</f>
        <v>355750.68940026104</v>
      </c>
      <c r="AF116" s="31" cm="1">
        <f t="array" ref="AF116">AF$105+IF($C116&lt;&gt;0,SUMPRODUCT((AF$106:AF$107)*TRANSPOSE(($D116:$E116))),0)</f>
        <v>355750.68940026104</v>
      </c>
      <c r="AG116" s="31" cm="1">
        <f t="array" ref="AG116">AG$105+IF($C116&lt;&gt;0,SUMPRODUCT((AG$106:AG$107)*TRANSPOSE(($D116:$E116))),0)</f>
        <v>5708.7170300515136</v>
      </c>
    </row>
  </sheetData>
  <conditionalFormatting sqref="E27">
    <cfRule type="expression" dxfId="8" priority="4">
      <formula>AND(SUM($I$26:$AG$26)&gt;0, $E$27=0)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6"/>
  <sheetViews>
    <sheetView showGridLines="0" zoomScale="90" zoomScaleNormal="90" workbookViewId="0">
      <pane xSplit="7" ySplit="10" topLeftCell="H11" activePane="bottomRight" state="frozen"/>
      <selection activeCell="I24" sqref="I24"/>
      <selection pane="topRight" activeCell="I24" sqref="I24"/>
      <selection pane="bottomLeft" activeCell="I24" sqref="I24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Replace compound filled cable terminations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5" t="s">
        <v>134</v>
      </c>
      <c r="B3" s="5"/>
      <c r="C3" s="202" t="str">
        <f>INDEX(Assumptions!$E$14:$E$18, MATCH(A3,_xlfn.ANCHORARRAY( Assumptions!$C$14),0))</f>
        <v>Inspect and replace by priority over 10 years (2% failure rate)</v>
      </c>
    </row>
    <row r="4" spans="1:43" x14ac:dyDescent="0.2">
      <c r="A4" s="203" t="str">
        <f>(INDEX(Data!$D$9:$D$13, MATCH(A3, options,0)))</f>
        <v/>
      </c>
      <c r="B4" s="189"/>
      <c r="C4" s="240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2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6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7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262</v>
      </c>
      <c r="D14"/>
      <c r="E14" s="151">
        <v>50</v>
      </c>
      <c r="G14" s="209">
        <f>input_dollars</f>
        <v>45291</v>
      </c>
      <c r="H14" s="152"/>
      <c r="I14" s="32">
        <f>INDEX(Workings_costs!G$13:G$17, MATCH($A$3, Workings_costs!$C$13:$C$17,0))*Workings_costs!$E$7</f>
        <v>1700000</v>
      </c>
      <c r="J14" s="32">
        <f>INDEX(Workings_costs!H$13:H$17, MATCH($A$3, Workings_costs!$C$13:$C$17,0))*Workings_costs!$E$7</f>
        <v>1700000</v>
      </c>
      <c r="K14" s="32">
        <f>INDEX(Workings_costs!I$13:I$17, MATCH($A$3, Workings_costs!$C$13:$C$17,0))*Workings_costs!$E$7</f>
        <v>1700000</v>
      </c>
      <c r="L14" s="32">
        <f>INDEX(Workings_costs!J$13:J$17, MATCH($A$3, Workings_costs!$C$13:$C$17,0))*Workings_costs!$E$7</f>
        <v>1700000</v>
      </c>
      <c r="M14" s="32">
        <f>INDEX(Workings_costs!K$13:K$17, MATCH($A$3, Workings_costs!$C$13:$C$17,0))*Workings_costs!$E$7</f>
        <v>1700000</v>
      </c>
      <c r="N14" s="32">
        <f>INDEX(Workings_costs!L$13:L$17, MATCH($A$3, Workings_costs!$C$13:$C$17,0))*Workings_costs!$E$7</f>
        <v>1700000</v>
      </c>
      <c r="O14" s="32">
        <f>INDEX(Workings_costs!M$13:M$17, MATCH($A$3, Workings_costs!$C$13:$C$17,0))*Workings_costs!$E$7</f>
        <v>1700000</v>
      </c>
      <c r="P14" s="32">
        <f>INDEX(Workings_costs!N$13:N$17, MATCH($A$3, Workings_costs!$C$13:$C$17,0))*Workings_costs!$E$7</f>
        <v>1700000</v>
      </c>
      <c r="Q14" s="32">
        <f>INDEX(Workings_costs!O$13:O$17, MATCH($A$3, Workings_costs!$C$13:$C$17,0))*Workings_costs!$E$7</f>
        <v>1700000</v>
      </c>
      <c r="R14" s="32">
        <f>INDEX(Workings_costs!P$13:P$17, MATCH($A$3, Workings_costs!$C$13:$C$17,0))*Workings_costs!$E$7</f>
        <v>198000</v>
      </c>
      <c r="S14" s="32">
        <f>INDEX(Workings_costs!Q$13:Q$17, MATCH($A$3, Workings_costs!$C$13:$C$17,0))*Workings_costs!$E$7</f>
        <v>0</v>
      </c>
      <c r="T14" s="32">
        <f>INDEX(Workings_costs!R$13:R$17, MATCH($A$3, Workings_costs!$C$13:$C$17,0))*Workings_costs!$E$7</f>
        <v>0</v>
      </c>
      <c r="U14" s="32">
        <f>INDEX(Workings_costs!S$13:S$17, MATCH($A$3, Workings_costs!$C$13:$C$17,0))*Workings_costs!$E$7</f>
        <v>0</v>
      </c>
      <c r="V14" s="32">
        <f>INDEX(Workings_costs!T$13:T$17, MATCH($A$3, Workings_costs!$C$13:$C$17,0))*Workings_costs!$E$7</f>
        <v>0</v>
      </c>
      <c r="W14" s="32">
        <f>INDEX(Workings_costs!U$13:U$17, MATCH($A$3, Workings_costs!$C$13:$C$17,0))*Workings_costs!$E$7</f>
        <v>0</v>
      </c>
      <c r="X14" s="32">
        <f>INDEX(Workings_costs!V$13:V$17, MATCH($A$3, Workings_costs!$C$13:$C$17,0))*Workings_costs!$E$7</f>
        <v>0</v>
      </c>
      <c r="Y14" s="32">
        <f>INDEX(Workings_costs!W$13:W$17, MATCH($A$3, Workings_costs!$C$13:$C$17,0))*Workings_costs!$E$7</f>
        <v>0</v>
      </c>
      <c r="Z14" s="32">
        <f>INDEX(Workings_costs!X$13:X$17, MATCH($A$3, Workings_costs!$C$13:$C$17,0))*Workings_costs!$E$7</f>
        <v>0</v>
      </c>
      <c r="AA14" s="32">
        <f>INDEX(Workings_costs!Y$13:Y$17, MATCH($A$3, Workings_costs!$C$13:$C$17,0))*Workings_costs!$E$7</f>
        <v>0</v>
      </c>
      <c r="AB14" s="32">
        <f>INDEX(Workings_costs!Z$13:Z$17, MATCH($A$3, Workings_costs!$C$13:$C$17,0))*Workings_costs!$E$7</f>
        <v>0</v>
      </c>
      <c r="AC14" s="32">
        <f>INDEX(Workings_costs!AA$13:AA$17, MATCH($A$3, Workings_costs!$C$13:$C$17,0))*Workings_costs!$E$7</f>
        <v>0</v>
      </c>
      <c r="AD14" s="32">
        <f>INDEX(Workings_costs!AB$13:AB$17, MATCH($A$3, Workings_costs!$C$13:$C$17,0))*Workings_costs!$E$7</f>
        <v>0</v>
      </c>
      <c r="AE14" s="32">
        <f>INDEX(Workings_costs!AC$13:AC$17, MATCH($A$3, Workings_costs!$C$13:$C$17,0))*Workings_costs!$E$7</f>
        <v>0</v>
      </c>
      <c r="AF14" s="32">
        <f>INDEX(Workings_costs!AD$13:AD$17, MATCH($A$3, Workings_costs!$C$13:$C$17,0))*Workings_costs!$E$7</f>
        <v>0</v>
      </c>
      <c r="AG14" s="32">
        <f>INDEX(Workings_costs!AE$13:AE$17, MATCH($A$3, Workings_costs!$C$13:$C$17,0))*Workings_costs!$E$7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247</v>
      </c>
      <c r="D15"/>
      <c r="E15" s="151">
        <v>50</v>
      </c>
      <c r="G15" s="209">
        <f>input_dollars</f>
        <v>45291</v>
      </c>
      <c r="H15" s="2"/>
      <c r="I15" s="32">
        <f>INDEX(Workings_costs!G$21:G$25, MATCH($A$3, Workings_costs!$C$21:$C$25,0))*Workings_costs!$E$9</f>
        <v>165000</v>
      </c>
      <c r="J15" s="32">
        <f>INDEX(Workings_costs!H$21:H$25, MATCH($A$3, Workings_costs!$C$21:$C$25,0))*Workings_costs!$E$9</f>
        <v>165000</v>
      </c>
      <c r="K15" s="32">
        <f>INDEX(Workings_costs!I$21:I$25, MATCH($A$3, Workings_costs!$C$21:$C$25,0))*Workings_costs!$E$9</f>
        <v>165000</v>
      </c>
      <c r="L15" s="32">
        <f>INDEX(Workings_costs!J$21:J$25, MATCH($A$3, Workings_costs!$C$21:$C$25,0))*Workings_costs!$E$9</f>
        <v>110000</v>
      </c>
      <c r="M15" s="32">
        <f>INDEX(Workings_costs!K$21:K$25, MATCH($A$3, Workings_costs!$C$21:$C$25,0))*Workings_costs!$E$9</f>
        <v>110000</v>
      </c>
      <c r="N15" s="32">
        <f>INDEX(Workings_costs!L$21:L$25, MATCH($A$3, Workings_costs!$C$21:$C$25,0))*Workings_costs!$E$9</f>
        <v>55000</v>
      </c>
      <c r="O15" s="32">
        <f>INDEX(Workings_costs!M$21:M$25, MATCH($A$3, Workings_costs!$C$21:$C$25,0))*Workings_costs!$E$9</f>
        <v>55000</v>
      </c>
      <c r="P15" s="32">
        <f>INDEX(Workings_costs!N$21:N$25, MATCH($A$3, Workings_costs!$C$21:$C$25,0))*Workings_costs!$E$9</f>
        <v>55000</v>
      </c>
      <c r="Q15" s="32">
        <f>INDEX(Workings_costs!O$21:O$25, MATCH($A$3, Workings_costs!$C$21:$C$25,0))*Workings_costs!$E$9</f>
        <v>0</v>
      </c>
      <c r="R15" s="32">
        <f>INDEX(Workings_costs!P$21:P$25, MATCH($A$3, Workings_costs!$C$21:$C$25,0))*Workings_costs!$E$9</f>
        <v>0</v>
      </c>
      <c r="S15" s="32">
        <f>INDEX(Workings_costs!Q$21:Q$25, MATCH($A$3, Workings_costs!$C$21:$C$25,0))*Workings_costs!$E$9</f>
        <v>0</v>
      </c>
      <c r="T15" s="32">
        <f>INDEX(Workings_costs!R$21:R$25, MATCH($A$3, Workings_costs!$C$21:$C$25,0))*Workings_costs!$E$9</f>
        <v>0</v>
      </c>
      <c r="U15" s="32">
        <f>INDEX(Workings_costs!S$21:S$25, MATCH($A$3, Workings_costs!$C$21:$C$25,0))*Workings_costs!$E$9</f>
        <v>0</v>
      </c>
      <c r="V15" s="32">
        <f>INDEX(Workings_costs!T$21:T$25, MATCH($A$3, Workings_costs!$C$21:$C$25,0))*Workings_costs!$E$9</f>
        <v>0</v>
      </c>
      <c r="W15" s="32">
        <f>INDEX(Workings_costs!U$21:U$25, MATCH($A$3, Workings_costs!$C$21:$C$25,0))*Workings_costs!$E$9</f>
        <v>0</v>
      </c>
      <c r="X15" s="32">
        <f>INDEX(Workings_costs!V$21:V$25, MATCH($A$3, Workings_costs!$C$21:$C$25,0))*Workings_costs!$E$9</f>
        <v>0</v>
      </c>
      <c r="Y15" s="32">
        <f>INDEX(Workings_costs!W$21:W$25, MATCH($A$3, Workings_costs!$C$21:$C$25,0))*Workings_costs!$E$9</f>
        <v>0</v>
      </c>
      <c r="Z15" s="32">
        <f>INDEX(Workings_costs!X$21:X$25, MATCH($A$3, Workings_costs!$C$21:$C$25,0))*Workings_costs!$E$9</f>
        <v>0</v>
      </c>
      <c r="AA15" s="32">
        <f>INDEX(Workings_costs!Y$21:Y$25, MATCH($A$3, Workings_costs!$C$21:$C$25,0))*Workings_costs!$E$9</f>
        <v>0</v>
      </c>
      <c r="AB15" s="32">
        <f>INDEX(Workings_costs!Z$21:Z$25, MATCH($A$3, Workings_costs!$C$21:$C$25,0))*Workings_costs!$E$9</f>
        <v>0</v>
      </c>
      <c r="AC15" s="32">
        <f>INDEX(Workings_costs!AA$21:AA$25, MATCH($A$3, Workings_costs!$C$21:$C$25,0))*Workings_costs!$E$9</f>
        <v>0</v>
      </c>
      <c r="AD15" s="32">
        <f>INDEX(Workings_costs!AB$21:AB$25, MATCH($A$3, Workings_costs!$C$21:$C$25,0))*Workings_costs!$E$9</f>
        <v>0</v>
      </c>
      <c r="AE15" s="32">
        <f>INDEX(Workings_costs!AC$21:AC$25, MATCH($A$3, Workings_costs!$C$21:$C$25,0))*Workings_costs!$E$9</f>
        <v>0</v>
      </c>
      <c r="AF15" s="32">
        <f>INDEX(Workings_costs!AD$21:AD$25, MATCH($A$3, Workings_costs!$C$21:$C$25,0))*Workings_costs!$E$9</f>
        <v>0</v>
      </c>
      <c r="AG15" s="32">
        <f>INDEX(Workings_costs!AE$21:AE$25, MATCH($A$3, Workings_costs!$C$21:$C$25,0))*Workings_costs!$E$9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09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9">
        <f>input_dollars</f>
        <v>45291</v>
      </c>
      <c r="H17" s="107"/>
      <c r="I17" s="106">
        <f t="shared" ref="I17:Q17" si="0">SUM(I14:I16)</f>
        <v>1865000</v>
      </c>
      <c r="J17" s="106">
        <f t="shared" si="0"/>
        <v>1865000</v>
      </c>
      <c r="K17" s="106">
        <f t="shared" si="0"/>
        <v>1865000</v>
      </c>
      <c r="L17" s="106">
        <f t="shared" si="0"/>
        <v>1810000</v>
      </c>
      <c r="M17" s="106">
        <f t="shared" si="0"/>
        <v>1810000</v>
      </c>
      <c r="N17" s="106">
        <f t="shared" si="0"/>
        <v>1755000</v>
      </c>
      <c r="O17" s="106">
        <f t="shared" si="0"/>
        <v>1755000</v>
      </c>
      <c r="P17" s="106">
        <f t="shared" si="0"/>
        <v>1755000</v>
      </c>
      <c r="Q17" s="106">
        <f t="shared" si="0"/>
        <v>1700000</v>
      </c>
      <c r="R17" s="106">
        <f t="shared" ref="R17:AG17" si="1">SUM(R14:R16)</f>
        <v>198000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9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7"/>
      <c r="AH20"/>
      <c r="AI20"/>
      <c r="AJ20"/>
      <c r="AK20"/>
      <c r="AL20"/>
      <c r="AM20"/>
    </row>
    <row r="21" spans="1:43" x14ac:dyDescent="0.2">
      <c r="C21"/>
      <c r="D21"/>
      <c r="E21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268</v>
      </c>
      <c r="D24" s="111"/>
      <c r="E24" s="111"/>
      <c r="F24" s="111"/>
      <c r="G24" s="210"/>
      <c r="H24" s="111"/>
      <c r="I24" s="32">
        <f>INDEX(Workings_costs!G$21:G$25, MATCH($A$3, Workings_costs!$C$21:$C$25,0))</f>
        <v>3</v>
      </c>
      <c r="J24" s="32">
        <f>INDEX(Workings_costs!H$21:H$25, MATCH($A$3, Workings_costs!$C$21:$C$25,0))</f>
        <v>3</v>
      </c>
      <c r="K24" s="32">
        <f>INDEX(Workings_costs!I$21:I$25, MATCH($A$3, Workings_costs!$C$21:$C$25,0))</f>
        <v>3</v>
      </c>
      <c r="L24" s="32">
        <f>INDEX(Workings_costs!J$21:J$25, MATCH($A$3, Workings_costs!$C$21:$C$25,0))</f>
        <v>2</v>
      </c>
      <c r="M24" s="32">
        <f>INDEX(Workings_costs!K$21:K$25, MATCH($A$3, Workings_costs!$C$21:$C$25,0))</f>
        <v>2</v>
      </c>
      <c r="N24" s="32">
        <f>INDEX(Workings_costs!L$21:L$25, MATCH($A$3, Workings_costs!$C$21:$C$25,0))</f>
        <v>1</v>
      </c>
      <c r="O24" s="32">
        <f>INDEX(Workings_costs!M$21:M$25, MATCH($A$3, Workings_costs!$C$21:$C$25,0))</f>
        <v>1</v>
      </c>
      <c r="P24" s="32">
        <f>INDEX(Workings_costs!N$21:N$25, MATCH($A$3, Workings_costs!$C$21:$C$25,0))</f>
        <v>1</v>
      </c>
      <c r="Q24" s="32">
        <f>INDEX(Workings_costs!O$21:O$25, MATCH($A$3, Workings_costs!$C$21:$C$25,0))</f>
        <v>0</v>
      </c>
      <c r="R24" s="32">
        <f>INDEX(Workings_costs!P$21:P$25, MATCH($A$3, Workings_costs!$C$21:$C$25,0))</f>
        <v>0</v>
      </c>
      <c r="S24" s="32">
        <f>INDEX(Workings_costs!Q$21:Q$25, MATCH($A$3, Workings_costs!$C$21:$C$25,0))</f>
        <v>0</v>
      </c>
      <c r="T24" s="32">
        <f>INDEX(Workings_costs!R$21:R$25, MATCH($A$3, Workings_costs!$C$21:$C$25,0))</f>
        <v>0</v>
      </c>
      <c r="U24" s="32">
        <f>INDEX(Workings_costs!S$21:S$25, MATCH($A$3, Workings_costs!$C$21:$C$25,0))</f>
        <v>0</v>
      </c>
      <c r="V24" s="32">
        <f>INDEX(Workings_costs!T$21:T$25, MATCH($A$3, Workings_costs!$C$21:$C$25,0))</f>
        <v>0</v>
      </c>
      <c r="W24" s="32">
        <f>INDEX(Workings_costs!U$21:U$25, MATCH($A$3, Workings_costs!$C$21:$C$25,0))</f>
        <v>0</v>
      </c>
      <c r="X24" s="32">
        <f>INDEX(Workings_costs!V$21:V$25, MATCH($A$3, Workings_costs!$C$21:$C$25,0))</f>
        <v>0</v>
      </c>
      <c r="Y24" s="32">
        <f>INDEX(Workings_costs!W$21:W$25, MATCH($A$3, Workings_costs!$C$21:$C$25,0))</f>
        <v>0</v>
      </c>
      <c r="Z24" s="32">
        <f>INDEX(Workings_costs!X$21:X$25, MATCH($A$3, Workings_costs!$C$21:$C$25,0))</f>
        <v>0</v>
      </c>
      <c r="AA24" s="32">
        <f>INDEX(Workings_costs!Y$21:Y$25, MATCH($A$3, Workings_costs!$C$21:$C$25,0))</f>
        <v>0</v>
      </c>
      <c r="AB24" s="32">
        <f>INDEX(Workings_costs!Z$21:Z$25, MATCH($A$3, Workings_costs!$C$21:$C$25,0))</f>
        <v>0</v>
      </c>
      <c r="AC24" s="32">
        <f>INDEX(Workings_costs!AA$21:AA$25, MATCH($A$3, Workings_costs!$C$21:$C$25,0))</f>
        <v>0</v>
      </c>
      <c r="AD24" s="32">
        <f>INDEX(Workings_costs!AB$21:AB$25, MATCH($A$3, Workings_costs!$C$21:$C$25,0))</f>
        <v>0</v>
      </c>
      <c r="AE24" s="32">
        <f>INDEX(Workings_costs!AC$21:AC$25, MATCH($A$3, Workings_costs!$C$21:$C$25,0))</f>
        <v>0</v>
      </c>
      <c r="AF24" s="32">
        <f>INDEX(Workings_costs!AD$21:AD$25, MATCH($A$3, Workings_costs!$C$21:$C$25,0))</f>
        <v>0</v>
      </c>
      <c r="AG24" s="32">
        <f>INDEX(Workings_costs!AE$21:AE$25, MATCH($A$3, Workings_costs!$C$21:$C$25,0))</f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11"/>
      <c r="D25" s="210"/>
      <c r="E25" s="111"/>
      <c r="F25" s="111"/>
      <c r="G25" s="2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/>
      <c r="AI25"/>
      <c r="AJ25"/>
      <c r="AK25"/>
      <c r="AL25"/>
      <c r="AM25"/>
      <c r="AN25"/>
      <c r="AO25"/>
      <c r="AP25"/>
      <c r="AQ25"/>
    </row>
    <row r="26" spans="1:43" x14ac:dyDescent="0.2">
      <c r="C26" s="1" t="s">
        <v>123</v>
      </c>
      <c r="D26" s="207"/>
      <c r="E26"/>
      <c r="G26" s="209" t="s">
        <v>40</v>
      </c>
      <c r="H26"/>
      <c r="I26" s="334">
        <f>I24*Workings_risks!$E$9*Workings_risks!$E$11/60</f>
        <v>13.293000000000001</v>
      </c>
      <c r="J26" s="334">
        <f>J24*Workings_risks!$E$9*Workings_risks!$E$11/60</f>
        <v>13.293000000000001</v>
      </c>
      <c r="K26" s="334">
        <f>K24*Workings_risks!$E$9*Workings_risks!$E$11/60</f>
        <v>13.293000000000001</v>
      </c>
      <c r="L26" s="334">
        <f>L24*Workings_risks!$E$9*Workings_risks!$E$11/60</f>
        <v>8.8619999999999983</v>
      </c>
      <c r="M26" s="334">
        <f>M24*Workings_risks!$E$9*Workings_risks!$E$11/60</f>
        <v>8.8619999999999983</v>
      </c>
      <c r="N26" s="334">
        <f>N24*Workings_risks!$E$9*Workings_risks!$E$11/60</f>
        <v>4.4309999999999992</v>
      </c>
      <c r="O26" s="334">
        <f>O24*Workings_risks!$E$9*Workings_risks!$E$11/60</f>
        <v>4.4309999999999992</v>
      </c>
      <c r="P26" s="334">
        <f>P24*Workings_risks!$E$9*Workings_risks!$E$11/60</f>
        <v>4.4309999999999992</v>
      </c>
      <c r="Q26" s="334">
        <f>Q24*Workings_risks!$E$9*Workings_risks!$E$11/60</f>
        <v>0</v>
      </c>
      <c r="R26" s="334">
        <f>R24*Workings_risks!$E$9*Workings_risks!$E$11/60</f>
        <v>0</v>
      </c>
      <c r="S26" s="334">
        <f>S24*Workings_risks!$E$9*Workings_risks!$E$11/60</f>
        <v>0</v>
      </c>
      <c r="T26" s="334">
        <f>T24*Workings_risks!$E$9*Workings_risks!$E$11/60</f>
        <v>0</v>
      </c>
      <c r="U26" s="334">
        <f>U24*Workings_risks!$E$9*Workings_risks!$E$11/60</f>
        <v>0</v>
      </c>
      <c r="V26" s="334">
        <f>V24*Workings_risks!$E$9*Workings_risks!$E$11/60</f>
        <v>0</v>
      </c>
      <c r="W26" s="334">
        <f>W24*Workings_risks!$E$9*Workings_risks!$E$11/60</f>
        <v>0</v>
      </c>
      <c r="X26" s="334">
        <f>X24*Workings_risks!$E$9*Workings_risks!$E$11/60</f>
        <v>0</v>
      </c>
      <c r="Y26" s="334">
        <f>Y24*Workings_risks!$E$9*Workings_risks!$E$11/60</f>
        <v>0</v>
      </c>
      <c r="Z26" s="334">
        <f>Z24*Workings_risks!$E$9*Workings_risks!$E$11/60</f>
        <v>0</v>
      </c>
      <c r="AA26" s="334">
        <f>AA24*Workings_risks!$E$9*Workings_risks!$E$11/60</f>
        <v>0</v>
      </c>
      <c r="AB26" s="334">
        <f>AB24*Workings_risks!$E$9*Workings_risks!$E$11/60</f>
        <v>0</v>
      </c>
      <c r="AC26" s="334">
        <f>AC24*Workings_risks!$E$9*Workings_risks!$E$11/60</f>
        <v>0</v>
      </c>
      <c r="AD26" s="334">
        <f>AD24*Workings_risks!$E$9*Workings_risks!$E$11/60</f>
        <v>0</v>
      </c>
      <c r="AE26" s="334">
        <f>AE24*Workings_risks!$E$9*Workings_risks!$E$11/60</f>
        <v>0</v>
      </c>
      <c r="AF26" s="334">
        <f>AF24*Workings_risks!$E$9*Workings_risks!$E$11/60</f>
        <v>0</v>
      </c>
      <c r="AG26" s="334">
        <f>AG24*Workings_risks!$E$9*Workings_risks!$E$11/60</f>
        <v>0</v>
      </c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124</v>
      </c>
      <c r="D27" s="207" t="s">
        <v>63</v>
      </c>
      <c r="E27" s="113">
        <f>Assumptions!H41*vcr_esc</f>
        <v>47819.790378690712</v>
      </c>
      <c r="F27" s="240" t="str">
        <f>IF(AND(SUM(I26:AG26)&lt;&gt;0, E27=0), "!", "")</f>
        <v/>
      </c>
      <c r="G27" s="209">
        <f>input_dollars</f>
        <v>45291</v>
      </c>
      <c r="H27"/>
      <c r="I27" s="119">
        <f>I26*$E$27*Workings_risks!$E$15</f>
        <v>909005.9171106281</v>
      </c>
      <c r="J27" s="119">
        <f>J26*$E$27*Workings_risks!$E$15</f>
        <v>909005.9171106281</v>
      </c>
      <c r="K27" s="119">
        <f>K26*$E$27*Workings_risks!$E$15</f>
        <v>909005.9171106281</v>
      </c>
      <c r="L27" s="119">
        <f>L26*$E$27*Workings_risks!$E$15</f>
        <v>606003.94474041846</v>
      </c>
      <c r="M27" s="119">
        <f>M26*$E$27*Workings_risks!$E$15</f>
        <v>606003.94474041846</v>
      </c>
      <c r="N27" s="119">
        <f>N26*$E$27*Workings_risks!$E$15</f>
        <v>303001.97237020923</v>
      </c>
      <c r="O27" s="119">
        <f>O26*$E$27*Workings_risks!$E$15</f>
        <v>303001.97237020923</v>
      </c>
      <c r="P27" s="119">
        <f>P26*$E$27*Workings_risks!$E$15</f>
        <v>303001.97237020923</v>
      </c>
      <c r="Q27" s="119">
        <f>Q26*$E$27*Workings_risks!$E$15</f>
        <v>0</v>
      </c>
      <c r="R27" s="119">
        <f>R26*$E$27*Workings_risks!$E$15</f>
        <v>0</v>
      </c>
      <c r="S27" s="119">
        <f>S26*$E$27*Workings_risks!$E$15</f>
        <v>0</v>
      </c>
      <c r="T27" s="119">
        <f>T26*$E$27*Workings_risks!$E$15</f>
        <v>0</v>
      </c>
      <c r="U27" s="119">
        <f>U26*$E$27*Workings_risks!$E$15</f>
        <v>0</v>
      </c>
      <c r="V27" s="119">
        <f>V26*$E$27*Workings_risks!$E$15</f>
        <v>0</v>
      </c>
      <c r="W27" s="119">
        <f>W26*$E$27*Workings_risks!$E$15</f>
        <v>0</v>
      </c>
      <c r="X27" s="119">
        <f>X26*$E$27*Workings_risks!$E$15</f>
        <v>0</v>
      </c>
      <c r="Y27" s="119">
        <f>Y26*$E$27*Workings_risks!$E$15</f>
        <v>0</v>
      </c>
      <c r="Z27" s="119">
        <f>Z26*$E$27*Workings_risks!$E$15</f>
        <v>0</v>
      </c>
      <c r="AA27" s="119">
        <f>AA26*$E$27*Workings_risks!$E$15</f>
        <v>0</v>
      </c>
      <c r="AB27" s="119">
        <f>AB26*$E$27*Workings_risks!$E$15</f>
        <v>0</v>
      </c>
      <c r="AC27" s="119">
        <f>AC26*$E$27*Workings_risks!$E$15</f>
        <v>0</v>
      </c>
      <c r="AD27" s="119">
        <f>AD26*$E$27*Workings_risks!$E$15</f>
        <v>0</v>
      </c>
      <c r="AE27" s="119">
        <f>AE26*$E$27*Workings_risks!$E$15</f>
        <v>0</v>
      </c>
      <c r="AF27" s="119">
        <f>AF26*$E$27*Workings_risks!$E$15</f>
        <v>0</v>
      </c>
      <c r="AG27" s="119">
        <f>AG26*$E$27*Workings_risks!$E$15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D28" s="208"/>
      <c r="E28"/>
      <c r="G28" s="20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114</v>
      </c>
      <c r="D29" s="207" t="s">
        <v>206</v>
      </c>
      <c r="G29" s="209">
        <f>input_dollars</f>
        <v>45291</v>
      </c>
      <c r="H29" s="152"/>
      <c r="I29" s="32">
        <f>I$24*Workings_risks!$E17</f>
        <v>100470</v>
      </c>
      <c r="J29" s="32">
        <f>J$24*Workings_risks!$E17</f>
        <v>100470</v>
      </c>
      <c r="K29" s="32">
        <f>K$24*Workings_risks!$E17</f>
        <v>100470</v>
      </c>
      <c r="L29" s="32">
        <f>L$24*Workings_risks!$E17</f>
        <v>66980</v>
      </c>
      <c r="M29" s="32">
        <f>M$24*Workings_risks!$E17</f>
        <v>66980</v>
      </c>
      <c r="N29" s="32">
        <f>N$24*Workings_risks!$E17</f>
        <v>33490</v>
      </c>
      <c r="O29" s="32">
        <f>O$24*Workings_risks!$E17</f>
        <v>33490</v>
      </c>
      <c r="P29" s="32">
        <f>P$24*Workings_risks!$E17</f>
        <v>33490</v>
      </c>
      <c r="Q29" s="32">
        <f>Q$24*Workings_risks!$E17</f>
        <v>0</v>
      </c>
      <c r="R29" s="32">
        <f>R$24*Workings_risks!$E17</f>
        <v>0</v>
      </c>
      <c r="S29" s="32">
        <f>S$24*Workings_risks!$E17</f>
        <v>0</v>
      </c>
      <c r="T29" s="32">
        <f>T$24*Workings_risks!$E17</f>
        <v>0</v>
      </c>
      <c r="U29" s="32">
        <f>U$24*Workings_risks!$E17</f>
        <v>0</v>
      </c>
      <c r="V29" s="32">
        <f>V$24*Workings_risks!$E17</f>
        <v>0</v>
      </c>
      <c r="W29" s="32">
        <f>W$24*Workings_risks!$E17</f>
        <v>0</v>
      </c>
      <c r="X29" s="32">
        <f>X$24*Workings_risks!$E17</f>
        <v>0</v>
      </c>
      <c r="Y29" s="32">
        <f>Y$24*Workings_risks!$E17</f>
        <v>0</v>
      </c>
      <c r="Z29" s="32">
        <f>Z$24*Workings_risks!$E17</f>
        <v>0</v>
      </c>
      <c r="AA29" s="32">
        <f>AA$24*Workings_risks!$E17</f>
        <v>0</v>
      </c>
      <c r="AB29" s="32">
        <f>AB$24*Workings_risks!$E17</f>
        <v>0</v>
      </c>
      <c r="AC29" s="32">
        <f>AC$24*Workings_risks!$E17</f>
        <v>0</v>
      </c>
      <c r="AD29" s="32">
        <f>AD$24*Workings_risks!$E17</f>
        <v>0</v>
      </c>
      <c r="AE29" s="32">
        <f>AE$24*Workings_risks!$E17</f>
        <v>0</v>
      </c>
      <c r="AF29" s="32">
        <f>AF$24*Workings_risks!$E17</f>
        <v>0</v>
      </c>
      <c r="AG29" s="32">
        <f>AG$24*Workings_risks!$E17</f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116</v>
      </c>
      <c r="D30" s="208"/>
      <c r="E30"/>
      <c r="G30" s="209">
        <f>input_dollars</f>
        <v>45291</v>
      </c>
      <c r="H30" s="152"/>
      <c r="I30" s="32" cm="1">
        <f t="array" ref="I30">(1+Assumptions!$G$81)*SUMPRODUCT((Assumptions!$G$78:$G$79)*('Option1 (base case)'!I$24:I$24))</f>
        <v>0</v>
      </c>
      <c r="J30" s="32" cm="1">
        <f t="array" ref="J30">(1+Assumptions!$G$81)*SUMPRODUCT((Assumptions!$G$78:$G$79)*('Option1 (base case)'!J$24:J$24))</f>
        <v>0</v>
      </c>
      <c r="K30" s="32" cm="1">
        <f t="array" ref="K30">(1+Assumptions!$G$81)*SUMPRODUCT((Assumptions!$G$78:$G$79)*('Option1 (base case)'!K$24:K$24))</f>
        <v>0</v>
      </c>
      <c r="L30" s="32" cm="1">
        <f t="array" ref="L30">(1+Assumptions!$G$81)*SUMPRODUCT((Assumptions!$G$78:$G$79)*('Option1 (base case)'!L$24:L$24))</f>
        <v>0</v>
      </c>
      <c r="M30" s="32" cm="1">
        <f t="array" ref="M30">(1+Assumptions!$G$81)*SUMPRODUCT((Assumptions!$G$78:$G$79)*('Option1 (base case)'!M$24:M$24))</f>
        <v>0</v>
      </c>
      <c r="N30" s="32" cm="1">
        <f t="array" ref="N30">(1+Assumptions!$G$81)*SUMPRODUCT((Assumptions!$G$78:$G$79)*('Option1 (base case)'!N$24:N$24))</f>
        <v>0</v>
      </c>
      <c r="O30" s="32" cm="1">
        <f t="array" ref="O30">(1+Assumptions!$G$81)*SUMPRODUCT((Assumptions!$G$78:$G$79)*('Option1 (base case)'!O$24:O$24))</f>
        <v>0</v>
      </c>
      <c r="P30" s="32" cm="1">
        <f t="array" ref="P30">(1+Assumptions!$G$81)*SUMPRODUCT((Assumptions!$G$78:$G$79)*('Option1 (base case)'!P$24:P$24))</f>
        <v>0</v>
      </c>
      <c r="Q30" s="32" cm="1">
        <f t="array" ref="Q30">(1+Assumptions!$G$81)*SUMPRODUCT((Assumptions!$G$78:$G$79)*('Option1 (base case)'!Q$24:Q$24))</f>
        <v>0</v>
      </c>
      <c r="R30" s="32" cm="1">
        <f t="array" ref="R30">(1+Assumptions!$G$81)*SUMPRODUCT((Assumptions!$G$78:$G$79)*('Option1 (base case)'!R$24:R$24))</f>
        <v>0</v>
      </c>
      <c r="S30" s="32" cm="1">
        <f t="array" ref="S30">(1+Assumptions!$G$81)*SUMPRODUCT((Assumptions!$G$78:$G$79)*('Option1 (base case)'!S$24:S$24))</f>
        <v>0</v>
      </c>
      <c r="T30" s="32" cm="1">
        <f t="array" ref="T30">(1+Assumptions!$G$81)*SUMPRODUCT((Assumptions!$G$78:$G$79)*('Option1 (base case)'!T$24:T$24))</f>
        <v>0</v>
      </c>
      <c r="U30" s="32" cm="1">
        <f t="array" ref="U30">(1+Assumptions!$G$81)*SUMPRODUCT((Assumptions!$G$78:$G$79)*('Option1 (base case)'!U$24:U$24))</f>
        <v>0</v>
      </c>
      <c r="V30" s="32" cm="1">
        <f t="array" ref="V30">(1+Assumptions!$G$81)*SUMPRODUCT((Assumptions!$G$78:$G$79)*('Option1 (base case)'!V$24:V$24))</f>
        <v>0</v>
      </c>
      <c r="W30" s="32" cm="1">
        <f t="array" ref="W30">(1+Assumptions!$G$81)*SUMPRODUCT((Assumptions!$G$78:$G$79)*('Option1 (base case)'!W$24:W$24))</f>
        <v>0</v>
      </c>
      <c r="X30" s="32" cm="1">
        <f t="array" ref="X30">(1+Assumptions!$G$81)*SUMPRODUCT((Assumptions!$G$78:$G$79)*('Option1 (base case)'!X$24:X$24))</f>
        <v>0</v>
      </c>
      <c r="Y30" s="32" cm="1">
        <f t="array" ref="Y30">(1+Assumptions!$G$81)*SUMPRODUCT((Assumptions!$G$78:$G$79)*('Option1 (base case)'!Y$24:Y$24))</f>
        <v>0</v>
      </c>
      <c r="Z30" s="32" cm="1">
        <f t="array" ref="Z30">(1+Assumptions!$G$81)*SUMPRODUCT((Assumptions!$G$78:$G$79)*('Option1 (base case)'!Z$24:Z$24))</f>
        <v>0</v>
      </c>
      <c r="AA30" s="32" cm="1">
        <f t="array" ref="AA30">(1+Assumptions!$G$81)*SUMPRODUCT((Assumptions!$G$78:$G$79)*('Option1 (base case)'!AA$24:AA$24))</f>
        <v>0</v>
      </c>
      <c r="AB30" s="32" cm="1">
        <f t="array" ref="AB30">(1+Assumptions!$G$81)*SUMPRODUCT((Assumptions!$G$78:$G$79)*('Option1 (base case)'!AB$24:AB$24))</f>
        <v>0</v>
      </c>
      <c r="AC30" s="32" cm="1">
        <f t="array" ref="AC30">(1+Assumptions!$G$81)*SUMPRODUCT((Assumptions!$G$78:$G$79)*('Option1 (base case)'!AC$24:AC$24))</f>
        <v>0</v>
      </c>
      <c r="AD30" s="32" cm="1">
        <f t="array" ref="AD30">(1+Assumptions!$G$81)*SUMPRODUCT((Assumptions!$G$78:$G$79)*('Option1 (base case)'!AD$24:AD$24))</f>
        <v>0</v>
      </c>
      <c r="AE30" s="32" cm="1">
        <f t="array" ref="AE30">(1+Assumptions!$G$81)*SUMPRODUCT((Assumptions!$G$78:$G$79)*('Option1 (base case)'!AE$24:AE$24))</f>
        <v>0</v>
      </c>
      <c r="AF30" s="32" cm="1">
        <f t="array" ref="AF30">(1+Assumptions!$G$81)*SUMPRODUCT((Assumptions!$G$78:$G$79)*('Option1 (base case)'!AF$24:AF$24))</f>
        <v>0</v>
      </c>
      <c r="AG30" s="32" cm="1">
        <f t="array" ref="AG30">(1+Assumptions!$G$81)*SUMPRODUCT((Assumptions!$G$78:$G$79)*('Option1 (base case)'!AG$24:AG$24))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7" t="s">
        <v>206</v>
      </c>
      <c r="E31"/>
      <c r="G31" s="209">
        <f>input_dollars</f>
        <v>45291</v>
      </c>
      <c r="H31"/>
      <c r="I31" s="32">
        <f>I$24*Workings_risks!$E19</f>
        <v>1650</v>
      </c>
      <c r="J31" s="32">
        <f>J$24*Workings_risks!$E19</f>
        <v>1650</v>
      </c>
      <c r="K31" s="32">
        <f>K$24*Workings_risks!$E19</f>
        <v>1650</v>
      </c>
      <c r="L31" s="32">
        <f>L$24*Workings_risks!$E19</f>
        <v>1100</v>
      </c>
      <c r="M31" s="32">
        <f>M$24*Workings_risks!$E19</f>
        <v>1100</v>
      </c>
      <c r="N31" s="32">
        <f>N$24*Workings_risks!$E19</f>
        <v>550</v>
      </c>
      <c r="O31" s="32">
        <f>O$24*Workings_risks!$E19</f>
        <v>550</v>
      </c>
      <c r="P31" s="32">
        <f>P$24*Workings_risks!$E19</f>
        <v>550</v>
      </c>
      <c r="Q31" s="32">
        <f>Q$24*Workings_risks!$E19</f>
        <v>0</v>
      </c>
      <c r="R31" s="32">
        <f>R$24*Workings_risks!$E19</f>
        <v>0</v>
      </c>
      <c r="S31" s="32">
        <f>S$24*Workings_risks!$E19</f>
        <v>0</v>
      </c>
      <c r="T31" s="32">
        <f>T$24*Workings_risks!$E19</f>
        <v>0</v>
      </c>
      <c r="U31" s="32">
        <f>U$24*Workings_risks!$E19</f>
        <v>0</v>
      </c>
      <c r="V31" s="32">
        <f>V$24*Workings_risks!$E19</f>
        <v>0</v>
      </c>
      <c r="W31" s="32">
        <f>W$24*Workings_risks!$E19</f>
        <v>0</v>
      </c>
      <c r="X31" s="32">
        <f>X$24*Workings_risks!$E19</f>
        <v>0</v>
      </c>
      <c r="Y31" s="32">
        <f>Y$24*Workings_risks!$E19</f>
        <v>0</v>
      </c>
      <c r="Z31" s="32">
        <f>Z$24*Workings_risks!$E19</f>
        <v>0</v>
      </c>
      <c r="AA31" s="32">
        <f>AA$24*Workings_risks!$E19</f>
        <v>0</v>
      </c>
      <c r="AB31" s="32">
        <f>AB$24*Workings_risks!$E19</f>
        <v>0</v>
      </c>
      <c r="AC31" s="32">
        <f>AC$24*Workings_risks!$E19</f>
        <v>0</v>
      </c>
      <c r="AD31" s="32">
        <f>AD$24*Workings_risks!$E19</f>
        <v>0</v>
      </c>
      <c r="AE31" s="32">
        <f>AE$24*Workings_risks!$E19</f>
        <v>0</v>
      </c>
      <c r="AF31" s="32">
        <f>AF$24*Workings_risks!$E19</f>
        <v>0</v>
      </c>
      <c r="AG31" s="32">
        <f>AG$24*Workings_risks!$E19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7" t="s">
        <v>171</v>
      </c>
      <c r="D32" s="221"/>
      <c r="E32"/>
      <c r="G32" s="209">
        <f>input_dollars</f>
        <v>45291</v>
      </c>
      <c r="H32"/>
      <c r="I32" s="32">
        <f>I$24*Workings_risks!$E21</f>
        <v>39000</v>
      </c>
      <c r="J32" s="32">
        <f>J$24*Workings_risks!$E21</f>
        <v>39000</v>
      </c>
      <c r="K32" s="32">
        <f>K$24*Workings_risks!$E21</f>
        <v>39000</v>
      </c>
      <c r="L32" s="32">
        <f>L$24*Workings_risks!$E21</f>
        <v>26000</v>
      </c>
      <c r="M32" s="32">
        <f>M$24*Workings_risks!$E21</f>
        <v>26000</v>
      </c>
      <c r="N32" s="32">
        <f>N$24*Workings_risks!$E21</f>
        <v>13000</v>
      </c>
      <c r="O32" s="32">
        <f>O$24*Workings_risks!$E21</f>
        <v>13000</v>
      </c>
      <c r="P32" s="32">
        <f>P$24*Workings_risks!$E21</f>
        <v>13000</v>
      </c>
      <c r="Q32" s="32">
        <f>Q$24*Workings_risks!$E21</f>
        <v>0</v>
      </c>
      <c r="R32" s="32">
        <f>R$24*Workings_risks!$E21</f>
        <v>0</v>
      </c>
      <c r="S32" s="32">
        <f>S$24*Workings_risks!$E21</f>
        <v>0</v>
      </c>
      <c r="T32" s="32">
        <f>T$24*Workings_risks!$E21</f>
        <v>0</v>
      </c>
      <c r="U32" s="32">
        <f>U$24*Workings_risks!$E21</f>
        <v>0</v>
      </c>
      <c r="V32" s="32">
        <f>V$24*Workings_risks!$E21</f>
        <v>0</v>
      </c>
      <c r="W32" s="32">
        <f>W$24*Workings_risks!$E21</f>
        <v>0</v>
      </c>
      <c r="X32" s="32">
        <f>X$24*Workings_risks!$E21</f>
        <v>0</v>
      </c>
      <c r="Y32" s="32">
        <f>Y$24*Workings_risks!$E21</f>
        <v>0</v>
      </c>
      <c r="Z32" s="32">
        <f>Z$24*Workings_risks!$E21</f>
        <v>0</v>
      </c>
      <c r="AA32" s="32">
        <f>AA$24*Workings_risks!$E21</f>
        <v>0</v>
      </c>
      <c r="AB32" s="32">
        <f>AB$24*Workings_risks!$E21</f>
        <v>0</v>
      </c>
      <c r="AC32" s="32">
        <f>AC$24*Workings_risks!$E21</f>
        <v>0</v>
      </c>
      <c r="AD32" s="32">
        <f>AD$24*Workings_risks!$E21</f>
        <v>0</v>
      </c>
      <c r="AE32" s="32">
        <f>AE$24*Workings_risks!$E21</f>
        <v>0</v>
      </c>
      <c r="AF32" s="32">
        <f>AF$24*Workings_risks!$E21</f>
        <v>0</v>
      </c>
      <c r="AG32" s="32">
        <f>AG$24*Workings_risks!$E21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7" t="s">
        <v>171</v>
      </c>
      <c r="D33" s="208"/>
      <c r="E33"/>
      <c r="G33" s="209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D34" s="208"/>
      <c r="E34"/>
      <c r="G34" s="20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pans="1:16372" x14ac:dyDescent="0.2">
      <c r="C35" s="3" t="s">
        <v>170</v>
      </c>
      <c r="D35" s="220"/>
      <c r="E35" s="107"/>
      <c r="F35" s="3"/>
      <c r="G35" s="211"/>
      <c r="H35" s="107"/>
      <c r="I35" s="172">
        <f>SUM(I27:I33)</f>
        <v>1050125.917110628</v>
      </c>
      <c r="J35" s="172">
        <f t="shared" ref="J35:AG35" si="2">SUM(J27:J33)</f>
        <v>1050125.917110628</v>
      </c>
      <c r="K35" s="172">
        <f t="shared" si="2"/>
        <v>1050125.917110628</v>
      </c>
      <c r="L35" s="172">
        <f t="shared" si="2"/>
        <v>700083.94474041846</v>
      </c>
      <c r="M35" s="172">
        <f t="shared" si="2"/>
        <v>700083.94474041846</v>
      </c>
      <c r="N35" s="172">
        <f t="shared" si="2"/>
        <v>350041.97237020923</v>
      </c>
      <c r="O35" s="172">
        <f t="shared" si="2"/>
        <v>350041.97237020923</v>
      </c>
      <c r="P35" s="172">
        <f t="shared" si="2"/>
        <v>350041.97237020923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0</v>
      </c>
      <c r="AD35" s="172">
        <f t="shared" si="2"/>
        <v>0</v>
      </c>
      <c r="AE35" s="172">
        <f t="shared" si="2"/>
        <v>0</v>
      </c>
      <c r="AF35" s="172">
        <f t="shared" si="2"/>
        <v>0</v>
      </c>
      <c r="AG35" s="172">
        <f t="shared" si="2"/>
        <v>0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D36"/>
      <c r="E36"/>
      <c r="G36" s="20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5" x14ac:dyDescent="0.2">
      <c r="A37" s="89" t="s">
        <v>56</v>
      </c>
      <c r="B37" s="89"/>
      <c r="C37" s="89"/>
      <c r="D37" s="89"/>
      <c r="E37" s="89"/>
      <c r="F37" s="89"/>
      <c r="G37" s="20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/>
      <c r="AI37"/>
      <c r="AJ37"/>
      <c r="AK37"/>
      <c r="AL37"/>
      <c r="AM37"/>
      <c r="AN37"/>
      <c r="AO37"/>
      <c r="AP37"/>
      <c r="AQ37"/>
    </row>
    <row r="38" spans="1:16372" x14ac:dyDescent="0.2">
      <c r="D38"/>
      <c r="E38"/>
      <c r="G38" s="20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25">
      <c r="C40" s="1" t="s">
        <v>59</v>
      </c>
      <c r="G40" s="207" t="s">
        <v>40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</row>
    <row r="41" spans="1:16372" ht="13.5" x14ac:dyDescent="0.25">
      <c r="C41" s="1" t="s">
        <v>129</v>
      </c>
      <c r="G41" s="207" t="s">
        <v>104</v>
      </c>
      <c r="I41" s="85">
        <f t="shared" ref="I41:AG41" si="3">I40*I7</f>
        <v>0</v>
      </c>
      <c r="J41" s="85">
        <f t="shared" si="3"/>
        <v>0</v>
      </c>
      <c r="K41" s="85">
        <f t="shared" si="3"/>
        <v>0</v>
      </c>
      <c r="L41" s="85">
        <f t="shared" si="3"/>
        <v>0</v>
      </c>
      <c r="M41" s="85">
        <f t="shared" si="3"/>
        <v>0</v>
      </c>
      <c r="N41" s="85">
        <f t="shared" si="3"/>
        <v>0</v>
      </c>
      <c r="O41" s="85">
        <f t="shared" si="3"/>
        <v>0</v>
      </c>
      <c r="P41" s="85">
        <f t="shared" si="3"/>
        <v>0</v>
      </c>
      <c r="Q41" s="85">
        <f t="shared" si="3"/>
        <v>0</v>
      </c>
      <c r="R41" s="85">
        <f t="shared" si="3"/>
        <v>0</v>
      </c>
      <c r="S41" s="85">
        <f t="shared" si="3"/>
        <v>0</v>
      </c>
      <c r="T41" s="85">
        <f t="shared" si="3"/>
        <v>0</v>
      </c>
      <c r="U41" s="85">
        <f t="shared" si="3"/>
        <v>0</v>
      </c>
      <c r="V41" s="85">
        <f t="shared" si="3"/>
        <v>0</v>
      </c>
      <c r="W41" s="85">
        <f t="shared" si="3"/>
        <v>0</v>
      </c>
      <c r="X41" s="85">
        <f t="shared" si="3"/>
        <v>0</v>
      </c>
      <c r="Y41" s="85">
        <f t="shared" si="3"/>
        <v>0</v>
      </c>
      <c r="Z41" s="85">
        <f t="shared" si="3"/>
        <v>0</v>
      </c>
      <c r="AA41" s="85">
        <f t="shared" si="3"/>
        <v>0</v>
      </c>
      <c r="AB41" s="85">
        <f t="shared" si="3"/>
        <v>0</v>
      </c>
      <c r="AC41" s="85">
        <f t="shared" si="3"/>
        <v>0</v>
      </c>
      <c r="AD41" s="85">
        <f t="shared" si="3"/>
        <v>0</v>
      </c>
      <c r="AE41" s="85">
        <f t="shared" si="3"/>
        <v>0</v>
      </c>
      <c r="AF41" s="85">
        <f t="shared" si="3"/>
        <v>0</v>
      </c>
      <c r="AG41" s="85">
        <f t="shared" si="3"/>
        <v>0</v>
      </c>
    </row>
    <row r="42" spans="1:16372" x14ac:dyDescent="0.2">
      <c r="D42"/>
      <c r="E42"/>
      <c r="G42" s="20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2">
      <c r="D43" s="208"/>
      <c r="E43"/>
      <c r="G43" s="20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C44" s="1" t="s">
        <v>14</v>
      </c>
      <c r="D44" s="207" t="s">
        <v>63</v>
      </c>
      <c r="E44" s="113">
        <f>Assumptions!G94</f>
        <v>0</v>
      </c>
      <c r="G44" s="209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2">
      <c r="C45" s="1" t="s">
        <v>4</v>
      </c>
      <c r="D45" s="207" t="s">
        <v>63</v>
      </c>
      <c r="E45" s="113">
        <f>Assumptions!G95</f>
        <v>0</v>
      </c>
      <c r="G45" s="209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5</v>
      </c>
      <c r="D46" s="207" t="s">
        <v>63</v>
      </c>
      <c r="E46" s="112">
        <f>Assumptions!G96</f>
        <v>4220.9953699573898</v>
      </c>
      <c r="G46" s="209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15</v>
      </c>
      <c r="D47" s="207" t="s">
        <v>126</v>
      </c>
      <c r="E47" s="112">
        <f>Assumptions!G97</f>
        <v>0</v>
      </c>
      <c r="G47" s="209" t="s">
        <v>203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201</v>
      </c>
      <c r="D48" s="207" t="s">
        <v>204</v>
      </c>
      <c r="E48" s="112">
        <f>Assumptions!G98</f>
        <v>0.54769380678923496</v>
      </c>
      <c r="G48" s="209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7" t="s">
        <v>204</v>
      </c>
      <c r="E49" s="112">
        <f>Assumptions!G99</f>
        <v>0.54769380678923496</v>
      </c>
      <c r="G49" s="209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6</v>
      </c>
      <c r="D50" s="207" t="s">
        <v>126</v>
      </c>
      <c r="E50" s="112">
        <f>Assumptions!G100</f>
        <v>0</v>
      </c>
      <c r="G50" s="209" t="s">
        <v>203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7</v>
      </c>
      <c r="D51" s="207" t="s">
        <v>126</v>
      </c>
      <c r="E51" s="112">
        <f>Assumptions!G101</f>
        <v>0</v>
      </c>
      <c r="G51" s="209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7"/>
      <c r="G52" s="20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43" x14ac:dyDescent="0.2">
      <c r="C53" s="1" t="s">
        <v>117</v>
      </c>
      <c r="D53" s="207"/>
      <c r="G53" s="209">
        <f>input_dollars</f>
        <v>45291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C54" s="1" t="s">
        <v>118</v>
      </c>
      <c r="D54" s="207"/>
      <c r="G54" s="209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D55" s="207"/>
      <c r="G55" s="207"/>
    </row>
    <row r="56" spans="1:43" x14ac:dyDescent="0.2">
      <c r="C56" s="3" t="s">
        <v>125</v>
      </c>
      <c r="D56" s="220"/>
      <c r="E56" s="107"/>
      <c r="F56" s="3"/>
      <c r="G56" s="209">
        <f>input_dollars</f>
        <v>45291</v>
      </c>
      <c r="H56" s="107"/>
      <c r="I56" s="172" cm="1">
        <f t="array" ref="I56">SUMPRODUCT((I$44:I$51)*($E$44:$E$51))+SUM(I53:I54)+I41</f>
        <v>0</v>
      </c>
      <c r="J56" s="172" cm="1">
        <f t="array" ref="J56">SUMPRODUCT((J$44:J$51)*($E$44:$E$51))+SUM(J53:J54)+J41</f>
        <v>0</v>
      </c>
      <c r="K56" s="172" cm="1">
        <f t="array" ref="K56">SUMPRODUCT((K$44:K$51)*($E$44:$E$51))+SUM(K53:K54)+K41</f>
        <v>0</v>
      </c>
      <c r="L56" s="172" cm="1">
        <f t="array" ref="L56">SUMPRODUCT((L$44:L$51)*($E$44:$E$51))+SUM(L53:L54)+L41</f>
        <v>0</v>
      </c>
      <c r="M56" s="172" cm="1">
        <f t="array" ref="M56">SUMPRODUCT((M$44:M$51)*($E$44:$E$51))+SUM(M53:M54)+M41</f>
        <v>0</v>
      </c>
      <c r="N56" s="172" cm="1">
        <f t="array" ref="N56">SUMPRODUCT((N$44:N$51)*($E$44:$E$51))+SUM(N53:N54)+N41</f>
        <v>0</v>
      </c>
      <c r="O56" s="172" cm="1">
        <f t="array" ref="O56">SUMPRODUCT((O$44:O$51)*($E$44:$E$51))+SUM(O53:O54)+O41</f>
        <v>0</v>
      </c>
      <c r="P56" s="172" cm="1">
        <f t="array" ref="P56">SUMPRODUCT((P$44:P$51)*($E$44:$E$51))+SUM(P53:P54)+P41</f>
        <v>0</v>
      </c>
      <c r="Q56" s="172" cm="1">
        <f t="array" ref="Q56">SUMPRODUCT((Q$44:Q$51)*($E$44:$E$51))+SUM(Q53:Q54)+Q41</f>
        <v>0</v>
      </c>
      <c r="R56" s="172" cm="1">
        <f t="array" ref="R56">SUMPRODUCT((R$44:R$51)*($E$44:$E$51))+SUM(R53:R54)+R41</f>
        <v>0</v>
      </c>
      <c r="S56" s="172" cm="1">
        <f t="array" ref="S56">SUMPRODUCT((S$44:S$51)*($E$44:$E$51))+SUM(S53:S54)+S41</f>
        <v>0</v>
      </c>
      <c r="T56" s="172" cm="1">
        <f t="array" ref="T56">SUMPRODUCT((T$44:T$51)*($E$44:$E$51))+SUM(T53:T54)+T41</f>
        <v>0</v>
      </c>
      <c r="U56" s="172" cm="1">
        <f t="array" ref="U56">SUMPRODUCT((U$44:U$51)*($E$44:$E$51))+SUM(U53:U54)+U41</f>
        <v>0</v>
      </c>
      <c r="V56" s="172" cm="1">
        <f t="array" ref="V56">SUMPRODUCT((V$44:V$51)*($E$44:$E$51))+SUM(V53:V54)+V41</f>
        <v>0</v>
      </c>
      <c r="W56" s="172" cm="1">
        <f t="array" ref="W56">SUMPRODUCT((W$44:W$51)*($E$44:$E$51))+SUM(W53:W54)+W41</f>
        <v>0</v>
      </c>
      <c r="X56" s="172" cm="1">
        <f t="array" ref="X56">SUMPRODUCT((X$44:X$51)*($E$44:$E$51))+SUM(X53:X54)+X41</f>
        <v>0</v>
      </c>
      <c r="Y56" s="172" cm="1">
        <f t="array" ref="Y56">SUMPRODUCT((Y$44:Y$51)*($E$44:$E$51))+SUM(Y53:Y54)+Y41</f>
        <v>0</v>
      </c>
      <c r="Z56" s="172" cm="1">
        <f t="array" ref="Z56">SUMPRODUCT((Z$44:Z$51)*($E$44:$E$51))+SUM(Z53:Z54)+Z41</f>
        <v>0</v>
      </c>
      <c r="AA56" s="172" cm="1">
        <f t="array" ref="AA56">SUMPRODUCT((AA$44:AA$51)*($E$44:$E$51))+SUM(AA53:AA54)+AA41</f>
        <v>0</v>
      </c>
      <c r="AB56" s="172" cm="1">
        <f t="array" ref="AB56">SUMPRODUCT((AB$44:AB$51)*($E$44:$E$51))+SUM(AB53:AB54)+AB41</f>
        <v>0</v>
      </c>
      <c r="AC56" s="172" cm="1">
        <f t="array" ref="AC56">SUMPRODUCT((AC$44:AC$51)*($E$44:$E$51))+SUM(AC53:AC54)+AC41</f>
        <v>0</v>
      </c>
      <c r="AD56" s="172" cm="1">
        <f t="array" ref="AD56">SUMPRODUCT((AD$44:AD$51)*($E$44:$E$51))+SUM(AD53:AD54)+AD41</f>
        <v>0</v>
      </c>
      <c r="AE56" s="172" cm="1">
        <f t="array" ref="AE56">SUMPRODUCT((AE$44:AE$51)*($E$44:$E$51))+SUM(AE53:AE54)+AE41</f>
        <v>0</v>
      </c>
      <c r="AF56" s="172" cm="1">
        <f t="array" ref="AF56">SUMPRODUCT((AF$44:AF$51)*($E$44:$E$51))+SUM(AF53:AF54)+AF41</f>
        <v>0</v>
      </c>
      <c r="AG56" s="172" cm="1">
        <f t="array" ref="AG56">SUMPRODUCT((AG$44:AG$51)*($E$44:$E$51))+SUM(AG53:AG54)+AG41</f>
        <v>0</v>
      </c>
    </row>
    <row r="57" spans="1:43" x14ac:dyDescent="0.2">
      <c r="D57" s="207"/>
      <c r="G57" s="207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3" x14ac:dyDescent="0.2">
      <c r="G58" s="207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ht="15" x14ac:dyDescent="0.2">
      <c r="A59" s="89" t="s">
        <v>16</v>
      </c>
      <c r="B59" s="89"/>
      <c r="C59" s="89"/>
      <c r="D59" s="89"/>
      <c r="E59" s="89"/>
      <c r="F59" s="89"/>
      <c r="G59" s="206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/>
      <c r="AI59"/>
      <c r="AJ59"/>
      <c r="AK59"/>
      <c r="AL59"/>
      <c r="AM59"/>
      <c r="AN59"/>
      <c r="AO59"/>
      <c r="AP59"/>
      <c r="AQ59"/>
    </row>
    <row r="60" spans="1:43" ht="15" x14ac:dyDescent="0.2">
      <c r="A60" s="111"/>
      <c r="B60" s="111"/>
      <c r="C60" s="111"/>
      <c r="D60" s="111"/>
      <c r="E60" s="111"/>
      <c r="F60" s="111"/>
      <c r="G60" s="2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/>
      <c r="AI60"/>
      <c r="AJ60"/>
      <c r="AK60"/>
      <c r="AL60"/>
      <c r="AM60"/>
      <c r="AN60"/>
      <c r="AO60"/>
      <c r="AP60"/>
      <c r="AQ60"/>
    </row>
    <row r="61" spans="1:43" ht="12.75" customHeight="1" x14ac:dyDescent="0.2">
      <c r="A61" s="111"/>
      <c r="B61" s="111"/>
      <c r="C61" s="111"/>
      <c r="D61" s="111"/>
      <c r="E61" s="111"/>
      <c r="F61"/>
      <c r="G61" s="2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3" x14ac:dyDescent="0.2">
      <c r="F62" s="2"/>
      <c r="G62" s="214"/>
    </row>
    <row r="63" spans="1:43" x14ac:dyDescent="0.2">
      <c r="C63" s="4" t="str">
        <f>'Option1 (base case)'!C63</f>
        <v>Risks mitigated vs base case</v>
      </c>
      <c r="G63" s="212">
        <f>input_dollars</f>
        <v>45291</v>
      </c>
      <c r="I63" s="135">
        <f>(1-INDEX(Data!$C$9:$C$13, MATCH($A$3, options,0)))*('Option1 (base case)'!I35-I35)</f>
        <v>700083.94474041834</v>
      </c>
      <c r="J63" s="135">
        <f>(1-INDEX(Data!$C$9:$C$13, MATCH($A$3, options,0)))*('Option1 (base case)'!J35-J35)</f>
        <v>700083.94474041834</v>
      </c>
      <c r="K63" s="135">
        <f>(1-INDEX(Data!$C$9:$C$13, MATCH($A$3, options,0)))*('Option1 (base case)'!K35-K35)</f>
        <v>700083.94474041834</v>
      </c>
      <c r="L63" s="135">
        <f>(1-INDEX(Data!$C$9:$C$13, MATCH($A$3, options,0)))*('Option1 (base case)'!L35-L35)</f>
        <v>1050125.917110628</v>
      </c>
      <c r="M63" s="135">
        <f>(1-INDEX(Data!$C$9:$C$13, MATCH($A$3, options,0)))*('Option1 (base case)'!M35-M35)</f>
        <v>1050125.917110628</v>
      </c>
      <c r="N63" s="135">
        <f>(1-INDEX(Data!$C$9:$C$13, MATCH($A$3, options,0)))*('Option1 (base case)'!N35-N35)</f>
        <v>1050125.9171106277</v>
      </c>
      <c r="O63" s="135">
        <f>(1-INDEX(Data!$C$9:$C$13, MATCH($A$3, options,0)))*('Option1 (base case)'!O35-O35)</f>
        <v>1050125.9171106277</v>
      </c>
      <c r="P63" s="135">
        <f>(1-INDEX(Data!$C$9:$C$13, MATCH($A$3, options,0)))*('Option1 (base case)'!P35-P35)</f>
        <v>1050125.9171106277</v>
      </c>
      <c r="Q63" s="135">
        <f>(1-INDEX(Data!$C$9:$C$13, MATCH($A$3, options,0)))*('Option1 (base case)'!Q35-Q35)</f>
        <v>1400167.8894808369</v>
      </c>
      <c r="R63" s="135">
        <f>(1-INDEX(Data!$C$9:$C$13, MATCH($A$3, options,0)))*('Option1 (base case)'!R35-R35)</f>
        <v>1400167.8894808369</v>
      </c>
      <c r="S63" s="135">
        <f>(1-INDEX(Data!$C$9:$C$13, MATCH($A$3, options,0)))*('Option1 (base case)'!S35-S35)</f>
        <v>1400167.8894808369</v>
      </c>
      <c r="T63" s="135">
        <f>(1-INDEX(Data!$C$9:$C$13, MATCH($A$3, options,0)))*('Option1 (base case)'!T35-T35)</f>
        <v>1400167.8894808369</v>
      </c>
      <c r="U63" s="135">
        <f>(1-INDEX(Data!$C$9:$C$13, MATCH($A$3, options,0)))*('Option1 (base case)'!U35-U35)</f>
        <v>1400167.8894808369</v>
      </c>
      <c r="V63" s="135">
        <f>(1-INDEX(Data!$C$9:$C$13, MATCH($A$3, options,0)))*('Option1 (base case)'!V35-V35)</f>
        <v>1050125.917110628</v>
      </c>
      <c r="W63" s="135">
        <f>(1-INDEX(Data!$C$9:$C$13, MATCH($A$3, options,0)))*('Option1 (base case)'!W35-W35)</f>
        <v>1050125.917110628</v>
      </c>
      <c r="X63" s="135">
        <f>(1-INDEX(Data!$C$9:$C$13, MATCH($A$3, options,0)))*('Option1 (base case)'!X35-X35)</f>
        <v>1050125.917110628</v>
      </c>
      <c r="Y63" s="135">
        <f>(1-INDEX(Data!$C$9:$C$13, MATCH($A$3, options,0)))*('Option1 (base case)'!Y35-Y35)</f>
        <v>1050125.917110628</v>
      </c>
      <c r="Z63" s="135">
        <f>(1-INDEX(Data!$C$9:$C$13, MATCH($A$3, options,0)))*('Option1 (base case)'!Z35-Z35)</f>
        <v>1050125.917110628</v>
      </c>
      <c r="AA63" s="135">
        <f>(1-INDEX(Data!$C$9:$C$13, MATCH($A$3, options,0)))*('Option1 (base case)'!AA35-AA35)</f>
        <v>1050125.917110628</v>
      </c>
      <c r="AB63" s="135">
        <f>(1-INDEX(Data!$C$9:$C$13, MATCH($A$3, options,0)))*('Option1 (base case)'!AB35-AB35)</f>
        <v>1050125.917110628</v>
      </c>
      <c r="AC63" s="135">
        <f>(1-INDEX(Data!$C$9:$C$13, MATCH($A$3, options,0)))*('Option1 (base case)'!AC35-AC35)</f>
        <v>1050125.917110628</v>
      </c>
      <c r="AD63" s="135">
        <f>(1-INDEX(Data!$C$9:$C$13, MATCH($A$3, options,0)))*('Option1 (base case)'!AD35-AD35)</f>
        <v>1050125.917110628</v>
      </c>
      <c r="AE63" s="135">
        <f>(1-INDEX(Data!$C$9:$C$13, MATCH($A$3, options,0)))*('Option1 (base case)'!AE35-AE35)</f>
        <v>1050125.917110628</v>
      </c>
      <c r="AF63" s="135">
        <f>(1-INDEX(Data!$C$9:$C$13, MATCH($A$3, options,0)))*('Option1 (base case)'!AF35-AF35)</f>
        <v>1050125.917110628</v>
      </c>
      <c r="AG63" s="135">
        <f>(1-INDEX(Data!$C$9:$C$13, MATCH($A$3, options,0)))*('Option1 (base case)'!AG35-AG35)</f>
        <v>700083.94474041846</v>
      </c>
    </row>
    <row r="64" spans="1:43" x14ac:dyDescent="0.2">
      <c r="G64" s="214"/>
    </row>
    <row r="65" spans="1:33" x14ac:dyDescent="0.2">
      <c r="A65" s="8"/>
      <c r="B65" s="8"/>
      <c r="C65" s="150" t="s">
        <v>30</v>
      </c>
      <c r="D65" s="38"/>
      <c r="F65" s="97"/>
      <c r="G65" s="21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2">
      <c r="A66" s="8"/>
      <c r="B66" s="8"/>
      <c r="C66" s="4" t="str">
        <f>C14</f>
        <v>Replace Cable Boxes under program</v>
      </c>
      <c r="D66" s="38"/>
      <c r="F66" s="97"/>
      <c r="G66" s="212">
        <f>input_dollars</f>
        <v>45291</v>
      </c>
      <c r="H66" s="31"/>
      <c r="I66" s="119">
        <f t="shared" ref="I66:AG66" si="4">-I14</f>
        <v>-1700000</v>
      </c>
      <c r="J66" s="119">
        <f t="shared" si="4"/>
        <v>-1700000</v>
      </c>
      <c r="K66" s="119">
        <f t="shared" si="4"/>
        <v>-1700000</v>
      </c>
      <c r="L66" s="119">
        <f t="shared" si="4"/>
        <v>-1700000</v>
      </c>
      <c r="M66" s="119">
        <f t="shared" si="4"/>
        <v>-1700000</v>
      </c>
      <c r="N66" s="119">
        <f t="shared" si="4"/>
        <v>-1700000</v>
      </c>
      <c r="O66" s="119">
        <f t="shared" si="4"/>
        <v>-1700000</v>
      </c>
      <c r="P66" s="119">
        <f t="shared" si="4"/>
        <v>-1700000</v>
      </c>
      <c r="Q66" s="119">
        <f t="shared" si="4"/>
        <v>-1700000</v>
      </c>
      <c r="R66" s="119">
        <f t="shared" si="4"/>
        <v>-198000</v>
      </c>
      <c r="S66" s="119">
        <f t="shared" si="4"/>
        <v>0</v>
      </c>
      <c r="T66" s="119">
        <f t="shared" si="4"/>
        <v>0</v>
      </c>
      <c r="U66" s="119">
        <f t="shared" si="4"/>
        <v>0</v>
      </c>
      <c r="V66" s="119">
        <f t="shared" si="4"/>
        <v>0</v>
      </c>
      <c r="W66" s="119">
        <f t="shared" si="4"/>
        <v>0</v>
      </c>
      <c r="X66" s="119">
        <f t="shared" si="4"/>
        <v>0</v>
      </c>
      <c r="Y66" s="119">
        <f t="shared" si="4"/>
        <v>0</v>
      </c>
      <c r="Z66" s="119">
        <f t="shared" si="4"/>
        <v>0</v>
      </c>
      <c r="AA66" s="119">
        <f t="shared" si="4"/>
        <v>0</v>
      </c>
      <c r="AB66" s="119">
        <f t="shared" si="4"/>
        <v>0</v>
      </c>
      <c r="AC66" s="119">
        <f t="shared" si="4"/>
        <v>0</v>
      </c>
      <c r="AD66" s="119">
        <f t="shared" si="4"/>
        <v>0</v>
      </c>
      <c r="AE66" s="119">
        <f t="shared" si="4"/>
        <v>0</v>
      </c>
      <c r="AF66" s="119">
        <f t="shared" si="4"/>
        <v>0</v>
      </c>
      <c r="AG66" s="119">
        <f t="shared" si="4"/>
        <v>0</v>
      </c>
    </row>
    <row r="67" spans="1:33" x14ac:dyDescent="0.2">
      <c r="A67" s="8"/>
      <c r="B67" s="8"/>
      <c r="C67" s="4" t="str">
        <f>C15</f>
        <v>Replace Failed Cable Boxes under Faults Capex</v>
      </c>
      <c r="D67" s="38"/>
      <c r="F67" s="97"/>
      <c r="G67" s="212">
        <f>input_dollars</f>
        <v>45291</v>
      </c>
      <c r="H67" s="31"/>
      <c r="I67" s="119">
        <f t="shared" ref="I67:AG67" si="5">-I15</f>
        <v>-165000</v>
      </c>
      <c r="J67" s="119">
        <f t="shared" si="5"/>
        <v>-165000</v>
      </c>
      <c r="K67" s="119">
        <f t="shared" si="5"/>
        <v>-165000</v>
      </c>
      <c r="L67" s="119">
        <f t="shared" si="5"/>
        <v>-110000</v>
      </c>
      <c r="M67" s="119">
        <f t="shared" si="5"/>
        <v>-110000</v>
      </c>
      <c r="N67" s="119">
        <f t="shared" si="5"/>
        <v>-55000</v>
      </c>
      <c r="O67" s="119">
        <f t="shared" si="5"/>
        <v>-55000</v>
      </c>
      <c r="P67" s="119">
        <f t="shared" si="5"/>
        <v>-55000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C16</f>
        <v>0</v>
      </c>
      <c r="D68" s="38"/>
      <c r="F68" s="97"/>
      <c r="G68" s="212">
        <f>input_dollars</f>
        <v>45291</v>
      </c>
      <c r="H68" s="31"/>
      <c r="I68" s="119">
        <f t="shared" ref="I68:AG68" si="6">-I16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/>
      <c r="D69" s="38"/>
      <c r="F69" s="97"/>
      <c r="G69" s="216"/>
      <c r="H69" s="31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x14ac:dyDescent="0.2">
      <c r="A70" s="8"/>
      <c r="B70" s="8"/>
      <c r="C70" s="150" t="s">
        <v>155</v>
      </c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4" t="str">
        <f>C14</f>
        <v>Replace Cable Boxes under program</v>
      </c>
      <c r="D71" s="38"/>
      <c r="F71" s="97"/>
      <c r="G71" s="212">
        <f>input_dollars</f>
        <v>45291</v>
      </c>
      <c r="H71" s="31"/>
      <c r="I71" s="119" cm="1">
        <f t="array" ref="I71">SUMPRODUCT(($I66:I66))-SUMPRODUCT(($I66:I66)*($I$6:I$6&lt;=(I$6-$E14)))</f>
        <v>-1700000</v>
      </c>
      <c r="J71" s="119" cm="1">
        <f t="array" ref="J71">SUMPRODUCT(($I66:J66))-SUMPRODUCT(($I66:J66)*($I$6:J$6&lt;=(J$6-$E14)))</f>
        <v>-3400000</v>
      </c>
      <c r="K71" s="119" cm="1">
        <f t="array" ref="K71">SUMPRODUCT(($I66:K66))-SUMPRODUCT(($I66:K66)*($I$6:K$6&lt;=(K$6-$E14)))</f>
        <v>-5100000</v>
      </c>
      <c r="L71" s="119" cm="1">
        <f t="array" ref="L71">SUMPRODUCT(($I66:L66))-SUMPRODUCT(($I66:L66)*($I$6:L$6&lt;=(L$6-$E14)))</f>
        <v>-6800000</v>
      </c>
      <c r="M71" s="119" cm="1">
        <f t="array" ref="M71">SUMPRODUCT(($I66:M66))-SUMPRODUCT(($I66:M66)*($I$6:M$6&lt;=(M$6-$E14)))</f>
        <v>-8500000</v>
      </c>
      <c r="N71" s="119" cm="1">
        <f t="array" ref="N71">SUMPRODUCT(($I66:N66))-SUMPRODUCT(($I66:N66)*($I$6:N$6&lt;=(N$6-$E14)))</f>
        <v>-10200000</v>
      </c>
      <c r="O71" s="119" cm="1">
        <f t="array" ref="O71">SUMPRODUCT(($I66:O66))-SUMPRODUCT(($I66:O66)*($I$6:O$6&lt;=(O$6-$E14)))</f>
        <v>-11900000</v>
      </c>
      <c r="P71" s="119" cm="1">
        <f t="array" ref="P71">SUMPRODUCT(($I66:P66))-SUMPRODUCT(($I66:P66)*($I$6:P$6&lt;=(P$6-$E14)))</f>
        <v>-13600000</v>
      </c>
      <c r="Q71" s="119" cm="1">
        <f t="array" ref="Q71">SUMPRODUCT(($I66:Q66))-SUMPRODUCT(($I66:Q66)*($I$6:Q$6&lt;=(Q$6-$E14)))</f>
        <v>-15300000</v>
      </c>
      <c r="R71" s="119" cm="1">
        <f t="array" ref="R71">SUMPRODUCT(($I66:R66))-SUMPRODUCT(($I66:R66)*($I$6:R$6&lt;=(R$6-$E14)))</f>
        <v>-15498000</v>
      </c>
      <c r="S71" s="119" cm="1">
        <f t="array" ref="S71">SUMPRODUCT(($I66:S66))-SUMPRODUCT(($I66:S66)*($I$6:S$6&lt;=(S$6-$E14)))</f>
        <v>-15498000</v>
      </c>
      <c r="T71" s="119" cm="1">
        <f t="array" ref="T71">SUMPRODUCT(($I66:T66))-SUMPRODUCT(($I66:T66)*($I$6:T$6&lt;=(T$6-$E14)))</f>
        <v>-15498000</v>
      </c>
      <c r="U71" s="119" cm="1">
        <f t="array" ref="U71">SUMPRODUCT(($I66:U66))-SUMPRODUCT(($I66:U66)*($I$6:U$6&lt;=(U$6-$E14)))</f>
        <v>-15498000</v>
      </c>
      <c r="V71" s="119" cm="1">
        <f t="array" ref="V71">SUMPRODUCT(($I66:V66))-SUMPRODUCT(($I66:V66)*($I$6:V$6&lt;=(V$6-$E14)))</f>
        <v>-15498000</v>
      </c>
      <c r="W71" s="119" cm="1">
        <f t="array" ref="W71">SUMPRODUCT(($I66:W66))-SUMPRODUCT(($I66:W66)*($I$6:W$6&lt;=(W$6-$E14)))</f>
        <v>-15498000</v>
      </c>
      <c r="X71" s="119" cm="1">
        <f t="array" ref="X71">SUMPRODUCT(($I66:X66))-SUMPRODUCT(($I66:X66)*($I$6:X$6&lt;=(X$6-$E14)))</f>
        <v>-15498000</v>
      </c>
      <c r="Y71" s="119" cm="1">
        <f t="array" ref="Y71">SUMPRODUCT(($I66:Y66))-SUMPRODUCT(($I66:Y66)*($I$6:Y$6&lt;=(Y$6-$E14)))</f>
        <v>-15498000</v>
      </c>
      <c r="Z71" s="119" cm="1">
        <f t="array" ref="Z71">SUMPRODUCT(($I66:Z66))-SUMPRODUCT(($I66:Z66)*($I$6:Z$6&lt;=(Z$6-$E14)))</f>
        <v>-15498000</v>
      </c>
      <c r="AA71" s="119" cm="1">
        <f t="array" ref="AA71">SUMPRODUCT(($I66:AA66))-SUMPRODUCT(($I66:AA66)*($I$6:AA$6&lt;=(AA$6-$E14)))</f>
        <v>-15498000</v>
      </c>
      <c r="AB71" s="119" cm="1">
        <f t="array" ref="AB71">SUMPRODUCT(($I66:AB66))-SUMPRODUCT(($I66:AB66)*($I$6:AB$6&lt;=(AB$6-$E14)))</f>
        <v>-15498000</v>
      </c>
      <c r="AC71" s="119" cm="1">
        <f t="array" ref="AC71">SUMPRODUCT(($I66:AC66))-SUMPRODUCT(($I66:AC66)*($I$6:AC$6&lt;=(AC$6-$E14)))</f>
        <v>-15498000</v>
      </c>
      <c r="AD71" s="119" cm="1">
        <f t="array" ref="AD71">SUMPRODUCT(($I66:AD66))-SUMPRODUCT(($I66:AD66)*($I$6:AD$6&lt;=(AD$6-$E14)))</f>
        <v>-15498000</v>
      </c>
      <c r="AE71" s="119" cm="1">
        <f t="array" ref="AE71">SUMPRODUCT(($I66:AE66))-SUMPRODUCT(($I66:AE66)*($I$6:AE$6&lt;=(AE$6-$E14)))</f>
        <v>-15498000</v>
      </c>
      <c r="AF71" s="119" cm="1">
        <f t="array" ref="AF71">SUMPRODUCT(($I66:AF66))-SUMPRODUCT(($I66:AF66)*($I$6:AF$6&lt;=(AF$6-$E14)))</f>
        <v>-15498000</v>
      </c>
      <c r="AG71" s="119" cm="1">
        <f t="array" ref="AG71">SUMPRODUCT(($I66:AG66))-SUMPRODUCT(($I66:AG66)*($I$6:AG$6&lt;=(AG$6-$E14)))</f>
        <v>-15498000</v>
      </c>
    </row>
    <row r="72" spans="1:33" x14ac:dyDescent="0.2">
      <c r="A72" s="8"/>
      <c r="B72" s="8"/>
      <c r="C72" s="4" t="str">
        <f>C15</f>
        <v>Replace Failed Cable Boxes under Faults Capex</v>
      </c>
      <c r="D72" s="38"/>
      <c r="F72" s="97"/>
      <c r="G72" s="212">
        <f>input_dollars</f>
        <v>45291</v>
      </c>
      <c r="H72" s="31"/>
      <c r="I72" s="119" cm="1">
        <f t="array" ref="I72">SUMPRODUCT(($I67:I67))-SUMPRODUCT(($I67:I67)*($I$6:I$6&lt;=(I$6-$E15)))</f>
        <v>-165000</v>
      </c>
      <c r="J72" s="119" cm="1">
        <f t="array" ref="J72">SUMPRODUCT(($I67:J67))-SUMPRODUCT(($I67:J67)*($I$6:J$6&lt;=(J$6-$E15)))</f>
        <v>-330000</v>
      </c>
      <c r="K72" s="119" cm="1">
        <f t="array" ref="K72">SUMPRODUCT(($I67:K67))-SUMPRODUCT(($I67:K67)*($I$6:K$6&lt;=(K$6-$E15)))</f>
        <v>-495000</v>
      </c>
      <c r="L72" s="119" cm="1">
        <f t="array" ref="L72">SUMPRODUCT(($I67:L67))-SUMPRODUCT(($I67:L67)*($I$6:L$6&lt;=(L$6-$E15)))</f>
        <v>-605000</v>
      </c>
      <c r="M72" s="119" cm="1">
        <f t="array" ref="M72">SUMPRODUCT(($I67:M67))-SUMPRODUCT(($I67:M67)*($I$6:M$6&lt;=(M$6-$E15)))</f>
        <v>-715000</v>
      </c>
      <c r="N72" s="119" cm="1">
        <f t="array" ref="N72">SUMPRODUCT(($I67:N67))-SUMPRODUCT(($I67:N67)*($I$6:N$6&lt;=(N$6-$E15)))</f>
        <v>-770000</v>
      </c>
      <c r="O72" s="119" cm="1">
        <f t="array" ref="O72">SUMPRODUCT(($I67:O67))-SUMPRODUCT(($I67:O67)*($I$6:O$6&lt;=(O$6-$E15)))</f>
        <v>-825000</v>
      </c>
      <c r="P72" s="119" cm="1">
        <f t="array" ref="P72">SUMPRODUCT(($I67:P67))-SUMPRODUCT(($I67:P67)*($I$6:P$6&lt;=(P$6-$E15)))</f>
        <v>-880000</v>
      </c>
      <c r="Q72" s="119" cm="1">
        <f t="array" ref="Q72">SUMPRODUCT(($I67:Q67))-SUMPRODUCT(($I67:Q67)*($I$6:Q$6&lt;=(Q$6-$E15)))</f>
        <v>-880000</v>
      </c>
      <c r="R72" s="119" cm="1">
        <f t="array" ref="R72">SUMPRODUCT(($I67:R67))-SUMPRODUCT(($I67:R67)*($I$6:R$6&lt;=(R$6-$E15)))</f>
        <v>-880000</v>
      </c>
      <c r="S72" s="119" cm="1">
        <f t="array" ref="S72">SUMPRODUCT(($I67:S67))-SUMPRODUCT(($I67:S67)*($I$6:S$6&lt;=(S$6-$E15)))</f>
        <v>-880000</v>
      </c>
      <c r="T72" s="119" cm="1">
        <f t="array" ref="T72">SUMPRODUCT(($I67:T67))-SUMPRODUCT(($I67:T67)*($I$6:T$6&lt;=(T$6-$E15)))</f>
        <v>-880000</v>
      </c>
      <c r="U72" s="119" cm="1">
        <f t="array" ref="U72">SUMPRODUCT(($I67:U67))-SUMPRODUCT(($I67:U67)*($I$6:U$6&lt;=(U$6-$E15)))</f>
        <v>-880000</v>
      </c>
      <c r="V72" s="119" cm="1">
        <f t="array" ref="V72">SUMPRODUCT(($I67:V67))-SUMPRODUCT(($I67:V67)*($I$6:V$6&lt;=(V$6-$E15)))</f>
        <v>-880000</v>
      </c>
      <c r="W72" s="119" cm="1">
        <f t="array" ref="W72">SUMPRODUCT(($I67:W67))-SUMPRODUCT(($I67:W67)*($I$6:W$6&lt;=(W$6-$E15)))</f>
        <v>-880000</v>
      </c>
      <c r="X72" s="119" cm="1">
        <f t="array" ref="X72">SUMPRODUCT(($I67:X67))-SUMPRODUCT(($I67:X67)*($I$6:X$6&lt;=(X$6-$E15)))</f>
        <v>-880000</v>
      </c>
      <c r="Y72" s="119" cm="1">
        <f t="array" ref="Y72">SUMPRODUCT(($I67:Y67))-SUMPRODUCT(($I67:Y67)*($I$6:Y$6&lt;=(Y$6-$E15)))</f>
        <v>-880000</v>
      </c>
      <c r="Z72" s="119" cm="1">
        <f t="array" ref="Z72">SUMPRODUCT(($I67:Z67))-SUMPRODUCT(($I67:Z67)*($I$6:Z$6&lt;=(Z$6-$E15)))</f>
        <v>-880000</v>
      </c>
      <c r="AA72" s="119" cm="1">
        <f t="array" ref="AA72">SUMPRODUCT(($I67:AA67))-SUMPRODUCT(($I67:AA67)*($I$6:AA$6&lt;=(AA$6-$E15)))</f>
        <v>-880000</v>
      </c>
      <c r="AB72" s="119" cm="1">
        <f t="array" ref="AB72">SUMPRODUCT(($I67:AB67))-SUMPRODUCT(($I67:AB67)*($I$6:AB$6&lt;=(AB$6-$E15)))</f>
        <v>-880000</v>
      </c>
      <c r="AC72" s="119" cm="1">
        <f t="array" ref="AC72">SUMPRODUCT(($I67:AC67))-SUMPRODUCT(($I67:AC67)*($I$6:AC$6&lt;=(AC$6-$E15)))</f>
        <v>-880000</v>
      </c>
      <c r="AD72" s="119" cm="1">
        <f t="array" ref="AD72">SUMPRODUCT(($I67:AD67))-SUMPRODUCT(($I67:AD67)*($I$6:AD$6&lt;=(AD$6-$E15)))</f>
        <v>-880000</v>
      </c>
      <c r="AE72" s="119" cm="1">
        <f t="array" ref="AE72">SUMPRODUCT(($I67:AE67))-SUMPRODUCT(($I67:AE67)*($I$6:AE$6&lt;=(AE$6-$E15)))</f>
        <v>-880000</v>
      </c>
      <c r="AF72" s="119" cm="1">
        <f t="array" ref="AF72">SUMPRODUCT(($I67:AF67))-SUMPRODUCT(($I67:AF67)*($I$6:AF$6&lt;=(AF$6-$E15)))</f>
        <v>-880000</v>
      </c>
      <c r="AG72" s="119" cm="1">
        <f t="array" ref="AG72">SUMPRODUCT(($I67:AG67))-SUMPRODUCT(($I67:AG67)*($I$6:AG$6&lt;=(AG$6-$E15)))</f>
        <v>-880000</v>
      </c>
    </row>
    <row r="73" spans="1:33" x14ac:dyDescent="0.2">
      <c r="A73" s="8"/>
      <c r="B73" s="8"/>
      <c r="C73" s="4">
        <f>C16</f>
        <v>0</v>
      </c>
      <c r="D73" s="38"/>
      <c r="F73" s="97"/>
      <c r="G73" s="212">
        <f>input_dollars</f>
        <v>45291</v>
      </c>
      <c r="H73" s="31"/>
      <c r="I73" s="119" cm="1">
        <f t="array" ref="I73">SUMPRODUCT(($I68:I68))-SUMPRODUCT(($I68:I68)*($I$6:I$6&lt;=(I$6-$E16)))</f>
        <v>0</v>
      </c>
      <c r="J73" s="119" cm="1">
        <f t="array" ref="J73">SUMPRODUCT(($I68:J68))-SUMPRODUCT(($I68:J68)*($I$6:J$6&lt;=(J$6-$E16)))</f>
        <v>0</v>
      </c>
      <c r="K73" s="119" cm="1">
        <f t="array" ref="K73">SUMPRODUCT(($I68:K68))-SUMPRODUCT(($I68:K68)*($I$6:K$6&lt;=(K$6-$E16)))</f>
        <v>0</v>
      </c>
      <c r="L73" s="119" cm="1">
        <f t="array" ref="L73">SUMPRODUCT(($I68:L68))-SUMPRODUCT(($I68:L68)*($I$6:L$6&lt;=(L$6-$E16)))</f>
        <v>0</v>
      </c>
      <c r="M73" s="119" cm="1">
        <f t="array" ref="M73">SUMPRODUCT(($I68:M68))-SUMPRODUCT(($I68:M68)*($I$6:M$6&lt;=(M$6-$E16)))</f>
        <v>0</v>
      </c>
      <c r="N73" s="119" cm="1">
        <f t="array" ref="N73">SUMPRODUCT(($I68:N68))-SUMPRODUCT(($I68:N68)*($I$6:N$6&lt;=(N$6-$E16)))</f>
        <v>0</v>
      </c>
      <c r="O73" s="119" cm="1">
        <f t="array" ref="O73">SUMPRODUCT(($I68:O68))-SUMPRODUCT(($I68:O68)*($I$6:O$6&lt;=(O$6-$E16)))</f>
        <v>0</v>
      </c>
      <c r="P73" s="119" cm="1">
        <f t="array" ref="P73">SUMPRODUCT(($I68:P68))-SUMPRODUCT(($I68:P68)*($I$6:P$6&lt;=(P$6-$E16)))</f>
        <v>0</v>
      </c>
      <c r="Q73" s="119" cm="1">
        <f t="array" ref="Q73">SUMPRODUCT(($I68:Q68))-SUMPRODUCT(($I68:Q68)*($I$6:Q$6&lt;=(Q$6-$E16)))</f>
        <v>0</v>
      </c>
      <c r="R73" s="119" cm="1">
        <f t="array" ref="R73">SUMPRODUCT(($I68:R68))-SUMPRODUCT(($I68:R68)*($I$6:R$6&lt;=(R$6-$E16)))</f>
        <v>0</v>
      </c>
      <c r="S73" s="119" cm="1">
        <f t="array" ref="S73">SUMPRODUCT(($I68:S68))-SUMPRODUCT(($I68:S68)*($I$6:S$6&lt;=(S$6-$E16)))</f>
        <v>0</v>
      </c>
      <c r="T73" s="119" cm="1">
        <f t="array" ref="T73">SUMPRODUCT(($I68:T68))-SUMPRODUCT(($I68:T68)*($I$6:T$6&lt;=(T$6-$E16)))</f>
        <v>0</v>
      </c>
      <c r="U73" s="119" cm="1">
        <f t="array" ref="U73">SUMPRODUCT(($I68:U68))-SUMPRODUCT(($I68:U68)*($I$6:U$6&lt;=(U$6-$E16)))</f>
        <v>0</v>
      </c>
      <c r="V73" s="119" cm="1">
        <f t="array" ref="V73">SUMPRODUCT(($I68:V68))-SUMPRODUCT(($I68:V68)*($I$6:V$6&lt;=(V$6-$E16)))</f>
        <v>0</v>
      </c>
      <c r="W73" s="119" cm="1">
        <f t="array" ref="W73">SUMPRODUCT(($I68:W68))-SUMPRODUCT(($I68:W68)*($I$6:W$6&lt;=(W$6-$E16)))</f>
        <v>0</v>
      </c>
      <c r="X73" s="119" cm="1">
        <f t="array" ref="X73">SUMPRODUCT(($I68:X68))-SUMPRODUCT(($I68:X68)*($I$6:X$6&lt;=(X$6-$E16)))</f>
        <v>0</v>
      </c>
      <c r="Y73" s="119" cm="1">
        <f t="array" ref="Y73">SUMPRODUCT(($I68:Y68))-SUMPRODUCT(($I68:Y68)*($I$6:Y$6&lt;=(Y$6-$E16)))</f>
        <v>0</v>
      </c>
      <c r="Z73" s="119" cm="1">
        <f t="array" ref="Z73">SUMPRODUCT(($I68:Z68))-SUMPRODUCT(($I68:Z68)*($I$6:Z$6&lt;=(Z$6-$E16)))</f>
        <v>0</v>
      </c>
      <c r="AA73" s="119" cm="1">
        <f t="array" ref="AA73">SUMPRODUCT(($I68:AA68))-SUMPRODUCT(($I68:AA68)*($I$6:AA$6&lt;=(AA$6-$E16)))</f>
        <v>0</v>
      </c>
      <c r="AB73" s="119" cm="1">
        <f t="array" ref="AB73">SUMPRODUCT(($I68:AB68))-SUMPRODUCT(($I68:AB68)*($I$6:AB$6&lt;=(AB$6-$E16)))</f>
        <v>0</v>
      </c>
      <c r="AC73" s="119" cm="1">
        <f t="array" ref="AC73">SUMPRODUCT(($I68:AC68))-SUMPRODUCT(($I68:AC68)*($I$6:AC$6&lt;=(AC$6-$E16)))</f>
        <v>0</v>
      </c>
      <c r="AD73" s="119" cm="1">
        <f t="array" ref="AD73">SUMPRODUCT(($I68:AD68))-SUMPRODUCT(($I68:AD68)*($I$6:AD$6&lt;=(AD$6-$E16)))</f>
        <v>0</v>
      </c>
      <c r="AE73" s="119" cm="1">
        <f t="array" ref="AE73">SUMPRODUCT(($I68:AE68))-SUMPRODUCT(($I68:AE68)*($I$6:AE$6&lt;=(AE$6-$E16)))</f>
        <v>0</v>
      </c>
      <c r="AF73" s="119" cm="1">
        <f t="array" ref="AF73">SUMPRODUCT(($I68:AF68))-SUMPRODUCT(($I68:AF68)*($I$6:AF$6&lt;=(AF$6-$E16)))</f>
        <v>0</v>
      </c>
      <c r="AG73" s="119" cm="1">
        <f t="array" ref="AG73">SUMPRODUCT(($I68:AG68))-SUMPRODUCT(($I68:AG68)*($I$6:AG$6&lt;=(AG$6-$E16)))</f>
        <v>0</v>
      </c>
    </row>
    <row r="74" spans="1:33" x14ac:dyDescent="0.2">
      <c r="A74" s="8"/>
      <c r="B74" s="8"/>
      <c r="C74" s="4"/>
      <c r="D74" s="38"/>
      <c r="F74" s="97"/>
      <c r="G74" s="216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x14ac:dyDescent="0.2">
      <c r="A75" s="8"/>
      <c r="B75" s="8"/>
      <c r="C75" s="150" t="s">
        <v>91</v>
      </c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4" t="str">
        <f>$C$75&amp;" - "&amp;C14</f>
        <v>Annualised capex - Replace Cable Boxes under program</v>
      </c>
      <c r="D76" s="38"/>
      <c r="F76" s="97"/>
      <c r="G76" s="212">
        <f>input_dollars</f>
        <v>45291</v>
      </c>
      <c r="H76" s="31"/>
      <c r="I76" s="119">
        <f t="shared" ref="I76:AG76" si="7">IF($E14=0,0,-PMT(real_disc, $E14,H71,))</f>
        <v>0</v>
      </c>
      <c r="J76" s="119">
        <f t="shared" si="7"/>
        <v>-72477.30626313157</v>
      </c>
      <c r="K76" s="119">
        <f t="shared" si="7"/>
        <v>-144954.61252626314</v>
      </c>
      <c r="L76" s="119">
        <f t="shared" si="7"/>
        <v>-217431.91878939472</v>
      </c>
      <c r="M76" s="119">
        <f t="shared" si="7"/>
        <v>-289909.22505252628</v>
      </c>
      <c r="N76" s="119">
        <f t="shared" si="7"/>
        <v>-362386.53131565783</v>
      </c>
      <c r="O76" s="119">
        <f t="shared" si="7"/>
        <v>-434863.83757878945</v>
      </c>
      <c r="P76" s="119">
        <f t="shared" si="7"/>
        <v>-507341.143841921</v>
      </c>
      <c r="Q76" s="119">
        <f t="shared" si="7"/>
        <v>-579818.45010505256</v>
      </c>
      <c r="R76" s="119">
        <f t="shared" si="7"/>
        <v>-652295.75636818411</v>
      </c>
      <c r="S76" s="119">
        <f t="shared" si="7"/>
        <v>-660737.23086236056</v>
      </c>
      <c r="T76" s="119">
        <f t="shared" si="7"/>
        <v>-660737.23086236056</v>
      </c>
      <c r="U76" s="119">
        <f t="shared" si="7"/>
        <v>-660737.23086236056</v>
      </c>
      <c r="V76" s="119">
        <f t="shared" si="7"/>
        <v>-660737.23086236056</v>
      </c>
      <c r="W76" s="119">
        <f t="shared" si="7"/>
        <v>-660737.23086236056</v>
      </c>
      <c r="X76" s="119">
        <f t="shared" si="7"/>
        <v>-660737.23086236056</v>
      </c>
      <c r="Y76" s="119">
        <f t="shared" si="7"/>
        <v>-660737.23086236056</v>
      </c>
      <c r="Z76" s="119">
        <f t="shared" si="7"/>
        <v>-660737.23086236056</v>
      </c>
      <c r="AA76" s="119">
        <f t="shared" si="7"/>
        <v>-660737.23086236056</v>
      </c>
      <c r="AB76" s="119">
        <f t="shared" si="7"/>
        <v>-660737.23086236056</v>
      </c>
      <c r="AC76" s="119">
        <f t="shared" si="7"/>
        <v>-660737.23086236056</v>
      </c>
      <c r="AD76" s="119">
        <f t="shared" si="7"/>
        <v>-660737.23086236056</v>
      </c>
      <c r="AE76" s="119">
        <f t="shared" si="7"/>
        <v>-660737.23086236056</v>
      </c>
      <c r="AF76" s="119">
        <f t="shared" si="7"/>
        <v>-660737.23086236056</v>
      </c>
      <c r="AG76" s="119">
        <f t="shared" si="7"/>
        <v>-660737.23086236056</v>
      </c>
    </row>
    <row r="77" spans="1:33" x14ac:dyDescent="0.2">
      <c r="A77" s="8"/>
      <c r="B77" s="8"/>
      <c r="C77" s="4" t="str">
        <f>$C$75&amp;" - "&amp;C15</f>
        <v>Annualised capex - Replace Failed Cable Boxes under Faults Capex</v>
      </c>
      <c r="D77" s="38"/>
      <c r="F77" s="97"/>
      <c r="G77" s="212">
        <f>input_dollars</f>
        <v>45291</v>
      </c>
      <c r="H77" s="31"/>
      <c r="I77" s="119">
        <f t="shared" ref="I77:AG77" si="8">IF($E15=0,0,-PMT(real_disc, $E15,H72,))</f>
        <v>0</v>
      </c>
      <c r="J77" s="119">
        <f t="shared" si="8"/>
        <v>-7034.5620784804169</v>
      </c>
      <c r="K77" s="119">
        <f t="shared" si="8"/>
        <v>-14069.124156960834</v>
      </c>
      <c r="L77" s="119">
        <f t="shared" si="8"/>
        <v>-21103.686235441248</v>
      </c>
      <c r="M77" s="119">
        <f t="shared" si="8"/>
        <v>-25793.39428776153</v>
      </c>
      <c r="N77" s="119">
        <f t="shared" si="8"/>
        <v>-30483.102340081809</v>
      </c>
      <c r="O77" s="119">
        <f t="shared" si="8"/>
        <v>-32827.956366241946</v>
      </c>
      <c r="P77" s="119">
        <f t="shared" si="8"/>
        <v>-35172.810392402083</v>
      </c>
      <c r="Q77" s="119">
        <f t="shared" si="8"/>
        <v>-37517.664418562221</v>
      </c>
      <c r="R77" s="119">
        <f t="shared" si="8"/>
        <v>-37517.664418562221</v>
      </c>
      <c r="S77" s="119">
        <f t="shared" si="8"/>
        <v>-37517.664418562221</v>
      </c>
      <c r="T77" s="119">
        <f t="shared" si="8"/>
        <v>-37517.664418562221</v>
      </c>
      <c r="U77" s="119">
        <f t="shared" si="8"/>
        <v>-37517.664418562221</v>
      </c>
      <c r="V77" s="119">
        <f t="shared" si="8"/>
        <v>-37517.664418562221</v>
      </c>
      <c r="W77" s="119">
        <f t="shared" si="8"/>
        <v>-37517.664418562221</v>
      </c>
      <c r="X77" s="119">
        <f t="shared" si="8"/>
        <v>-37517.664418562221</v>
      </c>
      <c r="Y77" s="119">
        <f t="shared" si="8"/>
        <v>-37517.664418562221</v>
      </c>
      <c r="Z77" s="119">
        <f t="shared" si="8"/>
        <v>-37517.664418562221</v>
      </c>
      <c r="AA77" s="119">
        <f t="shared" si="8"/>
        <v>-37517.664418562221</v>
      </c>
      <c r="AB77" s="119">
        <f t="shared" si="8"/>
        <v>-37517.664418562221</v>
      </c>
      <c r="AC77" s="119">
        <f t="shared" si="8"/>
        <v>-37517.664418562221</v>
      </c>
      <c r="AD77" s="119">
        <f t="shared" si="8"/>
        <v>-37517.664418562221</v>
      </c>
      <c r="AE77" s="119">
        <f t="shared" si="8"/>
        <v>-37517.664418562221</v>
      </c>
      <c r="AF77" s="119">
        <f t="shared" si="8"/>
        <v>-37517.664418562221</v>
      </c>
      <c r="AG77" s="119">
        <f t="shared" si="8"/>
        <v>-37517.664418562221</v>
      </c>
    </row>
    <row r="78" spans="1:33" x14ac:dyDescent="0.2">
      <c r="A78" s="8"/>
      <c r="B78" s="8"/>
      <c r="C78" s="4" t="str">
        <f>$C$75&amp;" - "&amp;C16</f>
        <v xml:space="preserve">Annualised capex - </v>
      </c>
      <c r="D78" s="38"/>
      <c r="F78" s="97"/>
      <c r="G78" s="212">
        <f>input_dollars</f>
        <v>45291</v>
      </c>
      <c r="H78" s="31"/>
      <c r="I78" s="119">
        <f t="shared" ref="I78:AG78" si="9">IF($E16=0,0,-PMT(real_disc, $E16,H73,))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174" t="s">
        <v>156</v>
      </c>
      <c r="D79" s="174"/>
      <c r="E79" s="175"/>
      <c r="F79" s="176"/>
      <c r="G79" s="217">
        <f>input_dollars</f>
        <v>45291</v>
      </c>
      <c r="H79" s="177"/>
      <c r="I79" s="178">
        <f>SUM(I76:I78)</f>
        <v>0</v>
      </c>
      <c r="J79" s="178">
        <f t="shared" ref="J79:AB79" si="10">SUM(J76:J78)</f>
        <v>-79511.868341611989</v>
      </c>
      <c r="K79" s="178">
        <f t="shared" si="10"/>
        <v>-159023.73668322398</v>
      </c>
      <c r="L79" s="178">
        <f t="shared" si="10"/>
        <v>-238535.60502483597</v>
      </c>
      <c r="M79" s="178">
        <f t="shared" si="10"/>
        <v>-315702.61934028781</v>
      </c>
      <c r="N79" s="178">
        <f t="shared" si="10"/>
        <v>-392869.63365573966</v>
      </c>
      <c r="O79" s="178">
        <f t="shared" si="10"/>
        <v>-467691.79394503142</v>
      </c>
      <c r="P79" s="178">
        <f t="shared" si="10"/>
        <v>-542513.95423432312</v>
      </c>
      <c r="Q79" s="178">
        <f t="shared" si="10"/>
        <v>-617336.11452361476</v>
      </c>
      <c r="R79" s="178">
        <f t="shared" si="10"/>
        <v>-689813.42078674631</v>
      </c>
      <c r="S79" s="178">
        <f t="shared" si="10"/>
        <v>-698254.89528092276</v>
      </c>
      <c r="T79" s="178">
        <f t="shared" si="10"/>
        <v>-698254.89528092276</v>
      </c>
      <c r="U79" s="178">
        <f t="shared" si="10"/>
        <v>-698254.89528092276</v>
      </c>
      <c r="V79" s="178">
        <f t="shared" si="10"/>
        <v>-698254.89528092276</v>
      </c>
      <c r="W79" s="178">
        <f t="shared" si="10"/>
        <v>-698254.89528092276</v>
      </c>
      <c r="X79" s="178">
        <f t="shared" si="10"/>
        <v>-698254.89528092276</v>
      </c>
      <c r="Y79" s="178">
        <f t="shared" si="10"/>
        <v>-698254.89528092276</v>
      </c>
      <c r="Z79" s="178">
        <f t="shared" si="10"/>
        <v>-698254.89528092276</v>
      </c>
      <c r="AA79" s="178">
        <f t="shared" si="10"/>
        <v>-698254.89528092276</v>
      </c>
      <c r="AB79" s="178">
        <f t="shared" si="10"/>
        <v>-698254.89528092276</v>
      </c>
      <c r="AC79" s="178">
        <f>SUM(AC76:AC78)</f>
        <v>-698254.89528092276</v>
      </c>
      <c r="AD79" s="178">
        <f>SUM(AD76:AD78)</f>
        <v>-698254.89528092276</v>
      </c>
      <c r="AE79" s="178">
        <f>SUM(AE76:AE78)</f>
        <v>-698254.89528092276</v>
      </c>
      <c r="AF79" s="178">
        <f>SUM(AF76:AF78)</f>
        <v>-698254.89528092276</v>
      </c>
      <c r="AG79" s="178">
        <f>SUM(AG76:AG78)</f>
        <v>-698254.89528092276</v>
      </c>
    </row>
    <row r="80" spans="1:33" x14ac:dyDescent="0.2">
      <c r="A80" s="8"/>
      <c r="B80" s="8"/>
      <c r="C80" s="75"/>
      <c r="D80" s="38"/>
      <c r="F80"/>
      <c r="G80" s="21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">
      <c r="A81" s="8"/>
      <c r="B81" s="8"/>
      <c r="C81" s="4" t="s">
        <v>91</v>
      </c>
      <c r="D81" s="38"/>
      <c r="F81" s="97"/>
      <c r="G81" s="212">
        <f t="shared" ref="G81:G86" si="11">input_dollars</f>
        <v>45291</v>
      </c>
      <c r="H81" s="31"/>
      <c r="I81" s="119">
        <f>I79</f>
        <v>0</v>
      </c>
      <c r="J81" s="119">
        <f t="shared" ref="J81:AB81" si="12">J79</f>
        <v>-79511.868341611989</v>
      </c>
      <c r="K81" s="119">
        <f t="shared" si="12"/>
        <v>-159023.73668322398</v>
      </c>
      <c r="L81" s="119">
        <f t="shared" si="12"/>
        <v>-238535.60502483597</v>
      </c>
      <c r="M81" s="119">
        <f t="shared" si="12"/>
        <v>-315702.61934028781</v>
      </c>
      <c r="N81" s="119">
        <f t="shared" si="12"/>
        <v>-392869.63365573966</v>
      </c>
      <c r="O81" s="119">
        <f t="shared" si="12"/>
        <v>-467691.79394503142</v>
      </c>
      <c r="P81" s="119">
        <f t="shared" si="12"/>
        <v>-542513.95423432312</v>
      </c>
      <c r="Q81" s="119">
        <f t="shared" si="12"/>
        <v>-617336.11452361476</v>
      </c>
      <c r="R81" s="119">
        <f t="shared" si="12"/>
        <v>-689813.42078674631</v>
      </c>
      <c r="S81" s="119">
        <f t="shared" si="12"/>
        <v>-698254.89528092276</v>
      </c>
      <c r="T81" s="119">
        <f t="shared" si="12"/>
        <v>-698254.89528092276</v>
      </c>
      <c r="U81" s="119">
        <f t="shared" si="12"/>
        <v>-698254.89528092276</v>
      </c>
      <c r="V81" s="119">
        <f t="shared" si="12"/>
        <v>-698254.89528092276</v>
      </c>
      <c r="W81" s="119">
        <f t="shared" si="12"/>
        <v>-698254.89528092276</v>
      </c>
      <c r="X81" s="119">
        <f t="shared" si="12"/>
        <v>-698254.89528092276</v>
      </c>
      <c r="Y81" s="119">
        <f t="shared" si="12"/>
        <v>-698254.89528092276</v>
      </c>
      <c r="Z81" s="119">
        <f t="shared" si="12"/>
        <v>-698254.89528092276</v>
      </c>
      <c r="AA81" s="119">
        <f t="shared" si="12"/>
        <v>-698254.89528092276</v>
      </c>
      <c r="AB81" s="119">
        <f t="shared" si="12"/>
        <v>-698254.89528092276</v>
      </c>
      <c r="AC81" s="119">
        <f>AC79</f>
        <v>-698254.89528092276</v>
      </c>
      <c r="AD81" s="119">
        <f>AD79</f>
        <v>-698254.89528092276</v>
      </c>
      <c r="AE81" s="119">
        <f>AE79</f>
        <v>-698254.89528092276</v>
      </c>
      <c r="AF81" s="119">
        <f>AF79</f>
        <v>-698254.89528092276</v>
      </c>
      <c r="AG81" s="119">
        <f>AG79</f>
        <v>-698254.89528092276</v>
      </c>
    </row>
    <row r="82" spans="1:33" x14ac:dyDescent="0.2">
      <c r="A82" s="8"/>
      <c r="B82" s="8"/>
      <c r="C82" s="4" t="s">
        <v>31</v>
      </c>
      <c r="D82" s="38"/>
      <c r="F82" s="97"/>
      <c r="G82" s="212">
        <f t="shared" si="11"/>
        <v>45291</v>
      </c>
      <c r="H82" s="31"/>
      <c r="I82" s="31">
        <f t="shared" ref="I82:AG82" si="13">-I19</f>
        <v>0</v>
      </c>
      <c r="J82" s="31">
        <f t="shared" si="13"/>
        <v>0</v>
      </c>
      <c r="K82" s="31">
        <f t="shared" si="13"/>
        <v>0</v>
      </c>
      <c r="L82" s="31">
        <f t="shared" si="13"/>
        <v>0</v>
      </c>
      <c r="M82" s="31">
        <f t="shared" si="13"/>
        <v>0</v>
      </c>
      <c r="N82" s="31">
        <f t="shared" si="13"/>
        <v>0</v>
      </c>
      <c r="O82" s="31">
        <f t="shared" si="13"/>
        <v>0</v>
      </c>
      <c r="P82" s="31">
        <f t="shared" si="13"/>
        <v>0</v>
      </c>
      <c r="Q82" s="31">
        <f t="shared" si="13"/>
        <v>0</v>
      </c>
      <c r="R82" s="31">
        <f t="shared" si="13"/>
        <v>0</v>
      </c>
      <c r="S82" s="31">
        <f t="shared" si="13"/>
        <v>0</v>
      </c>
      <c r="T82" s="31">
        <f t="shared" si="13"/>
        <v>0</v>
      </c>
      <c r="U82" s="31">
        <f t="shared" si="13"/>
        <v>0</v>
      </c>
      <c r="V82" s="31">
        <f t="shared" si="13"/>
        <v>0</v>
      </c>
      <c r="W82" s="31">
        <f t="shared" si="13"/>
        <v>0</v>
      </c>
      <c r="X82" s="31">
        <f t="shared" si="13"/>
        <v>0</v>
      </c>
      <c r="Y82" s="31">
        <f t="shared" si="13"/>
        <v>0</v>
      </c>
      <c r="Z82" s="31">
        <f t="shared" si="13"/>
        <v>0</v>
      </c>
      <c r="AA82" s="31">
        <f t="shared" si="13"/>
        <v>0</v>
      </c>
      <c r="AB82" s="31">
        <f t="shared" si="13"/>
        <v>0</v>
      </c>
      <c r="AC82" s="31">
        <f t="shared" si="13"/>
        <v>0</v>
      </c>
      <c r="AD82" s="31">
        <f t="shared" si="13"/>
        <v>0</v>
      </c>
      <c r="AE82" s="31">
        <f t="shared" si="13"/>
        <v>0</v>
      </c>
      <c r="AF82" s="31">
        <f t="shared" si="13"/>
        <v>0</v>
      </c>
      <c r="AG82" s="31">
        <f t="shared" si="13"/>
        <v>0</v>
      </c>
    </row>
    <row r="83" spans="1:33" x14ac:dyDescent="0.2">
      <c r="A83" s="8"/>
      <c r="B83" s="8"/>
      <c r="C83" s="4" t="s">
        <v>140</v>
      </c>
      <c r="D83" s="38"/>
      <c r="F83" s="97"/>
      <c r="G83" s="212">
        <f t="shared" si="11"/>
        <v>45291</v>
      </c>
      <c r="H83" s="31"/>
      <c r="I83" s="31">
        <f>I63</f>
        <v>700083.94474041834</v>
      </c>
      <c r="J83" s="31">
        <f t="shared" ref="J83:AB83" si="14">J63</f>
        <v>700083.94474041834</v>
      </c>
      <c r="K83" s="31">
        <f t="shared" si="14"/>
        <v>700083.94474041834</v>
      </c>
      <c r="L83" s="31">
        <f t="shared" si="14"/>
        <v>1050125.917110628</v>
      </c>
      <c r="M83" s="31">
        <f t="shared" si="14"/>
        <v>1050125.917110628</v>
      </c>
      <c r="N83" s="31">
        <f t="shared" si="14"/>
        <v>1050125.9171106277</v>
      </c>
      <c r="O83" s="31">
        <f t="shared" si="14"/>
        <v>1050125.9171106277</v>
      </c>
      <c r="P83" s="31">
        <f t="shared" si="14"/>
        <v>1050125.9171106277</v>
      </c>
      <c r="Q83" s="31">
        <f t="shared" si="14"/>
        <v>1400167.8894808369</v>
      </c>
      <c r="R83" s="31">
        <f t="shared" si="14"/>
        <v>1400167.8894808369</v>
      </c>
      <c r="S83" s="31">
        <f t="shared" si="14"/>
        <v>1400167.8894808369</v>
      </c>
      <c r="T83" s="31">
        <f t="shared" si="14"/>
        <v>1400167.8894808369</v>
      </c>
      <c r="U83" s="31">
        <f t="shared" si="14"/>
        <v>1400167.8894808369</v>
      </c>
      <c r="V83" s="31">
        <f t="shared" si="14"/>
        <v>1050125.917110628</v>
      </c>
      <c r="W83" s="31">
        <f t="shared" si="14"/>
        <v>1050125.917110628</v>
      </c>
      <c r="X83" s="31">
        <f t="shared" si="14"/>
        <v>1050125.917110628</v>
      </c>
      <c r="Y83" s="31">
        <f t="shared" si="14"/>
        <v>1050125.917110628</v>
      </c>
      <c r="Z83" s="31">
        <f t="shared" si="14"/>
        <v>1050125.917110628</v>
      </c>
      <c r="AA83" s="31">
        <f t="shared" si="14"/>
        <v>1050125.917110628</v>
      </c>
      <c r="AB83" s="31">
        <f t="shared" si="14"/>
        <v>1050125.917110628</v>
      </c>
      <c r="AC83" s="31">
        <f>AC63</f>
        <v>1050125.917110628</v>
      </c>
      <c r="AD83" s="31">
        <f>AD63</f>
        <v>1050125.917110628</v>
      </c>
      <c r="AE83" s="31">
        <f>AE63</f>
        <v>1050125.917110628</v>
      </c>
      <c r="AF83" s="31">
        <f>AF63</f>
        <v>1050125.917110628</v>
      </c>
      <c r="AG83" s="31">
        <f>AG63</f>
        <v>700083.94474041846</v>
      </c>
    </row>
    <row r="84" spans="1:33" x14ac:dyDescent="0.2">
      <c r="A84" s="8"/>
      <c r="B84" s="8"/>
      <c r="C84" s="4" t="s">
        <v>122</v>
      </c>
      <c r="D84" s="38"/>
      <c r="F84" s="97"/>
      <c r="G84" s="212">
        <f t="shared" si="11"/>
        <v>45291</v>
      </c>
      <c r="H84" s="31"/>
      <c r="I84" s="31">
        <f t="shared" ref="I84:AG84" si="15">I56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</row>
    <row r="85" spans="1:33" x14ac:dyDescent="0.2">
      <c r="A85" s="8"/>
      <c r="B85" s="8"/>
      <c r="C85" s="4"/>
      <c r="D85" s="38"/>
      <c r="F85" s="31"/>
      <c r="G85" s="21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">
      <c r="A86" s="8"/>
      <c r="B86" s="8"/>
      <c r="C86" s="179" t="s">
        <v>186</v>
      </c>
      <c r="D86" s="180"/>
      <c r="E86" s="175"/>
      <c r="F86" s="181"/>
      <c r="G86" s="217">
        <f t="shared" si="11"/>
        <v>45291</v>
      </c>
      <c r="H86" s="181"/>
      <c r="I86" s="181">
        <f t="shared" ref="I86:AB86" si="16">SUM(I81:I85)</f>
        <v>700083.94474041834</v>
      </c>
      <c r="J86" s="181">
        <f t="shared" si="16"/>
        <v>620572.07639880641</v>
      </c>
      <c r="K86" s="181">
        <f t="shared" si="16"/>
        <v>541060.20805719437</v>
      </c>
      <c r="L86" s="181">
        <f t="shared" si="16"/>
        <v>811590.31208579196</v>
      </c>
      <c r="M86" s="181">
        <f t="shared" si="16"/>
        <v>734423.29777034023</v>
      </c>
      <c r="N86" s="181">
        <f t="shared" si="16"/>
        <v>657256.28345488803</v>
      </c>
      <c r="O86" s="181">
        <f t="shared" si="16"/>
        <v>582434.12316559628</v>
      </c>
      <c r="P86" s="181">
        <f t="shared" si="16"/>
        <v>507611.96287630463</v>
      </c>
      <c r="Q86" s="181">
        <f t="shared" si="16"/>
        <v>782831.77495722217</v>
      </c>
      <c r="R86" s="181">
        <f t="shared" si="16"/>
        <v>710354.46869409061</v>
      </c>
      <c r="S86" s="181">
        <f t="shared" si="16"/>
        <v>701912.99419991416</v>
      </c>
      <c r="T86" s="181">
        <f t="shared" si="16"/>
        <v>701912.99419991416</v>
      </c>
      <c r="U86" s="181">
        <f t="shared" si="16"/>
        <v>701912.99419991416</v>
      </c>
      <c r="V86" s="181">
        <f t="shared" si="16"/>
        <v>351871.02182970522</v>
      </c>
      <c r="W86" s="181">
        <f t="shared" si="16"/>
        <v>351871.02182970522</v>
      </c>
      <c r="X86" s="181">
        <f t="shared" si="16"/>
        <v>351871.02182970522</v>
      </c>
      <c r="Y86" s="181">
        <f t="shared" si="16"/>
        <v>351871.02182970522</v>
      </c>
      <c r="Z86" s="181">
        <f t="shared" si="16"/>
        <v>351871.02182970522</v>
      </c>
      <c r="AA86" s="181">
        <f t="shared" si="16"/>
        <v>351871.02182970522</v>
      </c>
      <c r="AB86" s="181">
        <f t="shared" si="16"/>
        <v>351871.02182970522</v>
      </c>
      <c r="AC86" s="181">
        <f>SUM(AC81:AC85)</f>
        <v>351871.02182970522</v>
      </c>
      <c r="AD86" s="181">
        <f>SUM(AD81:AD85)</f>
        <v>351871.02182970522</v>
      </c>
      <c r="AE86" s="181">
        <f>SUM(AE81:AE85)</f>
        <v>351871.02182970522</v>
      </c>
      <c r="AF86" s="181">
        <f>SUM(AF81:AF85)</f>
        <v>351871.02182970522</v>
      </c>
      <c r="AG86" s="181">
        <f>SUM(AG81:AG85)</f>
        <v>1829.0494594956981</v>
      </c>
    </row>
    <row r="87" spans="1:33" x14ac:dyDescent="0.2">
      <c r="A87" s="8"/>
      <c r="B87" s="8"/>
      <c r="C87" s="75"/>
      <c r="D87" s="141"/>
      <c r="E87" s="64"/>
      <c r="F87" s="144"/>
      <c r="G87" s="21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spans="1:33" x14ac:dyDescent="0.2">
      <c r="A88" s="8"/>
      <c r="B88" s="8"/>
      <c r="C88" s="75"/>
      <c r="D88" s="141"/>
      <c r="E88" s="64"/>
      <c r="F88" s="144"/>
      <c r="G88" s="21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232" t="s">
        <v>196</v>
      </c>
      <c r="D89" s="82"/>
      <c r="E89" s="233"/>
      <c r="F89" s="234"/>
      <c r="G89" s="235" cm="1">
        <f t="array" ref="G89">IF(SUM($I17:$AG17)=0,0,(INDEX(I$6:AG$6,MATCH(TRUE,INDEX($I17:$AG17&lt;&gt;0,),0))))</f>
        <v>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C90" s="82"/>
      <c r="D90" s="236"/>
      <c r="E90" s="233"/>
      <c r="F90" s="233"/>
      <c r="G90" s="235"/>
    </row>
    <row r="91" spans="1:33" x14ac:dyDescent="0.2">
      <c r="C91" s="237" t="s">
        <v>191</v>
      </c>
      <c r="D91" s="238"/>
      <c r="E91" s="238"/>
      <c r="F91" s="238"/>
      <c r="G91" s="239">
        <f>IF(_xlfn.MINIFS($G$89:$G$90, $G$89:$G$90, "&gt;"&amp;0)=0, $A$4, _xlfn.MINIFS($G$89:$G$90, $G$89:$G$90, "&gt;"&amp;0))</f>
        <v>1</v>
      </c>
    </row>
    <row r="93" spans="1:33" x14ac:dyDescent="0.2">
      <c r="G93" s="12"/>
    </row>
    <row r="101" spans="1:43" ht="15" x14ac:dyDescent="0.2">
      <c r="A101" s="89" t="s">
        <v>216</v>
      </c>
      <c r="B101" s="89"/>
      <c r="C101" s="89"/>
      <c r="D101" s="89"/>
      <c r="E101" s="89"/>
      <c r="F101" s="89"/>
      <c r="G101" s="206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/>
      <c r="AI101"/>
      <c r="AJ101"/>
      <c r="AK101"/>
      <c r="AL101"/>
      <c r="AM101"/>
      <c r="AN101"/>
      <c r="AO101"/>
      <c r="AP101"/>
      <c r="AQ101"/>
    </row>
    <row r="103" spans="1:43" x14ac:dyDescent="0.2"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43" x14ac:dyDescent="0.2"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43" x14ac:dyDescent="0.2">
      <c r="A105" s="1" t="s">
        <v>119</v>
      </c>
      <c r="C105" s="1" t="s">
        <v>186</v>
      </c>
      <c r="D105"/>
      <c r="E105"/>
      <c r="F105"/>
      <c r="G105" s="38" t="str">
        <f>PROPER($A$3)&amp;A105</f>
        <v>Option 4NPV</v>
      </c>
      <c r="I105" s="31">
        <f>I86</f>
        <v>700083.94474041834</v>
      </c>
      <c r="J105" s="31">
        <f t="shared" ref="J105:AG105" si="17">J86</f>
        <v>620572.07639880641</v>
      </c>
      <c r="K105" s="31">
        <f t="shared" si="17"/>
        <v>541060.20805719437</v>
      </c>
      <c r="L105" s="31">
        <f t="shared" si="17"/>
        <v>811590.31208579196</v>
      </c>
      <c r="M105" s="31">
        <f t="shared" si="17"/>
        <v>734423.29777034023</v>
      </c>
      <c r="N105" s="31">
        <f t="shared" si="17"/>
        <v>657256.28345488803</v>
      </c>
      <c r="O105" s="31">
        <f t="shared" si="17"/>
        <v>582434.12316559628</v>
      </c>
      <c r="P105" s="31">
        <f t="shared" si="17"/>
        <v>507611.96287630463</v>
      </c>
      <c r="Q105" s="31">
        <f t="shared" si="17"/>
        <v>782831.77495722217</v>
      </c>
      <c r="R105" s="31">
        <f t="shared" si="17"/>
        <v>710354.46869409061</v>
      </c>
      <c r="S105" s="31">
        <f t="shared" si="17"/>
        <v>701912.99419991416</v>
      </c>
      <c r="T105" s="31">
        <f t="shared" si="17"/>
        <v>701912.99419991416</v>
      </c>
      <c r="U105" s="31">
        <f t="shared" si="17"/>
        <v>701912.99419991416</v>
      </c>
      <c r="V105" s="31">
        <f t="shared" si="17"/>
        <v>351871.02182970522</v>
      </c>
      <c r="W105" s="31">
        <f t="shared" si="17"/>
        <v>351871.02182970522</v>
      </c>
      <c r="X105" s="31">
        <f t="shared" si="17"/>
        <v>351871.02182970522</v>
      </c>
      <c r="Y105" s="31">
        <f t="shared" si="17"/>
        <v>351871.02182970522</v>
      </c>
      <c r="Z105" s="31">
        <f t="shared" si="17"/>
        <v>351871.02182970522</v>
      </c>
      <c r="AA105" s="31">
        <f t="shared" si="17"/>
        <v>351871.02182970522</v>
      </c>
      <c r="AB105" s="31">
        <f t="shared" si="17"/>
        <v>351871.02182970522</v>
      </c>
      <c r="AC105" s="31">
        <f t="shared" si="17"/>
        <v>351871.02182970522</v>
      </c>
      <c r="AD105" s="31">
        <f t="shared" si="17"/>
        <v>351871.02182970522</v>
      </c>
      <c r="AE105" s="31">
        <f t="shared" si="17"/>
        <v>351871.02182970522</v>
      </c>
      <c r="AF105" s="31">
        <f t="shared" si="17"/>
        <v>351871.02182970522</v>
      </c>
      <c r="AG105" s="31">
        <f t="shared" si="17"/>
        <v>1829.0494594956981</v>
      </c>
    </row>
    <row r="106" spans="1:43" x14ac:dyDescent="0.2">
      <c r="C106" s="1" t="s">
        <v>156</v>
      </c>
      <c r="D106"/>
      <c r="E106"/>
      <c r="F106"/>
      <c r="G106"/>
      <c r="I106" s="31">
        <f>I81</f>
        <v>0</v>
      </c>
      <c r="J106" s="31">
        <f t="shared" ref="J106:AG106" si="18">J81</f>
        <v>-79511.868341611989</v>
      </c>
      <c r="K106" s="31">
        <f t="shared" si="18"/>
        <v>-159023.73668322398</v>
      </c>
      <c r="L106" s="31">
        <f t="shared" si="18"/>
        <v>-238535.60502483597</v>
      </c>
      <c r="M106" s="31">
        <f t="shared" si="18"/>
        <v>-315702.61934028781</v>
      </c>
      <c r="N106" s="31">
        <f t="shared" si="18"/>
        <v>-392869.63365573966</v>
      </c>
      <c r="O106" s="31">
        <f t="shared" si="18"/>
        <v>-467691.79394503142</v>
      </c>
      <c r="P106" s="31">
        <f t="shared" si="18"/>
        <v>-542513.95423432312</v>
      </c>
      <c r="Q106" s="31">
        <f t="shared" si="18"/>
        <v>-617336.11452361476</v>
      </c>
      <c r="R106" s="31">
        <f t="shared" si="18"/>
        <v>-689813.42078674631</v>
      </c>
      <c r="S106" s="31">
        <f t="shared" si="18"/>
        <v>-698254.89528092276</v>
      </c>
      <c r="T106" s="31">
        <f t="shared" si="18"/>
        <v>-698254.89528092276</v>
      </c>
      <c r="U106" s="31">
        <f t="shared" si="18"/>
        <v>-698254.89528092276</v>
      </c>
      <c r="V106" s="31">
        <f t="shared" si="18"/>
        <v>-698254.89528092276</v>
      </c>
      <c r="W106" s="31">
        <f t="shared" si="18"/>
        <v>-698254.89528092276</v>
      </c>
      <c r="X106" s="31">
        <f t="shared" si="18"/>
        <v>-698254.89528092276</v>
      </c>
      <c r="Y106" s="31">
        <f t="shared" si="18"/>
        <v>-698254.89528092276</v>
      </c>
      <c r="Z106" s="31">
        <f t="shared" si="18"/>
        <v>-698254.89528092276</v>
      </c>
      <c r="AA106" s="31">
        <f t="shared" si="18"/>
        <v>-698254.89528092276</v>
      </c>
      <c r="AB106" s="31">
        <f t="shared" si="18"/>
        <v>-698254.89528092276</v>
      </c>
      <c r="AC106" s="31">
        <f t="shared" si="18"/>
        <v>-698254.89528092276</v>
      </c>
      <c r="AD106" s="31">
        <f t="shared" si="18"/>
        <v>-698254.89528092276</v>
      </c>
      <c r="AE106" s="31">
        <f t="shared" si="18"/>
        <v>-698254.89528092276</v>
      </c>
      <c r="AF106" s="31">
        <f t="shared" si="18"/>
        <v>-698254.89528092276</v>
      </c>
      <c r="AG106" s="31">
        <f t="shared" si="18"/>
        <v>-698254.89528092276</v>
      </c>
    </row>
    <row r="107" spans="1:43" x14ac:dyDescent="0.2">
      <c r="C107" s="1" t="s">
        <v>239</v>
      </c>
      <c r="D107"/>
      <c r="E107"/>
      <c r="F107"/>
      <c r="G107"/>
      <c r="I107" s="31">
        <f>SUM(I83:I84)</f>
        <v>700083.94474041834</v>
      </c>
      <c r="J107" s="31">
        <f t="shared" ref="J107:AG107" si="19">SUM(J83:J84)</f>
        <v>700083.94474041834</v>
      </c>
      <c r="K107" s="31">
        <f t="shared" si="19"/>
        <v>700083.94474041834</v>
      </c>
      <c r="L107" s="31">
        <f t="shared" si="19"/>
        <v>1050125.917110628</v>
      </c>
      <c r="M107" s="31">
        <f t="shared" si="19"/>
        <v>1050125.917110628</v>
      </c>
      <c r="N107" s="31">
        <f t="shared" si="19"/>
        <v>1050125.9171106277</v>
      </c>
      <c r="O107" s="31">
        <f t="shared" si="19"/>
        <v>1050125.9171106277</v>
      </c>
      <c r="P107" s="31">
        <f t="shared" si="19"/>
        <v>1050125.9171106277</v>
      </c>
      <c r="Q107" s="31">
        <f t="shared" si="19"/>
        <v>1400167.8894808369</v>
      </c>
      <c r="R107" s="31">
        <f t="shared" si="19"/>
        <v>1400167.8894808369</v>
      </c>
      <c r="S107" s="31">
        <f t="shared" si="19"/>
        <v>1400167.8894808369</v>
      </c>
      <c r="T107" s="31">
        <f t="shared" si="19"/>
        <v>1400167.8894808369</v>
      </c>
      <c r="U107" s="31">
        <f t="shared" si="19"/>
        <v>1400167.8894808369</v>
      </c>
      <c r="V107" s="31">
        <f t="shared" si="19"/>
        <v>1050125.917110628</v>
      </c>
      <c r="W107" s="31">
        <f t="shared" si="19"/>
        <v>1050125.917110628</v>
      </c>
      <c r="X107" s="31">
        <f t="shared" si="19"/>
        <v>1050125.917110628</v>
      </c>
      <c r="Y107" s="31">
        <f t="shared" si="19"/>
        <v>1050125.917110628</v>
      </c>
      <c r="Z107" s="31">
        <f t="shared" si="19"/>
        <v>1050125.917110628</v>
      </c>
      <c r="AA107" s="31">
        <f t="shared" si="19"/>
        <v>1050125.917110628</v>
      </c>
      <c r="AB107" s="31">
        <f t="shared" si="19"/>
        <v>1050125.917110628</v>
      </c>
      <c r="AC107" s="31">
        <f t="shared" si="19"/>
        <v>1050125.917110628</v>
      </c>
      <c r="AD107" s="31">
        <f t="shared" si="19"/>
        <v>1050125.917110628</v>
      </c>
      <c r="AE107" s="31">
        <f t="shared" si="19"/>
        <v>1050125.917110628</v>
      </c>
      <c r="AF107" s="31">
        <f t="shared" si="19"/>
        <v>1050125.917110628</v>
      </c>
      <c r="AG107" s="31">
        <f t="shared" si="19"/>
        <v>700083.94474041846</v>
      </c>
    </row>
    <row r="108" spans="1:43" x14ac:dyDescent="0.2">
      <c r="D108" s="304" t="str">
        <f>Assumptions!G110</f>
        <v>Capex</v>
      </c>
      <c r="E108" s="304" t="str">
        <f>Assumptions!H110</f>
        <v>Total benefits</v>
      </c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43" x14ac:dyDescent="0.2">
      <c r="A109" s="1" t="str">
        <f>"sens"&amp;Assumptions!B111</f>
        <v>sens1</v>
      </c>
      <c r="C109" s="303" t="str">
        <f>Assumptions!C111</f>
        <v>Capex 10% higher</v>
      </c>
      <c r="D109" s="304">
        <f>Assumptions!G111</f>
        <v>0.1</v>
      </c>
      <c r="E109" s="304">
        <f>Assumptions!H111</f>
        <v>0</v>
      </c>
      <c r="G109" s="38" t="str">
        <f>PROPER($A$3)&amp;A109</f>
        <v>Option 4sens1</v>
      </c>
      <c r="I109" s="31" cm="1">
        <f t="array" ref="I109">I$105+IF($C109&lt;&gt;0,SUMPRODUCT((I$106:I$107)*TRANSPOSE(($D109:$E109))),0)</f>
        <v>700083.94474041834</v>
      </c>
      <c r="J109" s="31" cm="1">
        <f t="array" ref="J109">J$105+IF($C109&lt;&gt;0,SUMPRODUCT((J$106:J$107)*TRANSPOSE(($D109:$E109))),0)</f>
        <v>612620.88956464524</v>
      </c>
      <c r="K109" s="31" cm="1">
        <f t="array" ref="K109">K$105+IF($C109&lt;&gt;0,SUMPRODUCT((K$106:K$107)*TRANSPOSE(($D109:$E109))),0)</f>
        <v>525157.83438887191</v>
      </c>
      <c r="L109" s="31" cm="1">
        <f t="array" ref="L109">L$105+IF($C109&lt;&gt;0,SUMPRODUCT((L$106:L$107)*TRANSPOSE(($D109:$E109))),0)</f>
        <v>787736.75158330833</v>
      </c>
      <c r="M109" s="31" cm="1">
        <f t="array" ref="M109">M$105+IF($C109&lt;&gt;0,SUMPRODUCT((M$106:M$107)*TRANSPOSE(($D109:$E109))),0)</f>
        <v>702853.03583631141</v>
      </c>
      <c r="N109" s="31" cm="1">
        <f t="array" ref="N109">N$105+IF($C109&lt;&gt;0,SUMPRODUCT((N$106:N$107)*TRANSPOSE(($D109:$E109))),0)</f>
        <v>617969.32008931402</v>
      </c>
      <c r="O109" s="31" cm="1">
        <f t="array" ref="O109">O$105+IF($C109&lt;&gt;0,SUMPRODUCT((O$106:O$107)*TRANSPOSE(($D109:$E109))),0)</f>
        <v>535664.94377109315</v>
      </c>
      <c r="P109" s="31" cm="1">
        <f t="array" ref="P109">P$105+IF($C109&lt;&gt;0,SUMPRODUCT((P$106:P$107)*TRANSPOSE(($D109:$E109))),0)</f>
        <v>453360.56745287229</v>
      </c>
      <c r="Q109" s="31" cm="1">
        <f t="array" ref="Q109">Q$105+IF($C109&lt;&gt;0,SUMPRODUCT((Q$106:Q$107)*TRANSPOSE(($D109:$E109))),0)</f>
        <v>721098.16350486071</v>
      </c>
      <c r="R109" s="31" cm="1">
        <f t="array" ref="R109">R$105+IF($C109&lt;&gt;0,SUMPRODUCT((R$106:R$107)*TRANSPOSE(($D109:$E109))),0)</f>
        <v>641373.12661541603</v>
      </c>
      <c r="S109" s="31" cm="1">
        <f t="array" ref="S109">S$105+IF($C109&lt;&gt;0,SUMPRODUCT((S$106:S$107)*TRANSPOSE(($D109:$E109))),0)</f>
        <v>632087.50467182184</v>
      </c>
      <c r="T109" s="31" cm="1">
        <f t="array" ref="T109">T$105+IF($C109&lt;&gt;0,SUMPRODUCT((T$106:T$107)*TRANSPOSE(($D109:$E109))),0)</f>
        <v>632087.50467182184</v>
      </c>
      <c r="U109" s="31" cm="1">
        <f t="array" ref="U109">U$105+IF($C109&lt;&gt;0,SUMPRODUCT((U$106:U$107)*TRANSPOSE(($D109:$E109))),0)</f>
        <v>632087.50467182184</v>
      </c>
      <c r="V109" s="31" cm="1">
        <f t="array" ref="V109">V$105+IF($C109&lt;&gt;0,SUMPRODUCT((V$106:V$107)*TRANSPOSE(($D109:$E109))),0)</f>
        <v>282045.53230161296</v>
      </c>
      <c r="W109" s="31" cm="1">
        <f t="array" ref="W109">W$105+IF($C109&lt;&gt;0,SUMPRODUCT((W$106:W$107)*TRANSPOSE(($D109:$E109))),0)</f>
        <v>282045.53230161296</v>
      </c>
      <c r="X109" s="31" cm="1">
        <f t="array" ref="X109">X$105+IF($C109&lt;&gt;0,SUMPRODUCT((X$106:X$107)*TRANSPOSE(($D109:$E109))),0)</f>
        <v>282045.53230161296</v>
      </c>
      <c r="Y109" s="31" cm="1">
        <f t="array" ref="Y109">Y$105+IF($C109&lt;&gt;0,SUMPRODUCT((Y$106:Y$107)*TRANSPOSE(($D109:$E109))),0)</f>
        <v>282045.53230161296</v>
      </c>
      <c r="Z109" s="31" cm="1">
        <f t="array" ref="Z109">Z$105+IF($C109&lt;&gt;0,SUMPRODUCT((Z$106:Z$107)*TRANSPOSE(($D109:$E109))),0)</f>
        <v>282045.53230161296</v>
      </c>
      <c r="AA109" s="31" cm="1">
        <f t="array" ref="AA109">AA$105+IF($C109&lt;&gt;0,SUMPRODUCT((AA$106:AA$107)*TRANSPOSE(($D109:$E109))),0)</f>
        <v>282045.53230161296</v>
      </c>
      <c r="AB109" s="31" cm="1">
        <f t="array" ref="AB109">AB$105+IF($C109&lt;&gt;0,SUMPRODUCT((AB$106:AB$107)*TRANSPOSE(($D109:$E109))),0)</f>
        <v>282045.53230161296</v>
      </c>
      <c r="AC109" s="31" cm="1">
        <f t="array" ref="AC109">AC$105+IF($C109&lt;&gt;0,SUMPRODUCT((AC$106:AC$107)*TRANSPOSE(($D109:$E109))),0)</f>
        <v>282045.53230161296</v>
      </c>
      <c r="AD109" s="31" cm="1">
        <f t="array" ref="AD109">AD$105+IF($C109&lt;&gt;0,SUMPRODUCT((AD$106:AD$107)*TRANSPOSE(($D109:$E109))),0)</f>
        <v>282045.53230161296</v>
      </c>
      <c r="AE109" s="31" cm="1">
        <f t="array" ref="AE109">AE$105+IF($C109&lt;&gt;0,SUMPRODUCT((AE$106:AE$107)*TRANSPOSE(($D109:$E109))),0)</f>
        <v>282045.53230161296</v>
      </c>
      <c r="AF109" s="31" cm="1">
        <f t="array" ref="AF109">AF$105+IF($C109&lt;&gt;0,SUMPRODUCT((AF$106:AF$107)*TRANSPOSE(($D109:$E109))),0)</f>
        <v>282045.53230161296</v>
      </c>
      <c r="AG109" s="31" cm="1">
        <f t="array" ref="AG109">AG$105+IF($C109&lt;&gt;0,SUMPRODUCT((AG$106:AG$107)*TRANSPOSE(($D109:$E109))),0)</f>
        <v>-67996.440068596581</v>
      </c>
    </row>
    <row r="110" spans="1:43" x14ac:dyDescent="0.2">
      <c r="A110" s="1" t="str">
        <f>"sens"&amp;Assumptions!B112</f>
        <v>sens2</v>
      </c>
      <c r="C110" s="303" t="str">
        <f>Assumptions!C112</f>
        <v>Capex 10% lower</v>
      </c>
      <c r="D110" s="304">
        <f>Assumptions!G112</f>
        <v>-0.1</v>
      </c>
      <c r="E110" s="304">
        <f>Assumptions!H112</f>
        <v>0</v>
      </c>
      <c r="G110" s="38" t="str">
        <f t="shared" ref="G110:G116" si="20">PROPER($A$3)&amp;A110</f>
        <v>Option 4sens2</v>
      </c>
      <c r="I110" s="31" cm="1">
        <f t="array" ref="I110">I$105+IF($C110&lt;&gt;0,SUMPRODUCT((I$106:I$107)*TRANSPOSE(($D110:$E110))),0)</f>
        <v>700083.94474041834</v>
      </c>
      <c r="J110" s="31" cm="1">
        <f t="array" ref="J110">J$105+IF($C110&lt;&gt;0,SUMPRODUCT((J$106:J$107)*TRANSPOSE(($D110:$E110))),0)</f>
        <v>628523.26323296758</v>
      </c>
      <c r="K110" s="31" cm="1">
        <f t="array" ref="K110">K$105+IF($C110&lt;&gt;0,SUMPRODUCT((K$106:K$107)*TRANSPOSE(($D110:$E110))),0)</f>
        <v>556962.58172551682</v>
      </c>
      <c r="L110" s="31" cm="1">
        <f t="array" ref="L110">L$105+IF($C110&lt;&gt;0,SUMPRODUCT((L$106:L$107)*TRANSPOSE(($D110:$E110))),0)</f>
        <v>835443.87258827558</v>
      </c>
      <c r="M110" s="31" cm="1">
        <f t="array" ref="M110">M$105+IF($C110&lt;&gt;0,SUMPRODUCT((M$106:M$107)*TRANSPOSE(($D110:$E110))),0)</f>
        <v>765993.55970436905</v>
      </c>
      <c r="N110" s="31" cm="1">
        <f t="array" ref="N110">N$105+IF($C110&lt;&gt;0,SUMPRODUCT((N$106:N$107)*TRANSPOSE(($D110:$E110))),0)</f>
        <v>696543.24682046205</v>
      </c>
      <c r="O110" s="31" cm="1">
        <f t="array" ref="O110">O$105+IF($C110&lt;&gt;0,SUMPRODUCT((O$106:O$107)*TRANSPOSE(($D110:$E110))),0)</f>
        <v>629203.3025600994</v>
      </c>
      <c r="P110" s="31" cm="1">
        <f t="array" ref="P110">P$105+IF($C110&lt;&gt;0,SUMPRODUCT((P$106:P$107)*TRANSPOSE(($D110:$E110))),0)</f>
        <v>561863.35829973698</v>
      </c>
      <c r="Q110" s="31" cm="1">
        <f t="array" ref="Q110">Q$105+IF($C110&lt;&gt;0,SUMPRODUCT((Q$106:Q$107)*TRANSPOSE(($D110:$E110))),0)</f>
        <v>844565.38640958362</v>
      </c>
      <c r="R110" s="31" cm="1">
        <f t="array" ref="R110">R$105+IF($C110&lt;&gt;0,SUMPRODUCT((R$106:R$107)*TRANSPOSE(($D110:$E110))),0)</f>
        <v>779335.81077276519</v>
      </c>
      <c r="S110" s="31" cm="1">
        <f t="array" ref="S110">S$105+IF($C110&lt;&gt;0,SUMPRODUCT((S$106:S$107)*TRANSPOSE(($D110:$E110))),0)</f>
        <v>771738.48372800648</v>
      </c>
      <c r="T110" s="31" cm="1">
        <f t="array" ref="T110">T$105+IF($C110&lt;&gt;0,SUMPRODUCT((T$106:T$107)*TRANSPOSE(($D110:$E110))),0)</f>
        <v>771738.48372800648</v>
      </c>
      <c r="U110" s="31" cm="1">
        <f t="array" ref="U110">U$105+IF($C110&lt;&gt;0,SUMPRODUCT((U$106:U$107)*TRANSPOSE(($D110:$E110))),0)</f>
        <v>771738.48372800648</v>
      </c>
      <c r="V110" s="31" cm="1">
        <f t="array" ref="V110">V$105+IF($C110&lt;&gt;0,SUMPRODUCT((V$106:V$107)*TRANSPOSE(($D110:$E110))),0)</f>
        <v>421696.51135779748</v>
      </c>
      <c r="W110" s="31" cm="1">
        <f t="array" ref="W110">W$105+IF($C110&lt;&gt;0,SUMPRODUCT((W$106:W$107)*TRANSPOSE(($D110:$E110))),0)</f>
        <v>421696.51135779748</v>
      </c>
      <c r="X110" s="31" cm="1">
        <f t="array" ref="X110">X$105+IF($C110&lt;&gt;0,SUMPRODUCT((X$106:X$107)*TRANSPOSE(($D110:$E110))),0)</f>
        <v>421696.51135779748</v>
      </c>
      <c r="Y110" s="31" cm="1">
        <f t="array" ref="Y110">Y$105+IF($C110&lt;&gt;0,SUMPRODUCT((Y$106:Y$107)*TRANSPOSE(($D110:$E110))),0)</f>
        <v>421696.51135779748</v>
      </c>
      <c r="Z110" s="31" cm="1">
        <f t="array" ref="Z110">Z$105+IF($C110&lt;&gt;0,SUMPRODUCT((Z$106:Z$107)*TRANSPOSE(($D110:$E110))),0)</f>
        <v>421696.51135779748</v>
      </c>
      <c r="AA110" s="31" cm="1">
        <f t="array" ref="AA110">AA$105+IF($C110&lt;&gt;0,SUMPRODUCT((AA$106:AA$107)*TRANSPOSE(($D110:$E110))),0)</f>
        <v>421696.51135779748</v>
      </c>
      <c r="AB110" s="31" cm="1">
        <f t="array" ref="AB110">AB$105+IF($C110&lt;&gt;0,SUMPRODUCT((AB$106:AB$107)*TRANSPOSE(($D110:$E110))),0)</f>
        <v>421696.51135779748</v>
      </c>
      <c r="AC110" s="31" cm="1">
        <f t="array" ref="AC110">AC$105+IF($C110&lt;&gt;0,SUMPRODUCT((AC$106:AC$107)*TRANSPOSE(($D110:$E110))),0)</f>
        <v>421696.51135779748</v>
      </c>
      <c r="AD110" s="31" cm="1">
        <f t="array" ref="AD110">AD$105+IF($C110&lt;&gt;0,SUMPRODUCT((AD$106:AD$107)*TRANSPOSE(($D110:$E110))),0)</f>
        <v>421696.51135779748</v>
      </c>
      <c r="AE110" s="31" cm="1">
        <f t="array" ref="AE110">AE$105+IF($C110&lt;&gt;0,SUMPRODUCT((AE$106:AE$107)*TRANSPOSE(($D110:$E110))),0)</f>
        <v>421696.51135779748</v>
      </c>
      <c r="AF110" s="31" cm="1">
        <f t="array" ref="AF110">AF$105+IF($C110&lt;&gt;0,SUMPRODUCT((AF$106:AF$107)*TRANSPOSE(($D110:$E110))),0)</f>
        <v>421696.51135779748</v>
      </c>
      <c r="AG110" s="31" cm="1">
        <f t="array" ref="AG110">AG$105+IF($C110&lt;&gt;0,SUMPRODUCT((AG$106:AG$107)*TRANSPOSE(($D110:$E110))),0)</f>
        <v>71654.538987587977</v>
      </c>
    </row>
    <row r="111" spans="1:43" x14ac:dyDescent="0.2">
      <c r="A111" s="1" t="str">
        <f>"sens"&amp;Assumptions!B113</f>
        <v>sens3</v>
      </c>
      <c r="C111" s="303" t="str">
        <f>Assumptions!C113</f>
        <v>Total benefits 10% higher</v>
      </c>
      <c r="D111" s="304">
        <f>Assumptions!G113</f>
        <v>0</v>
      </c>
      <c r="E111" s="304">
        <f>Assumptions!H113</f>
        <v>0.1</v>
      </c>
      <c r="G111" s="38" t="str">
        <f t="shared" si="20"/>
        <v>Option 4sens3</v>
      </c>
      <c r="I111" s="31" cm="1">
        <f t="array" ref="I111">I$105+IF($C111&lt;&gt;0,SUMPRODUCT((I$106:I$107)*TRANSPOSE(($D111:$E111))),0)</f>
        <v>770092.33921446023</v>
      </c>
      <c r="J111" s="31" cm="1">
        <f t="array" ref="J111">J$105+IF($C111&lt;&gt;0,SUMPRODUCT((J$106:J$107)*TRANSPOSE(($D111:$E111))),0)</f>
        <v>690580.47087284829</v>
      </c>
      <c r="K111" s="31" cm="1">
        <f t="array" ref="K111">K$105+IF($C111&lt;&gt;0,SUMPRODUCT((K$106:K$107)*TRANSPOSE(($D111:$E111))),0)</f>
        <v>611068.60253123625</v>
      </c>
      <c r="L111" s="31" cm="1">
        <f t="array" ref="L111">L$105+IF($C111&lt;&gt;0,SUMPRODUCT((L$106:L$107)*TRANSPOSE(($D111:$E111))),0)</f>
        <v>916602.90379685478</v>
      </c>
      <c r="M111" s="31" cm="1">
        <f t="array" ref="M111">M$105+IF($C111&lt;&gt;0,SUMPRODUCT((M$106:M$107)*TRANSPOSE(($D111:$E111))),0)</f>
        <v>839435.88948140305</v>
      </c>
      <c r="N111" s="31" cm="1">
        <f t="array" ref="N111">N$105+IF($C111&lt;&gt;0,SUMPRODUCT((N$106:N$107)*TRANSPOSE(($D111:$E111))),0)</f>
        <v>762268.87516595086</v>
      </c>
      <c r="O111" s="31" cm="1">
        <f t="array" ref="O111">O$105+IF($C111&lt;&gt;0,SUMPRODUCT((O$106:O$107)*TRANSPOSE(($D111:$E111))),0)</f>
        <v>687446.7148766591</v>
      </c>
      <c r="P111" s="31" cm="1">
        <f t="array" ref="P111">P$105+IF($C111&lt;&gt;0,SUMPRODUCT((P$106:P$107)*TRANSPOSE(($D111:$E111))),0)</f>
        <v>612624.55458736746</v>
      </c>
      <c r="Q111" s="31" cm="1">
        <f t="array" ref="Q111">Q$105+IF($C111&lt;&gt;0,SUMPRODUCT((Q$106:Q$107)*TRANSPOSE(($D111:$E111))),0)</f>
        <v>922848.56390530593</v>
      </c>
      <c r="R111" s="31" cm="1">
        <f t="array" ref="R111">R$105+IF($C111&lt;&gt;0,SUMPRODUCT((R$106:R$107)*TRANSPOSE(($D111:$E111))),0)</f>
        <v>850371.25764217437</v>
      </c>
      <c r="S111" s="31" cm="1">
        <f t="array" ref="S111">S$105+IF($C111&lt;&gt;0,SUMPRODUCT((S$106:S$107)*TRANSPOSE(($D111:$E111))),0)</f>
        <v>841929.78314799792</v>
      </c>
      <c r="T111" s="31" cm="1">
        <f t="array" ref="T111">T$105+IF($C111&lt;&gt;0,SUMPRODUCT((T$106:T$107)*TRANSPOSE(($D111:$E111))),0)</f>
        <v>841929.78314799792</v>
      </c>
      <c r="U111" s="31" cm="1">
        <f t="array" ref="U111">U$105+IF($C111&lt;&gt;0,SUMPRODUCT((U$106:U$107)*TRANSPOSE(($D111:$E111))),0)</f>
        <v>841929.78314799792</v>
      </c>
      <c r="V111" s="31" cm="1">
        <f t="array" ref="V111">V$105+IF($C111&lt;&gt;0,SUMPRODUCT((V$106:V$107)*TRANSPOSE(($D111:$E111))),0)</f>
        <v>456883.61354076804</v>
      </c>
      <c r="W111" s="31" cm="1">
        <f t="array" ref="W111">W$105+IF($C111&lt;&gt;0,SUMPRODUCT((W$106:W$107)*TRANSPOSE(($D111:$E111))),0)</f>
        <v>456883.61354076804</v>
      </c>
      <c r="X111" s="31" cm="1">
        <f t="array" ref="X111">X$105+IF($C111&lt;&gt;0,SUMPRODUCT((X$106:X$107)*TRANSPOSE(($D111:$E111))),0)</f>
        <v>456883.61354076804</v>
      </c>
      <c r="Y111" s="31" cm="1">
        <f t="array" ref="Y111">Y$105+IF($C111&lt;&gt;0,SUMPRODUCT((Y$106:Y$107)*TRANSPOSE(($D111:$E111))),0)</f>
        <v>456883.61354076804</v>
      </c>
      <c r="Z111" s="31" cm="1">
        <f t="array" ref="Z111">Z$105+IF($C111&lt;&gt;0,SUMPRODUCT((Z$106:Z$107)*TRANSPOSE(($D111:$E111))),0)</f>
        <v>456883.61354076804</v>
      </c>
      <c r="AA111" s="31" cm="1">
        <f t="array" ref="AA111">AA$105+IF($C111&lt;&gt;0,SUMPRODUCT((AA$106:AA$107)*TRANSPOSE(($D111:$E111))),0)</f>
        <v>456883.61354076804</v>
      </c>
      <c r="AB111" s="31" cm="1">
        <f t="array" ref="AB111">AB$105+IF($C111&lt;&gt;0,SUMPRODUCT((AB$106:AB$107)*TRANSPOSE(($D111:$E111))),0)</f>
        <v>456883.61354076804</v>
      </c>
      <c r="AC111" s="31" cm="1">
        <f t="array" ref="AC111">AC$105+IF($C111&lt;&gt;0,SUMPRODUCT((AC$106:AC$107)*TRANSPOSE(($D111:$E111))),0)</f>
        <v>456883.61354076804</v>
      </c>
      <c r="AD111" s="31" cm="1">
        <f t="array" ref="AD111">AD$105+IF($C111&lt;&gt;0,SUMPRODUCT((AD$106:AD$107)*TRANSPOSE(($D111:$E111))),0)</f>
        <v>456883.61354076804</v>
      </c>
      <c r="AE111" s="31" cm="1">
        <f t="array" ref="AE111">AE$105+IF($C111&lt;&gt;0,SUMPRODUCT((AE$106:AE$107)*TRANSPOSE(($D111:$E111))),0)</f>
        <v>456883.61354076804</v>
      </c>
      <c r="AF111" s="31" cm="1">
        <f t="array" ref="AF111">AF$105+IF($C111&lt;&gt;0,SUMPRODUCT((AF$106:AF$107)*TRANSPOSE(($D111:$E111))),0)</f>
        <v>456883.61354076804</v>
      </c>
      <c r="AG111" s="31" cm="1">
        <f t="array" ref="AG111">AG$105+IF($C111&lt;&gt;0,SUMPRODUCT((AG$106:AG$107)*TRANSPOSE(($D111:$E111))),0)</f>
        <v>71837.44393353755</v>
      </c>
    </row>
    <row r="112" spans="1:43" x14ac:dyDescent="0.2">
      <c r="A112" s="1" t="str">
        <f>"sens"&amp;Assumptions!B114</f>
        <v>sens4</v>
      </c>
      <c r="C112" s="303" t="str">
        <f>Assumptions!C114</f>
        <v>Total benefits 10% lower</v>
      </c>
      <c r="D112" s="304">
        <f>Assumptions!G114</f>
        <v>0</v>
      </c>
      <c r="E112" s="304">
        <f>Assumptions!H114</f>
        <v>-0.1</v>
      </c>
      <c r="G112" s="38" t="str">
        <f t="shared" si="20"/>
        <v>Option 4sens4</v>
      </c>
      <c r="I112" s="31" cm="1">
        <f t="array" ref="I112">I$105+IF($C112&lt;&gt;0,SUMPRODUCT((I$106:I$107)*TRANSPOSE(($D112:$E112))),0)</f>
        <v>630075.55026637646</v>
      </c>
      <c r="J112" s="31" cm="1">
        <f t="array" ref="J112">J$105+IF($C112&lt;&gt;0,SUMPRODUCT((J$106:J$107)*TRANSPOSE(($D112:$E112))),0)</f>
        <v>550563.68192476453</v>
      </c>
      <c r="K112" s="31" cm="1">
        <f t="array" ref="K112">K$105+IF($C112&lt;&gt;0,SUMPRODUCT((K$106:K$107)*TRANSPOSE(($D112:$E112))),0)</f>
        <v>471051.81358315254</v>
      </c>
      <c r="L112" s="31" cm="1">
        <f t="array" ref="L112">L$105+IF($C112&lt;&gt;0,SUMPRODUCT((L$106:L$107)*TRANSPOSE(($D112:$E112))),0)</f>
        <v>706577.72037472914</v>
      </c>
      <c r="M112" s="31" cm="1">
        <f t="array" ref="M112">M$105+IF($C112&lt;&gt;0,SUMPRODUCT((M$106:M$107)*TRANSPOSE(($D112:$E112))),0)</f>
        <v>629410.70605927741</v>
      </c>
      <c r="N112" s="31" cm="1">
        <f t="array" ref="N112">N$105+IF($C112&lt;&gt;0,SUMPRODUCT((N$106:N$107)*TRANSPOSE(($D112:$E112))),0)</f>
        <v>552243.69174382521</v>
      </c>
      <c r="O112" s="31" cm="1">
        <f t="array" ref="O112">O$105+IF($C112&lt;&gt;0,SUMPRODUCT((O$106:O$107)*TRANSPOSE(($D112:$E112))),0)</f>
        <v>477421.53145453351</v>
      </c>
      <c r="P112" s="31" cm="1">
        <f t="array" ref="P112">P$105+IF($C112&lt;&gt;0,SUMPRODUCT((P$106:P$107)*TRANSPOSE(($D112:$E112))),0)</f>
        <v>402599.37116524187</v>
      </c>
      <c r="Q112" s="31" cm="1">
        <f t="array" ref="Q112">Q$105+IF($C112&lt;&gt;0,SUMPRODUCT((Q$106:Q$107)*TRANSPOSE(($D112:$E112))),0)</f>
        <v>642814.9860091384</v>
      </c>
      <c r="R112" s="31" cm="1">
        <f t="array" ref="R112">R$105+IF($C112&lt;&gt;0,SUMPRODUCT((R$106:R$107)*TRANSPOSE(($D112:$E112))),0)</f>
        <v>570337.67974600685</v>
      </c>
      <c r="S112" s="31" cm="1">
        <f t="array" ref="S112">S$105+IF($C112&lt;&gt;0,SUMPRODUCT((S$106:S$107)*TRANSPOSE(($D112:$E112))),0)</f>
        <v>561896.2052518304</v>
      </c>
      <c r="T112" s="31" cm="1">
        <f t="array" ref="T112">T$105+IF($C112&lt;&gt;0,SUMPRODUCT((T$106:T$107)*TRANSPOSE(($D112:$E112))),0)</f>
        <v>561896.2052518304</v>
      </c>
      <c r="U112" s="31" cm="1">
        <f t="array" ref="U112">U$105+IF($C112&lt;&gt;0,SUMPRODUCT((U$106:U$107)*TRANSPOSE(($D112:$E112))),0)</f>
        <v>561896.2052518304</v>
      </c>
      <c r="V112" s="31" cm="1">
        <f t="array" ref="V112">V$105+IF($C112&lt;&gt;0,SUMPRODUCT((V$106:V$107)*TRANSPOSE(($D112:$E112))),0)</f>
        <v>246858.4301186424</v>
      </c>
      <c r="W112" s="31" cm="1">
        <f t="array" ref="W112">W$105+IF($C112&lt;&gt;0,SUMPRODUCT((W$106:W$107)*TRANSPOSE(($D112:$E112))),0)</f>
        <v>246858.4301186424</v>
      </c>
      <c r="X112" s="31" cm="1">
        <f t="array" ref="X112">X$105+IF($C112&lt;&gt;0,SUMPRODUCT((X$106:X$107)*TRANSPOSE(($D112:$E112))),0)</f>
        <v>246858.4301186424</v>
      </c>
      <c r="Y112" s="31" cm="1">
        <f t="array" ref="Y112">Y$105+IF($C112&lt;&gt;0,SUMPRODUCT((Y$106:Y$107)*TRANSPOSE(($D112:$E112))),0)</f>
        <v>246858.4301186424</v>
      </c>
      <c r="Z112" s="31" cm="1">
        <f t="array" ref="Z112">Z$105+IF($C112&lt;&gt;0,SUMPRODUCT((Z$106:Z$107)*TRANSPOSE(($D112:$E112))),0)</f>
        <v>246858.4301186424</v>
      </c>
      <c r="AA112" s="31" cm="1">
        <f t="array" ref="AA112">AA$105+IF($C112&lt;&gt;0,SUMPRODUCT((AA$106:AA$107)*TRANSPOSE(($D112:$E112))),0)</f>
        <v>246858.4301186424</v>
      </c>
      <c r="AB112" s="31" cm="1">
        <f t="array" ref="AB112">AB$105+IF($C112&lt;&gt;0,SUMPRODUCT((AB$106:AB$107)*TRANSPOSE(($D112:$E112))),0)</f>
        <v>246858.4301186424</v>
      </c>
      <c r="AC112" s="31" cm="1">
        <f t="array" ref="AC112">AC$105+IF($C112&lt;&gt;0,SUMPRODUCT((AC$106:AC$107)*TRANSPOSE(($D112:$E112))),0)</f>
        <v>246858.4301186424</v>
      </c>
      <c r="AD112" s="31" cm="1">
        <f t="array" ref="AD112">AD$105+IF($C112&lt;&gt;0,SUMPRODUCT((AD$106:AD$107)*TRANSPOSE(($D112:$E112))),0)</f>
        <v>246858.4301186424</v>
      </c>
      <c r="AE112" s="31" cm="1">
        <f t="array" ref="AE112">AE$105+IF($C112&lt;&gt;0,SUMPRODUCT((AE$106:AE$107)*TRANSPOSE(($D112:$E112))),0)</f>
        <v>246858.4301186424</v>
      </c>
      <c r="AF112" s="31" cm="1">
        <f t="array" ref="AF112">AF$105+IF($C112&lt;&gt;0,SUMPRODUCT((AF$106:AF$107)*TRANSPOSE(($D112:$E112))),0)</f>
        <v>246858.4301186424</v>
      </c>
      <c r="AG112" s="31" cm="1">
        <f t="array" ref="AG112">AG$105+IF($C112&lt;&gt;0,SUMPRODUCT((AG$106:AG$107)*TRANSPOSE(($D112:$E112))),0)</f>
        <v>-68179.345014546154</v>
      </c>
    </row>
    <row r="113" spans="1:33" x14ac:dyDescent="0.2">
      <c r="A113" s="1" t="str">
        <f>"sens"&amp;Assumptions!B115</f>
        <v>sens5</v>
      </c>
      <c r="C113" s="303" t="str">
        <f>Assumptions!C115</f>
        <v>Capex 10% higher &amp; Total benefits 10% lower</v>
      </c>
      <c r="D113" s="304">
        <f>Assumptions!G115</f>
        <v>0.1</v>
      </c>
      <c r="E113" s="304">
        <f>Assumptions!H115</f>
        <v>-0.1</v>
      </c>
      <c r="G113" s="38" t="str">
        <f t="shared" si="20"/>
        <v>Option 4sens5</v>
      </c>
      <c r="I113" s="31" cm="1">
        <f t="array" ref="I113">I$105+IF($C113&lt;&gt;0,SUMPRODUCT((I$106:I$107)*TRANSPOSE(($D113:$E113))),0)</f>
        <v>630075.55026637646</v>
      </c>
      <c r="J113" s="31" cm="1">
        <f t="array" ref="J113">J$105+IF($C113&lt;&gt;0,SUMPRODUCT((J$106:J$107)*TRANSPOSE(($D113:$E113))),0)</f>
        <v>542612.49509060336</v>
      </c>
      <c r="K113" s="31" cm="1">
        <f t="array" ref="K113">K$105+IF($C113&lt;&gt;0,SUMPRODUCT((K$106:K$107)*TRANSPOSE(($D113:$E113))),0)</f>
        <v>455149.43991483015</v>
      </c>
      <c r="L113" s="31" cm="1">
        <f t="array" ref="L113">L$105+IF($C113&lt;&gt;0,SUMPRODUCT((L$106:L$107)*TRANSPOSE(($D113:$E113))),0)</f>
        <v>682724.15987224551</v>
      </c>
      <c r="M113" s="31" cm="1">
        <f t="array" ref="M113">M$105+IF($C113&lt;&gt;0,SUMPRODUCT((M$106:M$107)*TRANSPOSE(($D113:$E113))),0)</f>
        <v>597840.44412524858</v>
      </c>
      <c r="N113" s="31" cm="1">
        <f t="array" ref="N113">N$105+IF($C113&lt;&gt;0,SUMPRODUCT((N$106:N$107)*TRANSPOSE(($D113:$E113))),0)</f>
        <v>512956.72837825131</v>
      </c>
      <c r="O113" s="31" cm="1">
        <f t="array" ref="O113">O$105+IF($C113&lt;&gt;0,SUMPRODUCT((O$106:O$107)*TRANSPOSE(($D113:$E113))),0)</f>
        <v>430652.35206003033</v>
      </c>
      <c r="P113" s="31" cm="1">
        <f t="array" ref="P113">P$105+IF($C113&lt;&gt;0,SUMPRODUCT((P$106:P$107)*TRANSPOSE(($D113:$E113))),0)</f>
        <v>348347.97574180953</v>
      </c>
      <c r="Q113" s="31" cm="1">
        <f t="array" ref="Q113">Q$105+IF($C113&lt;&gt;0,SUMPRODUCT((Q$106:Q$107)*TRANSPOSE(($D113:$E113))),0)</f>
        <v>581081.37455677695</v>
      </c>
      <c r="R113" s="31" cm="1">
        <f t="array" ref="R113">R$105+IF($C113&lt;&gt;0,SUMPRODUCT((R$106:R$107)*TRANSPOSE(($D113:$E113))),0)</f>
        <v>501356.33766733226</v>
      </c>
      <c r="S113" s="31" cm="1">
        <f t="array" ref="S113">S$105+IF($C113&lt;&gt;0,SUMPRODUCT((S$106:S$107)*TRANSPOSE(($D113:$E113))),0)</f>
        <v>492070.71572373819</v>
      </c>
      <c r="T113" s="31" cm="1">
        <f t="array" ref="T113">T$105+IF($C113&lt;&gt;0,SUMPRODUCT((T$106:T$107)*TRANSPOSE(($D113:$E113))),0)</f>
        <v>492070.71572373819</v>
      </c>
      <c r="U113" s="31" cm="1">
        <f t="array" ref="U113">U$105+IF($C113&lt;&gt;0,SUMPRODUCT((U$106:U$107)*TRANSPOSE(($D113:$E113))),0)</f>
        <v>492070.71572373819</v>
      </c>
      <c r="V113" s="31" cm="1">
        <f t="array" ref="V113">V$105+IF($C113&lt;&gt;0,SUMPRODUCT((V$106:V$107)*TRANSPOSE(($D113:$E113))),0)</f>
        <v>177032.94059055013</v>
      </c>
      <c r="W113" s="31" cm="1">
        <f t="array" ref="W113">W$105+IF($C113&lt;&gt;0,SUMPRODUCT((W$106:W$107)*TRANSPOSE(($D113:$E113))),0)</f>
        <v>177032.94059055013</v>
      </c>
      <c r="X113" s="31" cm="1">
        <f t="array" ref="X113">X$105+IF($C113&lt;&gt;0,SUMPRODUCT((X$106:X$107)*TRANSPOSE(($D113:$E113))),0)</f>
        <v>177032.94059055013</v>
      </c>
      <c r="Y113" s="31" cm="1">
        <f t="array" ref="Y113">Y$105+IF($C113&lt;&gt;0,SUMPRODUCT((Y$106:Y$107)*TRANSPOSE(($D113:$E113))),0)</f>
        <v>177032.94059055013</v>
      </c>
      <c r="Z113" s="31" cm="1">
        <f t="array" ref="Z113">Z$105+IF($C113&lt;&gt;0,SUMPRODUCT((Z$106:Z$107)*TRANSPOSE(($D113:$E113))),0)</f>
        <v>177032.94059055013</v>
      </c>
      <c r="AA113" s="31" cm="1">
        <f t="array" ref="AA113">AA$105+IF($C113&lt;&gt;0,SUMPRODUCT((AA$106:AA$107)*TRANSPOSE(($D113:$E113))),0)</f>
        <v>177032.94059055013</v>
      </c>
      <c r="AB113" s="31" cm="1">
        <f t="array" ref="AB113">AB$105+IF($C113&lt;&gt;0,SUMPRODUCT((AB$106:AB$107)*TRANSPOSE(($D113:$E113))),0)</f>
        <v>177032.94059055013</v>
      </c>
      <c r="AC113" s="31" cm="1">
        <f t="array" ref="AC113">AC$105+IF($C113&lt;&gt;0,SUMPRODUCT((AC$106:AC$107)*TRANSPOSE(($D113:$E113))),0)</f>
        <v>177032.94059055013</v>
      </c>
      <c r="AD113" s="31" cm="1">
        <f t="array" ref="AD113">AD$105+IF($C113&lt;&gt;0,SUMPRODUCT((AD$106:AD$107)*TRANSPOSE(($D113:$E113))),0)</f>
        <v>177032.94059055013</v>
      </c>
      <c r="AE113" s="31" cm="1">
        <f t="array" ref="AE113">AE$105+IF($C113&lt;&gt;0,SUMPRODUCT((AE$106:AE$107)*TRANSPOSE(($D113:$E113))),0)</f>
        <v>177032.94059055013</v>
      </c>
      <c r="AF113" s="31" cm="1">
        <f t="array" ref="AF113">AF$105+IF($C113&lt;&gt;0,SUMPRODUCT((AF$106:AF$107)*TRANSPOSE(($D113:$E113))),0)</f>
        <v>177032.94059055013</v>
      </c>
      <c r="AG113" s="31" cm="1">
        <f t="array" ref="AG113">AG$105+IF($C113&lt;&gt;0,SUMPRODUCT((AG$106:AG$107)*TRANSPOSE(($D113:$E113))),0)</f>
        <v>-138004.83454263845</v>
      </c>
    </row>
    <row r="114" spans="1:33" x14ac:dyDescent="0.2">
      <c r="A114" s="1" t="str">
        <f>"sens"&amp;Assumptions!B116</f>
        <v>sens</v>
      </c>
      <c r="C114" s="303">
        <f>Assumptions!C116</f>
        <v>0</v>
      </c>
      <c r="D114" s="304">
        <f>Assumptions!G116</f>
        <v>0</v>
      </c>
      <c r="E114" s="304">
        <f>Assumptions!H116</f>
        <v>0</v>
      </c>
      <c r="G114" s="38" t="str">
        <f t="shared" si="20"/>
        <v>Option 4sens</v>
      </c>
      <c r="I114" s="31" cm="1">
        <f t="array" ref="I114">I$105+IF($C114&lt;&gt;0,SUMPRODUCT((I$106:I$107)*TRANSPOSE(($D114:$E114))),0)</f>
        <v>700083.94474041834</v>
      </c>
      <c r="J114" s="31" cm="1">
        <f t="array" ref="J114">J$105+IF($C114&lt;&gt;0,SUMPRODUCT((J$106:J$107)*TRANSPOSE(($D114:$E114))),0)</f>
        <v>620572.07639880641</v>
      </c>
      <c r="K114" s="31" cm="1">
        <f t="array" ref="K114">K$105+IF($C114&lt;&gt;0,SUMPRODUCT((K$106:K$107)*TRANSPOSE(($D114:$E114))),0)</f>
        <v>541060.20805719437</v>
      </c>
      <c r="L114" s="31" cm="1">
        <f t="array" ref="L114">L$105+IF($C114&lt;&gt;0,SUMPRODUCT((L$106:L$107)*TRANSPOSE(($D114:$E114))),0)</f>
        <v>811590.31208579196</v>
      </c>
      <c r="M114" s="31" cm="1">
        <f t="array" ref="M114">M$105+IF($C114&lt;&gt;0,SUMPRODUCT((M$106:M$107)*TRANSPOSE(($D114:$E114))),0)</f>
        <v>734423.29777034023</v>
      </c>
      <c r="N114" s="31" cm="1">
        <f t="array" ref="N114">N$105+IF($C114&lt;&gt;0,SUMPRODUCT((N$106:N$107)*TRANSPOSE(($D114:$E114))),0)</f>
        <v>657256.28345488803</v>
      </c>
      <c r="O114" s="31" cm="1">
        <f t="array" ref="O114">O$105+IF($C114&lt;&gt;0,SUMPRODUCT((O$106:O$107)*TRANSPOSE(($D114:$E114))),0)</f>
        <v>582434.12316559628</v>
      </c>
      <c r="P114" s="31" cm="1">
        <f t="array" ref="P114">P$105+IF($C114&lt;&gt;0,SUMPRODUCT((P$106:P$107)*TRANSPOSE(($D114:$E114))),0)</f>
        <v>507611.96287630463</v>
      </c>
      <c r="Q114" s="31" cm="1">
        <f t="array" ref="Q114">Q$105+IF($C114&lt;&gt;0,SUMPRODUCT((Q$106:Q$107)*TRANSPOSE(($D114:$E114))),0)</f>
        <v>782831.77495722217</v>
      </c>
      <c r="R114" s="31" cm="1">
        <f t="array" ref="R114">R$105+IF($C114&lt;&gt;0,SUMPRODUCT((R$106:R$107)*TRANSPOSE(($D114:$E114))),0)</f>
        <v>710354.46869409061</v>
      </c>
      <c r="S114" s="31" cm="1">
        <f t="array" ref="S114">S$105+IF($C114&lt;&gt;0,SUMPRODUCT((S$106:S$107)*TRANSPOSE(($D114:$E114))),0)</f>
        <v>701912.99419991416</v>
      </c>
      <c r="T114" s="31" cm="1">
        <f t="array" ref="T114">T$105+IF($C114&lt;&gt;0,SUMPRODUCT((T$106:T$107)*TRANSPOSE(($D114:$E114))),0)</f>
        <v>701912.99419991416</v>
      </c>
      <c r="U114" s="31" cm="1">
        <f t="array" ref="U114">U$105+IF($C114&lt;&gt;0,SUMPRODUCT((U$106:U$107)*TRANSPOSE(($D114:$E114))),0)</f>
        <v>701912.99419991416</v>
      </c>
      <c r="V114" s="31" cm="1">
        <f t="array" ref="V114">V$105+IF($C114&lt;&gt;0,SUMPRODUCT((V$106:V$107)*TRANSPOSE(($D114:$E114))),0)</f>
        <v>351871.02182970522</v>
      </c>
      <c r="W114" s="31" cm="1">
        <f t="array" ref="W114">W$105+IF($C114&lt;&gt;0,SUMPRODUCT((W$106:W$107)*TRANSPOSE(($D114:$E114))),0)</f>
        <v>351871.02182970522</v>
      </c>
      <c r="X114" s="31" cm="1">
        <f t="array" ref="X114">X$105+IF($C114&lt;&gt;0,SUMPRODUCT((X$106:X$107)*TRANSPOSE(($D114:$E114))),0)</f>
        <v>351871.02182970522</v>
      </c>
      <c r="Y114" s="31" cm="1">
        <f t="array" ref="Y114">Y$105+IF($C114&lt;&gt;0,SUMPRODUCT((Y$106:Y$107)*TRANSPOSE(($D114:$E114))),0)</f>
        <v>351871.02182970522</v>
      </c>
      <c r="Z114" s="31" cm="1">
        <f t="array" ref="Z114">Z$105+IF($C114&lt;&gt;0,SUMPRODUCT((Z$106:Z$107)*TRANSPOSE(($D114:$E114))),0)</f>
        <v>351871.02182970522</v>
      </c>
      <c r="AA114" s="31" cm="1">
        <f t="array" ref="AA114">AA$105+IF($C114&lt;&gt;0,SUMPRODUCT((AA$106:AA$107)*TRANSPOSE(($D114:$E114))),0)</f>
        <v>351871.02182970522</v>
      </c>
      <c r="AB114" s="31" cm="1">
        <f t="array" ref="AB114">AB$105+IF($C114&lt;&gt;0,SUMPRODUCT((AB$106:AB$107)*TRANSPOSE(($D114:$E114))),0)</f>
        <v>351871.02182970522</v>
      </c>
      <c r="AC114" s="31" cm="1">
        <f t="array" ref="AC114">AC$105+IF($C114&lt;&gt;0,SUMPRODUCT((AC$106:AC$107)*TRANSPOSE(($D114:$E114))),0)</f>
        <v>351871.02182970522</v>
      </c>
      <c r="AD114" s="31" cm="1">
        <f t="array" ref="AD114">AD$105+IF($C114&lt;&gt;0,SUMPRODUCT((AD$106:AD$107)*TRANSPOSE(($D114:$E114))),0)</f>
        <v>351871.02182970522</v>
      </c>
      <c r="AE114" s="31" cm="1">
        <f t="array" ref="AE114">AE$105+IF($C114&lt;&gt;0,SUMPRODUCT((AE$106:AE$107)*TRANSPOSE(($D114:$E114))),0)</f>
        <v>351871.02182970522</v>
      </c>
      <c r="AF114" s="31" cm="1">
        <f t="array" ref="AF114">AF$105+IF($C114&lt;&gt;0,SUMPRODUCT((AF$106:AF$107)*TRANSPOSE(($D114:$E114))),0)</f>
        <v>351871.02182970522</v>
      </c>
      <c r="AG114" s="31" cm="1">
        <f t="array" ref="AG114">AG$105+IF($C114&lt;&gt;0,SUMPRODUCT((AG$106:AG$107)*TRANSPOSE(($D114:$E114))),0)</f>
        <v>1829.0494594956981</v>
      </c>
    </row>
    <row r="115" spans="1:33" x14ac:dyDescent="0.2">
      <c r="A115" s="1" t="str">
        <f>"sens"&amp;Assumptions!B117</f>
        <v>sens</v>
      </c>
      <c r="C115" s="303">
        <f>Assumptions!C117</f>
        <v>0</v>
      </c>
      <c r="D115" s="304">
        <f>Assumptions!G117</f>
        <v>0</v>
      </c>
      <c r="E115" s="304">
        <f>Assumptions!H117</f>
        <v>0</v>
      </c>
      <c r="G115" s="38" t="str">
        <f t="shared" si="20"/>
        <v>Option 4sens</v>
      </c>
      <c r="I115" s="31" cm="1">
        <f t="array" ref="I115">I$105+IF($C115&lt;&gt;0,SUMPRODUCT((I$106:I$107)*TRANSPOSE(($D115:$E115))),0)</f>
        <v>700083.94474041834</v>
      </c>
      <c r="J115" s="31" cm="1">
        <f t="array" ref="J115">J$105+IF($C115&lt;&gt;0,SUMPRODUCT((J$106:J$107)*TRANSPOSE(($D115:$E115))),0)</f>
        <v>620572.07639880641</v>
      </c>
      <c r="K115" s="31" cm="1">
        <f t="array" ref="K115">K$105+IF($C115&lt;&gt;0,SUMPRODUCT((K$106:K$107)*TRANSPOSE(($D115:$E115))),0)</f>
        <v>541060.20805719437</v>
      </c>
      <c r="L115" s="31" cm="1">
        <f t="array" ref="L115">L$105+IF($C115&lt;&gt;0,SUMPRODUCT((L$106:L$107)*TRANSPOSE(($D115:$E115))),0)</f>
        <v>811590.31208579196</v>
      </c>
      <c r="M115" s="31" cm="1">
        <f t="array" ref="M115">M$105+IF($C115&lt;&gt;0,SUMPRODUCT((M$106:M$107)*TRANSPOSE(($D115:$E115))),0)</f>
        <v>734423.29777034023</v>
      </c>
      <c r="N115" s="31" cm="1">
        <f t="array" ref="N115">N$105+IF($C115&lt;&gt;0,SUMPRODUCT((N$106:N$107)*TRANSPOSE(($D115:$E115))),0)</f>
        <v>657256.28345488803</v>
      </c>
      <c r="O115" s="31" cm="1">
        <f t="array" ref="O115">O$105+IF($C115&lt;&gt;0,SUMPRODUCT((O$106:O$107)*TRANSPOSE(($D115:$E115))),0)</f>
        <v>582434.12316559628</v>
      </c>
      <c r="P115" s="31" cm="1">
        <f t="array" ref="P115">P$105+IF($C115&lt;&gt;0,SUMPRODUCT((P$106:P$107)*TRANSPOSE(($D115:$E115))),0)</f>
        <v>507611.96287630463</v>
      </c>
      <c r="Q115" s="31" cm="1">
        <f t="array" ref="Q115">Q$105+IF($C115&lt;&gt;0,SUMPRODUCT((Q$106:Q$107)*TRANSPOSE(($D115:$E115))),0)</f>
        <v>782831.77495722217</v>
      </c>
      <c r="R115" s="31" cm="1">
        <f t="array" ref="R115">R$105+IF($C115&lt;&gt;0,SUMPRODUCT((R$106:R$107)*TRANSPOSE(($D115:$E115))),0)</f>
        <v>710354.46869409061</v>
      </c>
      <c r="S115" s="31" cm="1">
        <f t="array" ref="S115">S$105+IF($C115&lt;&gt;0,SUMPRODUCT((S$106:S$107)*TRANSPOSE(($D115:$E115))),0)</f>
        <v>701912.99419991416</v>
      </c>
      <c r="T115" s="31" cm="1">
        <f t="array" ref="T115">T$105+IF($C115&lt;&gt;0,SUMPRODUCT((T$106:T$107)*TRANSPOSE(($D115:$E115))),0)</f>
        <v>701912.99419991416</v>
      </c>
      <c r="U115" s="31" cm="1">
        <f t="array" ref="U115">U$105+IF($C115&lt;&gt;0,SUMPRODUCT((U$106:U$107)*TRANSPOSE(($D115:$E115))),0)</f>
        <v>701912.99419991416</v>
      </c>
      <c r="V115" s="31" cm="1">
        <f t="array" ref="V115">V$105+IF($C115&lt;&gt;0,SUMPRODUCT((V$106:V$107)*TRANSPOSE(($D115:$E115))),0)</f>
        <v>351871.02182970522</v>
      </c>
      <c r="W115" s="31" cm="1">
        <f t="array" ref="W115">W$105+IF($C115&lt;&gt;0,SUMPRODUCT((W$106:W$107)*TRANSPOSE(($D115:$E115))),0)</f>
        <v>351871.02182970522</v>
      </c>
      <c r="X115" s="31" cm="1">
        <f t="array" ref="X115">X$105+IF($C115&lt;&gt;0,SUMPRODUCT((X$106:X$107)*TRANSPOSE(($D115:$E115))),0)</f>
        <v>351871.02182970522</v>
      </c>
      <c r="Y115" s="31" cm="1">
        <f t="array" ref="Y115">Y$105+IF($C115&lt;&gt;0,SUMPRODUCT((Y$106:Y$107)*TRANSPOSE(($D115:$E115))),0)</f>
        <v>351871.02182970522</v>
      </c>
      <c r="Z115" s="31" cm="1">
        <f t="array" ref="Z115">Z$105+IF($C115&lt;&gt;0,SUMPRODUCT((Z$106:Z$107)*TRANSPOSE(($D115:$E115))),0)</f>
        <v>351871.02182970522</v>
      </c>
      <c r="AA115" s="31" cm="1">
        <f t="array" ref="AA115">AA$105+IF($C115&lt;&gt;0,SUMPRODUCT((AA$106:AA$107)*TRANSPOSE(($D115:$E115))),0)</f>
        <v>351871.02182970522</v>
      </c>
      <c r="AB115" s="31" cm="1">
        <f t="array" ref="AB115">AB$105+IF($C115&lt;&gt;0,SUMPRODUCT((AB$106:AB$107)*TRANSPOSE(($D115:$E115))),0)</f>
        <v>351871.02182970522</v>
      </c>
      <c r="AC115" s="31" cm="1">
        <f t="array" ref="AC115">AC$105+IF($C115&lt;&gt;0,SUMPRODUCT((AC$106:AC$107)*TRANSPOSE(($D115:$E115))),0)</f>
        <v>351871.02182970522</v>
      </c>
      <c r="AD115" s="31" cm="1">
        <f t="array" ref="AD115">AD$105+IF($C115&lt;&gt;0,SUMPRODUCT((AD$106:AD$107)*TRANSPOSE(($D115:$E115))),0)</f>
        <v>351871.02182970522</v>
      </c>
      <c r="AE115" s="31" cm="1">
        <f t="array" ref="AE115">AE$105+IF($C115&lt;&gt;0,SUMPRODUCT((AE$106:AE$107)*TRANSPOSE(($D115:$E115))),0)</f>
        <v>351871.02182970522</v>
      </c>
      <c r="AF115" s="31" cm="1">
        <f t="array" ref="AF115">AF$105+IF($C115&lt;&gt;0,SUMPRODUCT((AF$106:AF$107)*TRANSPOSE(($D115:$E115))),0)</f>
        <v>351871.02182970522</v>
      </c>
      <c r="AG115" s="31" cm="1">
        <f t="array" ref="AG115">AG$105+IF($C115&lt;&gt;0,SUMPRODUCT((AG$106:AG$107)*TRANSPOSE(($D115:$E115))),0)</f>
        <v>1829.0494594956981</v>
      </c>
    </row>
    <row r="116" spans="1:33" x14ac:dyDescent="0.2">
      <c r="A116" s="1" t="str">
        <f>"sens"&amp;Assumptions!B118</f>
        <v>sens</v>
      </c>
      <c r="C116" s="303">
        <f>Assumptions!C118</f>
        <v>0</v>
      </c>
      <c r="D116" s="304">
        <f>Assumptions!G118</f>
        <v>0</v>
      </c>
      <c r="E116" s="304">
        <f>Assumptions!H118</f>
        <v>0</v>
      </c>
      <c r="G116" s="38" t="str">
        <f t="shared" si="20"/>
        <v>Option 4sens</v>
      </c>
      <c r="I116" s="31" cm="1">
        <f t="array" ref="I116">I$105+IF($C116&lt;&gt;0,SUMPRODUCT((I$106:I$107)*TRANSPOSE(($D116:$E116))),0)</f>
        <v>700083.94474041834</v>
      </c>
      <c r="J116" s="31" cm="1">
        <f t="array" ref="J116">J$105+IF($C116&lt;&gt;0,SUMPRODUCT((J$106:J$107)*TRANSPOSE(($D116:$E116))),0)</f>
        <v>620572.07639880641</v>
      </c>
      <c r="K116" s="31" cm="1">
        <f t="array" ref="K116">K$105+IF($C116&lt;&gt;0,SUMPRODUCT((K$106:K$107)*TRANSPOSE(($D116:$E116))),0)</f>
        <v>541060.20805719437</v>
      </c>
      <c r="L116" s="31" cm="1">
        <f t="array" ref="L116">L$105+IF($C116&lt;&gt;0,SUMPRODUCT((L$106:L$107)*TRANSPOSE(($D116:$E116))),0)</f>
        <v>811590.31208579196</v>
      </c>
      <c r="M116" s="31" cm="1">
        <f t="array" ref="M116">M$105+IF($C116&lt;&gt;0,SUMPRODUCT((M$106:M$107)*TRANSPOSE(($D116:$E116))),0)</f>
        <v>734423.29777034023</v>
      </c>
      <c r="N116" s="31" cm="1">
        <f t="array" ref="N116">N$105+IF($C116&lt;&gt;0,SUMPRODUCT((N$106:N$107)*TRANSPOSE(($D116:$E116))),0)</f>
        <v>657256.28345488803</v>
      </c>
      <c r="O116" s="31" cm="1">
        <f t="array" ref="O116">O$105+IF($C116&lt;&gt;0,SUMPRODUCT((O$106:O$107)*TRANSPOSE(($D116:$E116))),0)</f>
        <v>582434.12316559628</v>
      </c>
      <c r="P116" s="31" cm="1">
        <f t="array" ref="P116">P$105+IF($C116&lt;&gt;0,SUMPRODUCT((P$106:P$107)*TRANSPOSE(($D116:$E116))),0)</f>
        <v>507611.96287630463</v>
      </c>
      <c r="Q116" s="31" cm="1">
        <f t="array" ref="Q116">Q$105+IF($C116&lt;&gt;0,SUMPRODUCT((Q$106:Q$107)*TRANSPOSE(($D116:$E116))),0)</f>
        <v>782831.77495722217</v>
      </c>
      <c r="R116" s="31" cm="1">
        <f t="array" ref="R116">R$105+IF($C116&lt;&gt;0,SUMPRODUCT((R$106:R$107)*TRANSPOSE(($D116:$E116))),0)</f>
        <v>710354.46869409061</v>
      </c>
      <c r="S116" s="31" cm="1">
        <f t="array" ref="S116">S$105+IF($C116&lt;&gt;0,SUMPRODUCT((S$106:S$107)*TRANSPOSE(($D116:$E116))),0)</f>
        <v>701912.99419991416</v>
      </c>
      <c r="T116" s="31" cm="1">
        <f t="array" ref="T116">T$105+IF($C116&lt;&gt;0,SUMPRODUCT((T$106:T$107)*TRANSPOSE(($D116:$E116))),0)</f>
        <v>701912.99419991416</v>
      </c>
      <c r="U116" s="31" cm="1">
        <f t="array" ref="U116">U$105+IF($C116&lt;&gt;0,SUMPRODUCT((U$106:U$107)*TRANSPOSE(($D116:$E116))),0)</f>
        <v>701912.99419991416</v>
      </c>
      <c r="V116" s="31" cm="1">
        <f t="array" ref="V116">V$105+IF($C116&lt;&gt;0,SUMPRODUCT((V$106:V$107)*TRANSPOSE(($D116:$E116))),0)</f>
        <v>351871.02182970522</v>
      </c>
      <c r="W116" s="31" cm="1">
        <f t="array" ref="W116">W$105+IF($C116&lt;&gt;0,SUMPRODUCT((W$106:W$107)*TRANSPOSE(($D116:$E116))),0)</f>
        <v>351871.02182970522</v>
      </c>
      <c r="X116" s="31" cm="1">
        <f t="array" ref="X116">X$105+IF($C116&lt;&gt;0,SUMPRODUCT((X$106:X$107)*TRANSPOSE(($D116:$E116))),0)</f>
        <v>351871.02182970522</v>
      </c>
      <c r="Y116" s="31" cm="1">
        <f t="array" ref="Y116">Y$105+IF($C116&lt;&gt;0,SUMPRODUCT((Y$106:Y$107)*TRANSPOSE(($D116:$E116))),0)</f>
        <v>351871.02182970522</v>
      </c>
      <c r="Z116" s="31" cm="1">
        <f t="array" ref="Z116">Z$105+IF($C116&lt;&gt;0,SUMPRODUCT((Z$106:Z$107)*TRANSPOSE(($D116:$E116))),0)</f>
        <v>351871.02182970522</v>
      </c>
      <c r="AA116" s="31" cm="1">
        <f t="array" ref="AA116">AA$105+IF($C116&lt;&gt;0,SUMPRODUCT((AA$106:AA$107)*TRANSPOSE(($D116:$E116))),0)</f>
        <v>351871.02182970522</v>
      </c>
      <c r="AB116" s="31" cm="1">
        <f t="array" ref="AB116">AB$105+IF($C116&lt;&gt;0,SUMPRODUCT((AB$106:AB$107)*TRANSPOSE(($D116:$E116))),0)</f>
        <v>351871.02182970522</v>
      </c>
      <c r="AC116" s="31" cm="1">
        <f t="array" ref="AC116">AC$105+IF($C116&lt;&gt;0,SUMPRODUCT((AC$106:AC$107)*TRANSPOSE(($D116:$E116))),0)</f>
        <v>351871.02182970522</v>
      </c>
      <c r="AD116" s="31" cm="1">
        <f t="array" ref="AD116">AD$105+IF($C116&lt;&gt;0,SUMPRODUCT((AD$106:AD$107)*TRANSPOSE(($D116:$E116))),0)</f>
        <v>351871.02182970522</v>
      </c>
      <c r="AE116" s="31" cm="1">
        <f t="array" ref="AE116">AE$105+IF($C116&lt;&gt;0,SUMPRODUCT((AE$106:AE$107)*TRANSPOSE(($D116:$E116))),0)</f>
        <v>351871.02182970522</v>
      </c>
      <c r="AF116" s="31" cm="1">
        <f t="array" ref="AF116">AF$105+IF($C116&lt;&gt;0,SUMPRODUCT((AF$106:AF$107)*TRANSPOSE(($D116:$E116))),0)</f>
        <v>351871.02182970522</v>
      </c>
      <c r="AG116" s="31" cm="1">
        <f t="array" ref="AG116">AG$105+IF($C116&lt;&gt;0,SUMPRODUCT((AG$106:AG$107)*TRANSPOSE(($D116:$E116))),0)</f>
        <v>1829.0494594956981</v>
      </c>
    </row>
  </sheetData>
  <conditionalFormatting sqref="E14:E16">
    <cfRule type="expression" dxfId="5" priority="53">
      <formula>AND(SUM($I14:$AB14)&lt;&gt;0, E14=0)</formula>
    </cfRule>
  </conditionalFormatting>
  <conditionalFormatting sqref="E27">
    <cfRule type="expression" dxfId="4" priority="1">
      <formula>AND(SUM($I$26:$AG$26)&gt;0, $E$27=0)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6"/>
  <sheetViews>
    <sheetView showGridLines="0" zoomScale="90" zoomScaleNormal="90" workbookViewId="0">
      <pane xSplit="7" ySplit="10" topLeftCell="H11" activePane="bottomRight" state="frozen"/>
      <selection activeCell="I24" sqref="I24"/>
      <selection pane="topRight" activeCell="I24" sqref="I24"/>
      <selection pane="bottomLeft" activeCell="I24" sqref="I24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Replace compound filled cable terminations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5" t="s">
        <v>183</v>
      </c>
      <c r="B3" s="5"/>
      <c r="C3" s="202" t="str">
        <f>INDEX(Assumptions!$E$14:$E$18, MATCH(A3,_xlfn.ANCHORARRAY( Assumptions!$C$14),0))</f>
        <v>Replace over 10 years (3% failure rate)</v>
      </c>
    </row>
    <row r="4" spans="1:43" x14ac:dyDescent="0.2">
      <c r="A4" s="203" t="str">
        <f>(INDEX(Data!$D$9:$D$13, MATCH(A3, options,0)))</f>
        <v/>
      </c>
      <c r="B4" s="189"/>
      <c r="C4" s="240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2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6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 spans="1:43" x14ac:dyDescent="0.2">
      <c r="A12" s="3"/>
      <c r="B12" s="3"/>
      <c r="C12" s="3"/>
      <c r="D12" s="3"/>
      <c r="G12" s="207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262</v>
      </c>
      <c r="D14"/>
      <c r="E14" s="151">
        <v>50</v>
      </c>
      <c r="G14" s="209">
        <f>input_dollars</f>
        <v>45291</v>
      </c>
      <c r="H14" s="152"/>
      <c r="I14" s="32">
        <f>INDEX(Workings_costs!G$13:G$17, MATCH($A$3, Workings_costs!$C$13:$C$17,0))*Workings_costs!$E$7</f>
        <v>1700000</v>
      </c>
      <c r="J14" s="32">
        <f>INDEX(Workings_costs!H$13:H$17, MATCH($A$3, Workings_costs!$C$13:$C$17,0))*Workings_costs!$E$7</f>
        <v>1700000</v>
      </c>
      <c r="K14" s="32">
        <f>INDEX(Workings_costs!I$13:I$17, MATCH($A$3, Workings_costs!$C$13:$C$17,0))*Workings_costs!$E$7</f>
        <v>1700000</v>
      </c>
      <c r="L14" s="32">
        <f>INDEX(Workings_costs!J$13:J$17, MATCH($A$3, Workings_costs!$C$13:$C$17,0))*Workings_costs!$E$7</f>
        <v>1700000</v>
      </c>
      <c r="M14" s="32">
        <f>INDEX(Workings_costs!K$13:K$17, MATCH($A$3, Workings_costs!$C$13:$C$17,0))*Workings_costs!$E$7</f>
        <v>1700000</v>
      </c>
      <c r="N14" s="32">
        <f>INDEX(Workings_costs!L$13:L$17, MATCH($A$3, Workings_costs!$C$13:$C$17,0))*Workings_costs!$E$7</f>
        <v>1700000</v>
      </c>
      <c r="O14" s="32">
        <f>INDEX(Workings_costs!M$13:M$17, MATCH($A$3, Workings_costs!$C$13:$C$17,0))*Workings_costs!$E$7</f>
        <v>1700000</v>
      </c>
      <c r="P14" s="32">
        <f>INDEX(Workings_costs!N$13:N$17, MATCH($A$3, Workings_costs!$C$13:$C$17,0))*Workings_costs!$E$7</f>
        <v>1700000</v>
      </c>
      <c r="Q14" s="32">
        <f>INDEX(Workings_costs!O$13:O$17, MATCH($A$3, Workings_costs!$C$13:$C$17,0))*Workings_costs!$E$7</f>
        <v>1197000</v>
      </c>
      <c r="R14" s="32">
        <f>INDEX(Workings_costs!P$13:P$17, MATCH($A$3, Workings_costs!$C$13:$C$17,0))*Workings_costs!$E$7</f>
        <v>0</v>
      </c>
      <c r="S14" s="32">
        <f>INDEX(Workings_costs!Q$13:Q$17, MATCH($A$3, Workings_costs!$C$13:$C$17,0))*Workings_costs!$E$7</f>
        <v>0</v>
      </c>
      <c r="T14" s="32">
        <f>INDEX(Workings_costs!R$13:R$17, MATCH($A$3, Workings_costs!$C$13:$C$17,0))*Workings_costs!$E$7</f>
        <v>0</v>
      </c>
      <c r="U14" s="32">
        <f>INDEX(Workings_costs!S$13:S$17, MATCH($A$3, Workings_costs!$C$13:$C$17,0))*Workings_costs!$E$7</f>
        <v>0</v>
      </c>
      <c r="V14" s="32">
        <f>INDEX(Workings_costs!T$13:T$17, MATCH($A$3, Workings_costs!$C$13:$C$17,0))*Workings_costs!$E$7</f>
        <v>0</v>
      </c>
      <c r="W14" s="32">
        <f>INDEX(Workings_costs!U$13:U$17, MATCH($A$3, Workings_costs!$C$13:$C$17,0))*Workings_costs!$E$7</f>
        <v>0</v>
      </c>
      <c r="X14" s="32">
        <f>INDEX(Workings_costs!V$13:V$17, MATCH($A$3, Workings_costs!$C$13:$C$17,0))*Workings_costs!$E$7</f>
        <v>0</v>
      </c>
      <c r="Y14" s="32">
        <f>INDEX(Workings_costs!W$13:W$17, MATCH($A$3, Workings_costs!$C$13:$C$17,0))*Workings_costs!$E$7</f>
        <v>0</v>
      </c>
      <c r="Z14" s="32">
        <f>INDEX(Workings_costs!X$13:X$17, MATCH($A$3, Workings_costs!$C$13:$C$17,0))*Workings_costs!$E$7</f>
        <v>0</v>
      </c>
      <c r="AA14" s="32">
        <f>INDEX(Workings_costs!Y$13:Y$17, MATCH($A$3, Workings_costs!$C$13:$C$17,0))*Workings_costs!$E$7</f>
        <v>0</v>
      </c>
      <c r="AB14" s="32">
        <f>INDEX(Workings_costs!Z$13:Z$17, MATCH($A$3, Workings_costs!$C$13:$C$17,0))*Workings_costs!$E$7</f>
        <v>0</v>
      </c>
      <c r="AC14" s="32">
        <f>INDEX(Workings_costs!AA$13:AA$17, MATCH($A$3, Workings_costs!$C$13:$C$17,0))*Workings_costs!$E$7</f>
        <v>0</v>
      </c>
      <c r="AD14" s="32">
        <f>INDEX(Workings_costs!AB$13:AB$17, MATCH($A$3, Workings_costs!$C$13:$C$17,0))*Workings_costs!$E$7</f>
        <v>0</v>
      </c>
      <c r="AE14" s="32">
        <f>INDEX(Workings_costs!AC$13:AC$17, MATCH($A$3, Workings_costs!$C$13:$C$17,0))*Workings_costs!$E$7</f>
        <v>0</v>
      </c>
      <c r="AF14" s="32">
        <f>INDEX(Workings_costs!AD$13:AD$17, MATCH($A$3, Workings_costs!$C$13:$C$17,0))*Workings_costs!$E$7</f>
        <v>0</v>
      </c>
      <c r="AG14" s="32">
        <f>INDEX(Workings_costs!AE$13:AE$17, MATCH($A$3, Workings_costs!$C$13:$C$17,0))*Workings_costs!$E$7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247</v>
      </c>
      <c r="D15"/>
      <c r="E15" s="151">
        <v>50</v>
      </c>
      <c r="G15" s="209">
        <f>input_dollars</f>
        <v>45291</v>
      </c>
      <c r="H15" s="2"/>
      <c r="I15" s="32">
        <f>I$24*Workings_costs!$E$9</f>
        <v>275000</v>
      </c>
      <c r="J15" s="32">
        <f>J$24*Workings_costs!$E$9</f>
        <v>220000</v>
      </c>
      <c r="K15" s="32">
        <f>K$24*Workings_costs!$E$9</f>
        <v>220000</v>
      </c>
      <c r="L15" s="32">
        <f>L$24*Workings_costs!$E$9</f>
        <v>165000</v>
      </c>
      <c r="M15" s="32">
        <f>M$24*Workings_costs!$E$9</f>
        <v>165000</v>
      </c>
      <c r="N15" s="32">
        <f>N$24*Workings_costs!$E$9</f>
        <v>110000</v>
      </c>
      <c r="O15" s="32">
        <f>O$24*Workings_costs!$E$9</f>
        <v>55000</v>
      </c>
      <c r="P15" s="32">
        <f>P$24*Workings_costs!$E$9</f>
        <v>55000</v>
      </c>
      <c r="Q15" s="32">
        <f>INDEX(Workings_costs!O$21:O$25, MATCH($A$3, Workings_costs!$C$21:$C$25,0))*Workings_costs!$E$9</f>
        <v>0</v>
      </c>
      <c r="R15" s="32">
        <f>INDEX(Workings_costs!P$21:P$25, MATCH($A$3, Workings_costs!$C$21:$C$25,0))*Workings_costs!$E$9</f>
        <v>0</v>
      </c>
      <c r="S15" s="32">
        <f>INDEX(Workings_costs!Q$21:Q$25, MATCH($A$3, Workings_costs!$C$21:$C$25,0))*Workings_costs!$E$9</f>
        <v>0</v>
      </c>
      <c r="T15" s="32">
        <f>INDEX(Workings_costs!R$21:R$25, MATCH($A$3, Workings_costs!$C$21:$C$25,0))*Workings_costs!$E$9</f>
        <v>0</v>
      </c>
      <c r="U15" s="32">
        <f>INDEX(Workings_costs!S$21:S$25, MATCH($A$3, Workings_costs!$C$21:$C$25,0))*Workings_costs!$E$9</f>
        <v>0</v>
      </c>
      <c r="V15" s="32">
        <f>INDEX(Workings_costs!T$21:T$25, MATCH($A$3, Workings_costs!$C$21:$C$25,0))*Workings_costs!$E$9</f>
        <v>0</v>
      </c>
      <c r="W15" s="32">
        <f>INDEX(Workings_costs!U$21:U$25, MATCH($A$3, Workings_costs!$C$21:$C$25,0))*Workings_costs!$E$9</f>
        <v>0</v>
      </c>
      <c r="X15" s="32">
        <f>INDEX(Workings_costs!V$21:V$25, MATCH($A$3, Workings_costs!$C$21:$C$25,0))*Workings_costs!$E$9</f>
        <v>0</v>
      </c>
      <c r="Y15" s="32">
        <f>INDEX(Workings_costs!W$21:W$25, MATCH($A$3, Workings_costs!$C$21:$C$25,0))*Workings_costs!$E$9</f>
        <v>0</v>
      </c>
      <c r="Z15" s="32">
        <f>INDEX(Workings_costs!X$21:X$25, MATCH($A$3, Workings_costs!$C$21:$C$25,0))*Workings_costs!$E$9</f>
        <v>0</v>
      </c>
      <c r="AA15" s="32">
        <f>INDEX(Workings_costs!Y$21:Y$25, MATCH($A$3, Workings_costs!$C$21:$C$25,0))*Workings_costs!$E$9</f>
        <v>0</v>
      </c>
      <c r="AB15" s="32">
        <f>INDEX(Workings_costs!Z$21:Z$25, MATCH($A$3, Workings_costs!$C$21:$C$25,0))*Workings_costs!$E$9</f>
        <v>0</v>
      </c>
      <c r="AC15" s="32">
        <f>INDEX(Workings_costs!AA$21:AA$25, MATCH($A$3, Workings_costs!$C$21:$C$25,0))*Workings_costs!$E$9</f>
        <v>0</v>
      </c>
      <c r="AD15" s="32">
        <f>INDEX(Workings_costs!AB$21:AB$25, MATCH($A$3, Workings_costs!$C$21:$C$25,0))*Workings_costs!$E$9</f>
        <v>0</v>
      </c>
      <c r="AE15" s="32">
        <f>INDEX(Workings_costs!AC$21:AC$25, MATCH($A$3, Workings_costs!$C$21:$C$25,0))*Workings_costs!$E$9</f>
        <v>0</v>
      </c>
      <c r="AF15" s="32">
        <f>INDEX(Workings_costs!AD$21:AD$25, MATCH($A$3, Workings_costs!$C$21:$C$25,0))*Workings_costs!$E$9</f>
        <v>0</v>
      </c>
      <c r="AG15" s="32">
        <f>INDEX(Workings_costs!AE$21:AE$25, MATCH($A$3, Workings_costs!$C$21:$C$25,0))*Workings_costs!$E$9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09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9">
        <f>input_dollars</f>
        <v>45291</v>
      </c>
      <c r="H17" s="107"/>
      <c r="I17" s="106">
        <f t="shared" ref="I17:Q17" si="0">SUM(I14:I16)</f>
        <v>1975000</v>
      </c>
      <c r="J17" s="106">
        <f t="shared" si="0"/>
        <v>1920000</v>
      </c>
      <c r="K17" s="106">
        <f>SUM(K14:K16)</f>
        <v>1920000</v>
      </c>
      <c r="L17" s="106">
        <f t="shared" si="0"/>
        <v>1865000</v>
      </c>
      <c r="M17" s="106">
        <f t="shared" si="0"/>
        <v>1865000</v>
      </c>
      <c r="N17" s="106">
        <f t="shared" si="0"/>
        <v>1810000</v>
      </c>
      <c r="O17" s="106">
        <f t="shared" si="0"/>
        <v>1755000</v>
      </c>
      <c r="P17" s="106">
        <f t="shared" si="0"/>
        <v>1755000</v>
      </c>
      <c r="Q17" s="106">
        <f t="shared" si="0"/>
        <v>1197000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9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7"/>
      <c r="AH20"/>
      <c r="AI20"/>
      <c r="AJ20"/>
      <c r="AK20"/>
    </row>
    <row r="21" spans="1:43" x14ac:dyDescent="0.2">
      <c r="C21"/>
      <c r="D21"/>
      <c r="E21"/>
      <c r="G21" s="20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6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268</v>
      </c>
      <c r="D24" s="111"/>
      <c r="E24" s="111"/>
      <c r="F24" s="111"/>
      <c r="G24" s="210"/>
      <c r="H24" s="111"/>
      <c r="I24" s="32">
        <f>INDEX(Workings_costs!G$21:G$25, MATCH($A$3, Workings_costs!$C$21:$C$25,0))</f>
        <v>5</v>
      </c>
      <c r="J24" s="32">
        <f>INDEX(Workings_costs!H$21:H$25, MATCH($A$3, Workings_costs!$C$21:$C$25,0))</f>
        <v>4</v>
      </c>
      <c r="K24" s="32">
        <f>INDEX(Workings_costs!I$21:I$25, MATCH($A$3, Workings_costs!$C$21:$C$25,0))</f>
        <v>4</v>
      </c>
      <c r="L24" s="32">
        <f>INDEX(Workings_costs!J$21:J$25, MATCH($A$3, Workings_costs!$C$21:$C$25,0))</f>
        <v>3</v>
      </c>
      <c r="M24" s="32">
        <f>INDEX(Workings_costs!K$21:K$25, MATCH($A$3, Workings_costs!$C$21:$C$25,0))</f>
        <v>3</v>
      </c>
      <c r="N24" s="32">
        <f>INDEX(Workings_costs!L$21:L$25, MATCH($A$3, Workings_costs!$C$21:$C$25,0))</f>
        <v>2</v>
      </c>
      <c r="O24" s="32">
        <f>INDEX(Workings_costs!M$21:M$25, MATCH($A$3, Workings_costs!$C$21:$C$25,0))</f>
        <v>1</v>
      </c>
      <c r="P24" s="32">
        <f>INDEX(Workings_costs!N$21:N$25, MATCH($A$3, Workings_costs!$C$21:$C$25,0))</f>
        <v>1</v>
      </c>
      <c r="Q24" s="32">
        <f>INDEX(Workings_costs!O$21:O$25, MATCH($A$3, Workings_costs!$C$21:$C$25,0))</f>
        <v>0</v>
      </c>
      <c r="R24" s="32">
        <f>INDEX(Workings_costs!P$21:P$25, MATCH($A$3, Workings_costs!$C$21:$C$25,0))</f>
        <v>0</v>
      </c>
      <c r="S24" s="32">
        <f>INDEX(Workings_costs!Q$21:Q$25, MATCH($A$3, Workings_costs!$C$21:$C$25,0))</f>
        <v>0</v>
      </c>
      <c r="T24" s="32">
        <f>INDEX(Workings_costs!R$21:R$25, MATCH($A$3, Workings_costs!$C$21:$C$25,0))</f>
        <v>0</v>
      </c>
      <c r="U24" s="32">
        <f>INDEX(Workings_costs!S$21:S$25, MATCH($A$3, Workings_costs!$C$21:$C$25,0))</f>
        <v>0</v>
      </c>
      <c r="V24" s="32">
        <f>INDEX(Workings_costs!T$21:T$25, MATCH($A$3, Workings_costs!$C$21:$C$25,0))</f>
        <v>0</v>
      </c>
      <c r="W24" s="32">
        <f>INDEX(Workings_costs!U$21:U$25, MATCH($A$3, Workings_costs!$C$21:$C$25,0))</f>
        <v>0</v>
      </c>
      <c r="X24" s="32">
        <f>INDEX(Workings_costs!V$21:V$25, MATCH($A$3, Workings_costs!$C$21:$C$25,0))</f>
        <v>0</v>
      </c>
      <c r="Y24" s="32">
        <f>INDEX(Workings_costs!W$21:W$25, MATCH($A$3, Workings_costs!$C$21:$C$25,0))</f>
        <v>0</v>
      </c>
      <c r="Z24" s="32">
        <f>INDEX(Workings_costs!X$21:X$25, MATCH($A$3, Workings_costs!$C$21:$C$25,0))</f>
        <v>0</v>
      </c>
      <c r="AA24" s="32">
        <f>INDEX(Workings_costs!Y$21:Y$25, MATCH($A$3, Workings_costs!$C$21:$C$25,0))</f>
        <v>0</v>
      </c>
      <c r="AB24" s="32">
        <f>INDEX(Workings_costs!Z$21:Z$25, MATCH($A$3, Workings_costs!$C$21:$C$25,0))</f>
        <v>0</v>
      </c>
      <c r="AC24" s="32">
        <f>INDEX(Workings_costs!AA$21:AA$25, MATCH($A$3, Workings_costs!$C$21:$C$25,0))</f>
        <v>0</v>
      </c>
      <c r="AD24" s="32">
        <f>INDEX(Workings_costs!AB$21:AB$25, MATCH($A$3, Workings_costs!$C$21:$C$25,0))</f>
        <v>0</v>
      </c>
      <c r="AE24" s="32">
        <f>INDEX(Workings_costs!AC$21:AC$25, MATCH($A$3, Workings_costs!$C$21:$C$25,0))</f>
        <v>0</v>
      </c>
      <c r="AF24" s="32">
        <f>INDEX(Workings_costs!AD$21:AD$25, MATCH($A$3, Workings_costs!$C$21:$C$25,0))</f>
        <v>0</v>
      </c>
      <c r="AG24" s="32">
        <f>INDEX(Workings_costs!AE$21:AE$25, MATCH($A$3, Workings_costs!$C$21:$C$25,0))</f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11"/>
      <c r="D25" s="210"/>
      <c r="E25" s="111"/>
      <c r="F25" s="111"/>
      <c r="G25" s="210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/>
      <c r="AI25"/>
      <c r="AJ25"/>
      <c r="AK25"/>
      <c r="AL25"/>
      <c r="AM25"/>
      <c r="AN25"/>
      <c r="AO25"/>
      <c r="AP25"/>
      <c r="AQ25"/>
    </row>
    <row r="26" spans="1:43" x14ac:dyDescent="0.2">
      <c r="C26" s="1" t="s">
        <v>123</v>
      </c>
      <c r="D26" s="207"/>
      <c r="E26"/>
      <c r="G26" s="209" t="s">
        <v>40</v>
      </c>
      <c r="H26"/>
      <c r="I26" s="334">
        <f>I24*Workings_risks!$E$9*Workings_risks!$E$11/60</f>
        <v>22.154999999999998</v>
      </c>
      <c r="J26" s="334">
        <f>J24*Workings_risks!$E$9*Workings_risks!$E$11/60</f>
        <v>17.723999999999997</v>
      </c>
      <c r="K26" s="334">
        <f>K24*Workings_risks!$E$9*Workings_risks!$E$11/60</f>
        <v>17.723999999999997</v>
      </c>
      <c r="L26" s="334">
        <f>L24*Workings_risks!$E$9*Workings_risks!$E$11/60</f>
        <v>13.293000000000001</v>
      </c>
      <c r="M26" s="334">
        <f>M24*Workings_risks!$E$9*Workings_risks!$E$11/60</f>
        <v>13.293000000000001</v>
      </c>
      <c r="N26" s="334">
        <f>N24*Workings_risks!$E$9*Workings_risks!$E$11/60</f>
        <v>8.8619999999999983</v>
      </c>
      <c r="O26" s="334">
        <f>O24*Workings_risks!$E$9*Workings_risks!$E$11/60</f>
        <v>4.4309999999999992</v>
      </c>
      <c r="P26" s="334">
        <f>P24*Workings_risks!$E$9*Workings_risks!$E$11/60</f>
        <v>4.4309999999999992</v>
      </c>
      <c r="Q26" s="334">
        <f>Q24*Workings_risks!$E$9*Workings_risks!$E$11/60</f>
        <v>0</v>
      </c>
      <c r="R26" s="334">
        <f>R24*Workings_risks!$E$9*Workings_risks!$E$11/60</f>
        <v>0</v>
      </c>
      <c r="S26" s="334">
        <f>S24*Workings_risks!$E$9*Workings_risks!$E$11/60</f>
        <v>0</v>
      </c>
      <c r="T26" s="334">
        <f>T24*Workings_risks!$E$9*Workings_risks!$E$11/60</f>
        <v>0</v>
      </c>
      <c r="U26" s="334">
        <f>U24*Workings_risks!$E$9*Workings_risks!$E$11/60</f>
        <v>0</v>
      </c>
      <c r="V26" s="334">
        <f>V24*Workings_risks!$E$9*Workings_risks!$E$11/60</f>
        <v>0</v>
      </c>
      <c r="W26" s="334">
        <f>W24*Workings_risks!$E$9*Workings_risks!$E$11/60</f>
        <v>0</v>
      </c>
      <c r="X26" s="334">
        <f>X24*Workings_risks!$E$9*Workings_risks!$E$11/60</f>
        <v>0</v>
      </c>
      <c r="Y26" s="334">
        <f>Y24*Workings_risks!$E$9*Workings_risks!$E$11/60</f>
        <v>0</v>
      </c>
      <c r="Z26" s="334">
        <f>Z24*Workings_risks!$E$9*Workings_risks!$E$11/60</f>
        <v>0</v>
      </c>
      <c r="AA26" s="334">
        <f>AA24*Workings_risks!$E$9*Workings_risks!$E$11/60</f>
        <v>0</v>
      </c>
      <c r="AB26" s="334">
        <f>AB24*Workings_risks!$E$9*Workings_risks!$E$11/60</f>
        <v>0</v>
      </c>
      <c r="AC26" s="334">
        <f>AC24*Workings_risks!$E$9*Workings_risks!$E$11/60</f>
        <v>0</v>
      </c>
      <c r="AD26" s="334">
        <f>AD24*Workings_risks!$E$9*Workings_risks!$E$11/60</f>
        <v>0</v>
      </c>
      <c r="AE26" s="334">
        <f>AE24*Workings_risks!$E$9*Workings_risks!$E$11/60</f>
        <v>0</v>
      </c>
      <c r="AF26" s="334">
        <f>AF24*Workings_risks!$E$9*Workings_risks!$E$11/60</f>
        <v>0</v>
      </c>
      <c r="AG26" s="334">
        <f>AG24*Workings_risks!$E$9*Workings_risks!$E$11/60</f>
        <v>0</v>
      </c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124</v>
      </c>
      <c r="D27" s="207" t="s">
        <v>63</v>
      </c>
      <c r="E27" s="113">
        <f>Assumptions!H41*vcr_esc</f>
        <v>47819.790378690712</v>
      </c>
      <c r="F27" s="240" t="str">
        <f>IF(AND(SUM(I26:AG26)&lt;&gt;0, E27=0), "!", "")</f>
        <v/>
      </c>
      <c r="G27" s="209">
        <f>input_dollars</f>
        <v>45291</v>
      </c>
      <c r="H27"/>
      <c r="I27" s="119">
        <f>I26*$E$27*Workings_risks!$E$15</f>
        <v>1515009.8618510463</v>
      </c>
      <c r="J27" s="119">
        <f>J26*$E$27*Workings_risks!$E$15</f>
        <v>1212007.8894808369</v>
      </c>
      <c r="K27" s="119">
        <f>K26*$E$27*Workings_risks!$E$15</f>
        <v>1212007.8894808369</v>
      </c>
      <c r="L27" s="119">
        <f>L26*$E$27*Workings_risks!$E$15</f>
        <v>909005.9171106281</v>
      </c>
      <c r="M27" s="119">
        <f>M26*$E$27*Workings_risks!$E$15</f>
        <v>909005.9171106281</v>
      </c>
      <c r="N27" s="119">
        <f>N26*$E$27*Workings_risks!$E$15</f>
        <v>606003.94474041846</v>
      </c>
      <c r="O27" s="119">
        <f>O26*$E$27*Workings_risks!$E$15</f>
        <v>303001.97237020923</v>
      </c>
      <c r="P27" s="119">
        <f>P26*$E$27*Workings_risks!$E$15</f>
        <v>303001.97237020923</v>
      </c>
      <c r="Q27" s="119">
        <f>Q26*$E$27*Workings_risks!$E$15</f>
        <v>0</v>
      </c>
      <c r="R27" s="119">
        <f>R26*$E$27*Workings_risks!$E$15</f>
        <v>0</v>
      </c>
      <c r="S27" s="119">
        <f>S26*$E$27*Workings_risks!$E$15</f>
        <v>0</v>
      </c>
      <c r="T27" s="119">
        <f>T26*$E$27*Workings_risks!$E$15</f>
        <v>0</v>
      </c>
      <c r="U27" s="119">
        <f>U26*$E$27*Workings_risks!$E$15</f>
        <v>0</v>
      </c>
      <c r="V27" s="119">
        <f>V26*$E$27*Workings_risks!$E$15</f>
        <v>0</v>
      </c>
      <c r="W27" s="119">
        <f>W26*$E$27*Workings_risks!$E$15</f>
        <v>0</v>
      </c>
      <c r="X27" s="119">
        <f>X26*$E$27*Workings_risks!$E$15</f>
        <v>0</v>
      </c>
      <c r="Y27" s="119">
        <f>Y26*$E$27*Workings_risks!$E$15</f>
        <v>0</v>
      </c>
      <c r="Z27" s="119">
        <f>Z26*$E$27*Workings_risks!$E$15</f>
        <v>0</v>
      </c>
      <c r="AA27" s="119">
        <f>AA26*$E$27*Workings_risks!$E$15</f>
        <v>0</v>
      </c>
      <c r="AB27" s="119">
        <f>AB26*$E$27*Workings_risks!$E$15</f>
        <v>0</v>
      </c>
      <c r="AC27" s="119">
        <f>AC26*$E$27*Workings_risks!$E$15</f>
        <v>0</v>
      </c>
      <c r="AD27" s="119">
        <f>AD26*$E$27*Workings_risks!$E$15</f>
        <v>0</v>
      </c>
      <c r="AE27" s="119">
        <f>AE26*$E$27*Workings_risks!$E$15</f>
        <v>0</v>
      </c>
      <c r="AF27" s="119">
        <f>AF26*$E$27*Workings_risks!$E$15</f>
        <v>0</v>
      </c>
      <c r="AG27" s="119">
        <f>AG26*$E$27*Workings_risks!$E$15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D28" s="208"/>
      <c r="E28"/>
      <c r="G28" s="20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">
      <c r="C29" s="1" t="s">
        <v>114</v>
      </c>
      <c r="D29" s="207" t="s">
        <v>206</v>
      </c>
      <c r="G29" s="209">
        <f>input_dollars</f>
        <v>45291</v>
      </c>
      <c r="H29" s="152"/>
      <c r="I29" s="32">
        <f>I$24*Workings_risks!$E17</f>
        <v>167450</v>
      </c>
      <c r="J29" s="32">
        <f>J$24*Workings_risks!$E17</f>
        <v>133960</v>
      </c>
      <c r="K29" s="32">
        <f>K$24*Workings_risks!$E17</f>
        <v>133960</v>
      </c>
      <c r="L29" s="32">
        <f>L$24*Workings_risks!$E17</f>
        <v>100470</v>
      </c>
      <c r="M29" s="32">
        <f>M$24*Workings_risks!$E17</f>
        <v>100470</v>
      </c>
      <c r="N29" s="32">
        <f>N$24*Workings_risks!$E17</f>
        <v>66980</v>
      </c>
      <c r="O29" s="32">
        <f>O$24*Workings_risks!$E17</f>
        <v>33490</v>
      </c>
      <c r="P29" s="32">
        <f>P$24*Workings_risks!$E17</f>
        <v>33490</v>
      </c>
      <c r="Q29" s="32">
        <f>Q$24*Workings_risks!$E17</f>
        <v>0</v>
      </c>
      <c r="R29" s="32">
        <f>R$24*Workings_risks!$E17</f>
        <v>0</v>
      </c>
      <c r="S29" s="32">
        <f>S$24*Workings_risks!$E17</f>
        <v>0</v>
      </c>
      <c r="T29" s="32">
        <f>T$24*Workings_risks!$E17</f>
        <v>0</v>
      </c>
      <c r="U29" s="32">
        <f>U$24*Workings_risks!$E17</f>
        <v>0</v>
      </c>
      <c r="V29" s="32">
        <f>V$24*Workings_risks!$E17</f>
        <v>0</v>
      </c>
      <c r="W29" s="32">
        <f>W$24*Workings_risks!$E17</f>
        <v>0</v>
      </c>
      <c r="X29" s="32">
        <f>X$24*Workings_risks!$E17</f>
        <v>0</v>
      </c>
      <c r="Y29" s="32">
        <f>Y$24*Workings_risks!$E17</f>
        <v>0</v>
      </c>
      <c r="Z29" s="32">
        <f>Z$24*Workings_risks!$E17</f>
        <v>0</v>
      </c>
      <c r="AA29" s="32">
        <f>AA$24*Workings_risks!$E17</f>
        <v>0</v>
      </c>
      <c r="AB29" s="32">
        <f>AB$24*Workings_risks!$E17</f>
        <v>0</v>
      </c>
      <c r="AC29" s="32">
        <f>AC$24*Workings_risks!$E17</f>
        <v>0</v>
      </c>
      <c r="AD29" s="32">
        <f>AD$24*Workings_risks!$E17</f>
        <v>0</v>
      </c>
      <c r="AE29" s="32">
        <f>AE$24*Workings_risks!$E17</f>
        <v>0</v>
      </c>
      <c r="AF29" s="32">
        <f>AF$24*Workings_risks!$E17</f>
        <v>0</v>
      </c>
      <c r="AG29" s="32">
        <f>AG$24*Workings_risks!$E17</f>
        <v>0</v>
      </c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116</v>
      </c>
      <c r="D30" s="208"/>
      <c r="E30"/>
      <c r="G30" s="209">
        <f>input_dollars</f>
        <v>45291</v>
      </c>
      <c r="H30" s="152"/>
      <c r="I30" s="32" cm="1">
        <f t="array" ref="I30">(1+Assumptions!$G$81)*SUMPRODUCT((Assumptions!$G$78:$G$79)*('Option1 (base case)'!I$24:I$24))</f>
        <v>0</v>
      </c>
      <c r="J30" s="32" cm="1">
        <f t="array" ref="J30">(1+Assumptions!$G$81)*SUMPRODUCT((Assumptions!$G$78:$G$79)*('Option1 (base case)'!J$24:J$24))</f>
        <v>0</v>
      </c>
      <c r="K30" s="32" cm="1">
        <f t="array" ref="K30">(1+Assumptions!$G$81)*SUMPRODUCT((Assumptions!$G$78:$G$79)*('Option1 (base case)'!K$24:K$24))</f>
        <v>0</v>
      </c>
      <c r="L30" s="32" cm="1">
        <f t="array" ref="L30">(1+Assumptions!$G$81)*SUMPRODUCT((Assumptions!$G$78:$G$79)*('Option1 (base case)'!L$24:L$24))</f>
        <v>0</v>
      </c>
      <c r="M30" s="32" cm="1">
        <f t="array" ref="M30">(1+Assumptions!$G$81)*SUMPRODUCT((Assumptions!$G$78:$G$79)*('Option1 (base case)'!M$24:M$24))</f>
        <v>0</v>
      </c>
      <c r="N30" s="32" cm="1">
        <f t="array" ref="N30">(1+Assumptions!$G$81)*SUMPRODUCT((Assumptions!$G$78:$G$79)*('Option1 (base case)'!N$24:N$24))</f>
        <v>0</v>
      </c>
      <c r="O30" s="32" cm="1">
        <f t="array" ref="O30">(1+Assumptions!$G$81)*SUMPRODUCT((Assumptions!$G$78:$G$79)*('Option1 (base case)'!O$24:O$24))</f>
        <v>0</v>
      </c>
      <c r="P30" s="32" cm="1">
        <f t="array" ref="P30">(1+Assumptions!$G$81)*SUMPRODUCT((Assumptions!$G$78:$G$79)*('Option1 (base case)'!P$24:P$24))</f>
        <v>0</v>
      </c>
      <c r="Q30" s="32" cm="1">
        <f t="array" ref="Q30">(1+Assumptions!$G$81)*SUMPRODUCT((Assumptions!$G$78:$G$79)*('Option1 (base case)'!Q$24:Q$24))</f>
        <v>0</v>
      </c>
      <c r="R30" s="32" cm="1">
        <f t="array" ref="R30">(1+Assumptions!$G$81)*SUMPRODUCT((Assumptions!$G$78:$G$79)*('Option1 (base case)'!R$24:R$24))</f>
        <v>0</v>
      </c>
      <c r="S30" s="32" cm="1">
        <f t="array" ref="S30">(1+Assumptions!$G$81)*SUMPRODUCT((Assumptions!$G$78:$G$79)*('Option1 (base case)'!S$24:S$24))</f>
        <v>0</v>
      </c>
      <c r="T30" s="32" cm="1">
        <f t="array" ref="T30">(1+Assumptions!$G$81)*SUMPRODUCT((Assumptions!$G$78:$G$79)*('Option1 (base case)'!T$24:T$24))</f>
        <v>0</v>
      </c>
      <c r="U30" s="32" cm="1">
        <f t="array" ref="U30">(1+Assumptions!$G$81)*SUMPRODUCT((Assumptions!$G$78:$G$79)*('Option1 (base case)'!U$24:U$24))</f>
        <v>0</v>
      </c>
      <c r="V30" s="32" cm="1">
        <f t="array" ref="V30">(1+Assumptions!$G$81)*SUMPRODUCT((Assumptions!$G$78:$G$79)*('Option1 (base case)'!V$24:V$24))</f>
        <v>0</v>
      </c>
      <c r="W30" s="32" cm="1">
        <f t="array" ref="W30">(1+Assumptions!$G$81)*SUMPRODUCT((Assumptions!$G$78:$G$79)*('Option1 (base case)'!W$24:W$24))</f>
        <v>0</v>
      </c>
      <c r="X30" s="32" cm="1">
        <f t="array" ref="X30">(1+Assumptions!$G$81)*SUMPRODUCT((Assumptions!$G$78:$G$79)*('Option1 (base case)'!X$24:X$24))</f>
        <v>0</v>
      </c>
      <c r="Y30" s="32" cm="1">
        <f t="array" ref="Y30">(1+Assumptions!$G$81)*SUMPRODUCT((Assumptions!$G$78:$G$79)*('Option1 (base case)'!Y$24:Y$24))</f>
        <v>0</v>
      </c>
      <c r="Z30" s="32" cm="1">
        <f t="array" ref="Z30">(1+Assumptions!$G$81)*SUMPRODUCT((Assumptions!$G$78:$G$79)*('Option1 (base case)'!Z$24:Z$24))</f>
        <v>0</v>
      </c>
      <c r="AA30" s="32" cm="1">
        <f t="array" ref="AA30">(1+Assumptions!$G$81)*SUMPRODUCT((Assumptions!$G$78:$G$79)*('Option1 (base case)'!AA$24:AA$24))</f>
        <v>0</v>
      </c>
      <c r="AB30" s="32" cm="1">
        <f t="array" ref="AB30">(1+Assumptions!$G$81)*SUMPRODUCT((Assumptions!$G$78:$G$79)*('Option1 (base case)'!AB$24:AB$24))</f>
        <v>0</v>
      </c>
      <c r="AC30" s="32" cm="1">
        <f t="array" ref="AC30">(1+Assumptions!$G$81)*SUMPRODUCT((Assumptions!$G$78:$G$79)*('Option1 (base case)'!AC$24:AC$24))</f>
        <v>0</v>
      </c>
      <c r="AD30" s="32" cm="1">
        <f t="array" ref="AD30">(1+Assumptions!$G$81)*SUMPRODUCT((Assumptions!$G$78:$G$79)*('Option1 (base case)'!AD$24:AD$24))</f>
        <v>0</v>
      </c>
      <c r="AE30" s="32" cm="1">
        <f t="array" ref="AE30">(1+Assumptions!$G$81)*SUMPRODUCT((Assumptions!$G$78:$G$79)*('Option1 (base case)'!AE$24:AE$24))</f>
        <v>0</v>
      </c>
      <c r="AF30" s="32" cm="1">
        <f t="array" ref="AF30">(1+Assumptions!$G$81)*SUMPRODUCT((Assumptions!$G$78:$G$79)*('Option1 (base case)'!AF$24:AF$24))</f>
        <v>0</v>
      </c>
      <c r="AG30" s="32" cm="1">
        <f t="array" ref="AG30">(1+Assumptions!$G$81)*SUMPRODUCT((Assumptions!$G$78:$G$79)*('Option1 (base case)'!AG$24:AG$24))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115</v>
      </c>
      <c r="D31" s="207" t="s">
        <v>206</v>
      </c>
      <c r="E31"/>
      <c r="G31" s="209">
        <f>input_dollars</f>
        <v>45291</v>
      </c>
      <c r="H31"/>
      <c r="I31" s="32">
        <f>I$24*Workings_risks!$E19</f>
        <v>2750</v>
      </c>
      <c r="J31" s="32">
        <f>J$24*Workings_risks!$E19</f>
        <v>2200</v>
      </c>
      <c r="K31" s="32">
        <f>K$24*Workings_risks!$E19</f>
        <v>2200</v>
      </c>
      <c r="L31" s="32">
        <f>L$24*Workings_risks!$E19</f>
        <v>1650</v>
      </c>
      <c r="M31" s="32">
        <f>M$24*Workings_risks!$E19</f>
        <v>1650</v>
      </c>
      <c r="N31" s="32">
        <f>N$24*Workings_risks!$E19</f>
        <v>1100</v>
      </c>
      <c r="O31" s="32">
        <f>O$24*Workings_risks!$E19</f>
        <v>550</v>
      </c>
      <c r="P31" s="32">
        <f>P$24*Workings_risks!$E19</f>
        <v>550</v>
      </c>
      <c r="Q31" s="32">
        <f>Q$24*Workings_risks!$E19</f>
        <v>0</v>
      </c>
      <c r="R31" s="32">
        <f>R$24*Workings_risks!$E19</f>
        <v>0</v>
      </c>
      <c r="S31" s="32">
        <f>S$24*Workings_risks!$E19</f>
        <v>0</v>
      </c>
      <c r="T31" s="32">
        <f>T$24*Workings_risks!$E19</f>
        <v>0</v>
      </c>
      <c r="U31" s="32">
        <f>U$24*Workings_risks!$E19</f>
        <v>0</v>
      </c>
      <c r="V31" s="32">
        <f>V$24*Workings_risks!$E19</f>
        <v>0</v>
      </c>
      <c r="W31" s="32">
        <f>W$24*Workings_risks!$E19</f>
        <v>0</v>
      </c>
      <c r="X31" s="32">
        <f>X$24*Workings_risks!$E19</f>
        <v>0</v>
      </c>
      <c r="Y31" s="32">
        <f>Y$24*Workings_risks!$E19</f>
        <v>0</v>
      </c>
      <c r="Z31" s="32">
        <f>Z$24*Workings_risks!$E19</f>
        <v>0</v>
      </c>
      <c r="AA31" s="32">
        <f>AA$24*Workings_risks!$E19</f>
        <v>0</v>
      </c>
      <c r="AB31" s="32">
        <f>AB$24*Workings_risks!$E19</f>
        <v>0</v>
      </c>
      <c r="AC31" s="32">
        <f>AC$24*Workings_risks!$E19</f>
        <v>0</v>
      </c>
      <c r="AD31" s="32">
        <f>AD$24*Workings_risks!$E19</f>
        <v>0</v>
      </c>
      <c r="AE31" s="32">
        <f>AE$24*Workings_risks!$E19</f>
        <v>0</v>
      </c>
      <c r="AF31" s="32">
        <f>AF$24*Workings_risks!$E19</f>
        <v>0</v>
      </c>
      <c r="AG31" s="32">
        <f>AG$24*Workings_risks!$E19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7" t="s">
        <v>171</v>
      </c>
      <c r="D32" s="221"/>
      <c r="E32"/>
      <c r="G32" s="209">
        <f>input_dollars</f>
        <v>45291</v>
      </c>
      <c r="H32"/>
      <c r="I32" s="32">
        <f>I$24*Workings_risks!$E21</f>
        <v>65000</v>
      </c>
      <c r="J32" s="32">
        <f>J$24*Workings_risks!$E21</f>
        <v>52000</v>
      </c>
      <c r="K32" s="32">
        <f>K$24*Workings_risks!$E21</f>
        <v>52000</v>
      </c>
      <c r="L32" s="32">
        <f>L$24*Workings_risks!$E21</f>
        <v>39000</v>
      </c>
      <c r="M32" s="32">
        <f>M$24*Workings_risks!$E21</f>
        <v>39000</v>
      </c>
      <c r="N32" s="32">
        <f>N$24*Workings_risks!$E21</f>
        <v>26000</v>
      </c>
      <c r="O32" s="32">
        <f>O$24*Workings_risks!$E21</f>
        <v>13000</v>
      </c>
      <c r="P32" s="32">
        <f>P$24*Workings_risks!$E21</f>
        <v>13000</v>
      </c>
      <c r="Q32" s="32">
        <f>Q$24*Workings_risks!$E21</f>
        <v>0</v>
      </c>
      <c r="R32" s="32">
        <f>R$24*Workings_risks!$E21</f>
        <v>0</v>
      </c>
      <c r="S32" s="32">
        <f>S$24*Workings_risks!$E21</f>
        <v>0</v>
      </c>
      <c r="T32" s="32">
        <f>T$24*Workings_risks!$E21</f>
        <v>0</v>
      </c>
      <c r="U32" s="32">
        <f>U$24*Workings_risks!$E21</f>
        <v>0</v>
      </c>
      <c r="V32" s="32">
        <f>V$24*Workings_risks!$E21</f>
        <v>0</v>
      </c>
      <c r="W32" s="32">
        <f>W$24*Workings_risks!$E21</f>
        <v>0</v>
      </c>
      <c r="X32" s="32">
        <f>X$24*Workings_risks!$E21</f>
        <v>0</v>
      </c>
      <c r="Y32" s="32">
        <f>Y$24*Workings_risks!$E21</f>
        <v>0</v>
      </c>
      <c r="Z32" s="32">
        <f>Z$24*Workings_risks!$E21</f>
        <v>0</v>
      </c>
      <c r="AA32" s="32">
        <f>AA$24*Workings_risks!$E21</f>
        <v>0</v>
      </c>
      <c r="AB32" s="32">
        <f>AB$24*Workings_risks!$E21</f>
        <v>0</v>
      </c>
      <c r="AC32" s="32">
        <f>AC$24*Workings_risks!$E21</f>
        <v>0</v>
      </c>
      <c r="AD32" s="32">
        <f>AD$24*Workings_risks!$E21</f>
        <v>0</v>
      </c>
      <c r="AE32" s="32">
        <f>AE$24*Workings_risks!$E21</f>
        <v>0</v>
      </c>
      <c r="AF32" s="32">
        <f>AF$24*Workings_risks!$E21</f>
        <v>0</v>
      </c>
      <c r="AG32" s="32">
        <f>AG$24*Workings_risks!$E21</f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7" t="s">
        <v>171</v>
      </c>
      <c r="D33" s="208"/>
      <c r="E33"/>
      <c r="G33" s="209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D34" s="208"/>
      <c r="E34"/>
      <c r="G34" s="20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</row>
    <row r="35" spans="1:16372" x14ac:dyDescent="0.2">
      <c r="C35" s="3" t="s">
        <v>170</v>
      </c>
      <c r="D35" s="220"/>
      <c r="E35" s="107"/>
      <c r="F35" s="3"/>
      <c r="G35" s="211"/>
      <c r="H35" s="107"/>
      <c r="I35" s="172">
        <f>SUM(I27:I33)</f>
        <v>1750209.8618510463</v>
      </c>
      <c r="J35" s="172">
        <f t="shared" ref="J35:AG35" si="2">SUM(J27:J33)</f>
        <v>1400167.8894808369</v>
      </c>
      <c r="K35" s="172">
        <f t="shared" si="2"/>
        <v>1400167.8894808369</v>
      </c>
      <c r="L35" s="172">
        <f t="shared" si="2"/>
        <v>1050125.917110628</v>
      </c>
      <c r="M35" s="172">
        <f t="shared" si="2"/>
        <v>1050125.917110628</v>
      </c>
      <c r="N35" s="172">
        <f t="shared" si="2"/>
        <v>700083.94474041846</v>
      </c>
      <c r="O35" s="172">
        <f t="shared" si="2"/>
        <v>350041.97237020923</v>
      </c>
      <c r="P35" s="172">
        <f t="shared" si="2"/>
        <v>350041.97237020923</v>
      </c>
      <c r="Q35" s="172">
        <f t="shared" si="2"/>
        <v>0</v>
      </c>
      <c r="R35" s="172">
        <f t="shared" si="2"/>
        <v>0</v>
      </c>
      <c r="S35" s="172">
        <f t="shared" si="2"/>
        <v>0</v>
      </c>
      <c r="T35" s="172">
        <f t="shared" si="2"/>
        <v>0</v>
      </c>
      <c r="U35" s="172">
        <f t="shared" si="2"/>
        <v>0</v>
      </c>
      <c r="V35" s="172">
        <f t="shared" si="2"/>
        <v>0</v>
      </c>
      <c r="W35" s="172">
        <f t="shared" si="2"/>
        <v>0</v>
      </c>
      <c r="X35" s="172">
        <f t="shared" si="2"/>
        <v>0</v>
      </c>
      <c r="Y35" s="172">
        <f t="shared" si="2"/>
        <v>0</v>
      </c>
      <c r="Z35" s="172">
        <f t="shared" si="2"/>
        <v>0</v>
      </c>
      <c r="AA35" s="172">
        <f t="shared" si="2"/>
        <v>0</v>
      </c>
      <c r="AB35" s="172">
        <f t="shared" si="2"/>
        <v>0</v>
      </c>
      <c r="AC35" s="172">
        <f t="shared" si="2"/>
        <v>0</v>
      </c>
      <c r="AD35" s="172">
        <f t="shared" si="2"/>
        <v>0</v>
      </c>
      <c r="AE35" s="172">
        <f t="shared" si="2"/>
        <v>0</v>
      </c>
      <c r="AF35" s="172">
        <f t="shared" si="2"/>
        <v>0</v>
      </c>
      <c r="AG35" s="172">
        <f t="shared" si="2"/>
        <v>0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D36"/>
      <c r="E36"/>
      <c r="G36" s="20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ht="15" x14ac:dyDescent="0.2">
      <c r="A37" s="89" t="s">
        <v>56</v>
      </c>
      <c r="B37" s="89"/>
      <c r="C37" s="89"/>
      <c r="D37" s="89"/>
      <c r="E37" s="89"/>
      <c r="F37" s="89"/>
      <c r="G37" s="206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/>
      <c r="AI37"/>
      <c r="AJ37"/>
      <c r="AK37"/>
      <c r="AL37"/>
      <c r="AM37"/>
      <c r="AN37"/>
      <c r="AO37"/>
      <c r="AP37"/>
      <c r="AQ37"/>
    </row>
    <row r="38" spans="1:16372" x14ac:dyDescent="0.2">
      <c r="D38"/>
      <c r="E38"/>
      <c r="G38" s="20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ht="13.5" x14ac:dyDescent="0.25">
      <c r="C40" s="1" t="s">
        <v>59</v>
      </c>
      <c r="G40" s="207" t="s">
        <v>40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/>
      <c r="AI40"/>
      <c r="AJ40"/>
      <c r="AK40"/>
    </row>
    <row r="41" spans="1:16372" ht="13.5" x14ac:dyDescent="0.25">
      <c r="C41" s="1" t="s">
        <v>129</v>
      </c>
      <c r="G41" s="207" t="s">
        <v>104</v>
      </c>
      <c r="I41" s="85">
        <f t="shared" ref="I41:AG41" si="3">I40*I7</f>
        <v>0</v>
      </c>
      <c r="J41" s="85">
        <f t="shared" si="3"/>
        <v>0</v>
      </c>
      <c r="K41" s="85">
        <f t="shared" si="3"/>
        <v>0</v>
      </c>
      <c r="L41" s="85">
        <f t="shared" si="3"/>
        <v>0</v>
      </c>
      <c r="M41" s="85">
        <f t="shared" si="3"/>
        <v>0</v>
      </c>
      <c r="N41" s="85">
        <f t="shared" si="3"/>
        <v>0</v>
      </c>
      <c r="O41" s="85">
        <f t="shared" si="3"/>
        <v>0</v>
      </c>
      <c r="P41" s="85">
        <f t="shared" si="3"/>
        <v>0</v>
      </c>
      <c r="Q41" s="85">
        <f t="shared" si="3"/>
        <v>0</v>
      </c>
      <c r="R41" s="85">
        <f t="shared" si="3"/>
        <v>0</v>
      </c>
      <c r="S41" s="85">
        <f t="shared" si="3"/>
        <v>0</v>
      </c>
      <c r="T41" s="85">
        <f t="shared" si="3"/>
        <v>0</v>
      </c>
      <c r="U41" s="85">
        <f t="shared" si="3"/>
        <v>0</v>
      </c>
      <c r="V41" s="85">
        <f t="shared" si="3"/>
        <v>0</v>
      </c>
      <c r="W41" s="85">
        <f t="shared" si="3"/>
        <v>0</v>
      </c>
      <c r="X41" s="85">
        <f t="shared" si="3"/>
        <v>0</v>
      </c>
      <c r="Y41" s="85">
        <f t="shared" si="3"/>
        <v>0</v>
      </c>
      <c r="Z41" s="85">
        <f t="shared" si="3"/>
        <v>0</v>
      </c>
      <c r="AA41" s="85">
        <f t="shared" si="3"/>
        <v>0</v>
      </c>
      <c r="AB41" s="85">
        <f t="shared" si="3"/>
        <v>0</v>
      </c>
      <c r="AC41" s="85">
        <f t="shared" si="3"/>
        <v>0</v>
      </c>
      <c r="AD41" s="85">
        <f t="shared" si="3"/>
        <v>0</v>
      </c>
      <c r="AE41" s="85">
        <f t="shared" si="3"/>
        <v>0</v>
      </c>
      <c r="AF41" s="85">
        <f t="shared" si="3"/>
        <v>0</v>
      </c>
      <c r="AG41" s="85">
        <f t="shared" si="3"/>
        <v>0</v>
      </c>
      <c r="AH41"/>
      <c r="AI41"/>
      <c r="AJ41"/>
      <c r="AK41"/>
    </row>
    <row r="42" spans="1:16372" x14ac:dyDescent="0.2">
      <c r="D42"/>
      <c r="E42"/>
      <c r="G42" s="20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16372" x14ac:dyDescent="0.2">
      <c r="D43" s="208"/>
      <c r="E43"/>
      <c r="G43" s="20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C44" s="1" t="s">
        <v>14</v>
      </c>
      <c r="D44" s="207" t="s">
        <v>63</v>
      </c>
      <c r="E44" s="113">
        <f>Assumptions!G94</f>
        <v>0</v>
      </c>
      <c r="G44" s="209" t="s">
        <v>40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16372" x14ac:dyDescent="0.2">
      <c r="C45" s="1" t="s">
        <v>4</v>
      </c>
      <c r="D45" s="207" t="s">
        <v>63</v>
      </c>
      <c r="E45" s="113">
        <f>Assumptions!G95</f>
        <v>0</v>
      </c>
      <c r="G45" s="209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5</v>
      </c>
      <c r="D46" s="207" t="s">
        <v>63</v>
      </c>
      <c r="E46" s="112">
        <f>Assumptions!G96</f>
        <v>4220.9953699573898</v>
      </c>
      <c r="G46" s="209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15</v>
      </c>
      <c r="D47" s="207" t="s">
        <v>126</v>
      </c>
      <c r="E47" s="112">
        <f>Assumptions!G97</f>
        <v>0</v>
      </c>
      <c r="G47" s="209" t="s">
        <v>203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201</v>
      </c>
      <c r="D48" s="207" t="s">
        <v>204</v>
      </c>
      <c r="E48" s="112">
        <f>Assumptions!G98</f>
        <v>0.54769380678923496</v>
      </c>
      <c r="G48" s="209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7" t="s">
        <v>204</v>
      </c>
      <c r="E49" s="112">
        <f>Assumptions!G99</f>
        <v>0.54769380678923496</v>
      </c>
      <c r="G49" s="209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6</v>
      </c>
      <c r="D50" s="207" t="s">
        <v>126</v>
      </c>
      <c r="E50" s="112">
        <f>Assumptions!G100</f>
        <v>0</v>
      </c>
      <c r="G50" s="209" t="s">
        <v>203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7</v>
      </c>
      <c r="D51" s="207" t="s">
        <v>126</v>
      </c>
      <c r="E51" s="112">
        <f>Assumptions!G101</f>
        <v>0</v>
      </c>
      <c r="G51" s="209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7"/>
      <c r="G52" s="209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43" x14ac:dyDescent="0.2">
      <c r="C53" s="1" t="s">
        <v>117</v>
      </c>
      <c r="D53" s="207"/>
      <c r="G53" s="209">
        <f>input_dollars</f>
        <v>45291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43" x14ac:dyDescent="0.2">
      <c r="C54" s="1" t="s">
        <v>118</v>
      </c>
      <c r="D54" s="207"/>
      <c r="G54" s="209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D55" s="207"/>
      <c r="G55" s="207"/>
    </row>
    <row r="56" spans="1:43" x14ac:dyDescent="0.2">
      <c r="C56" s="3" t="s">
        <v>125</v>
      </c>
      <c r="D56" s="220"/>
      <c r="E56" s="107"/>
      <c r="F56" s="3"/>
      <c r="G56" s="212">
        <f>input_dollars</f>
        <v>45291</v>
      </c>
      <c r="H56" s="107"/>
      <c r="I56" s="172" cm="1">
        <f t="array" ref="I56">SUMPRODUCT((I$44:I$51)*($E$44:$E$51))+SUM(I53:I54)+I41</f>
        <v>0</v>
      </c>
      <c r="J56" s="172" cm="1">
        <f t="array" ref="J56">SUMPRODUCT((J$44:J$51)*($E$44:$E$51))+SUM(J53:J54)+J41</f>
        <v>0</v>
      </c>
      <c r="K56" s="172" cm="1">
        <f t="array" ref="K56">SUMPRODUCT((K$44:K$51)*($E$44:$E$51))+SUM(K53:K54)+K41</f>
        <v>0</v>
      </c>
      <c r="L56" s="172" cm="1">
        <f t="array" ref="L56">SUMPRODUCT((L$44:L$51)*($E$44:$E$51))+SUM(L53:L54)+L41</f>
        <v>0</v>
      </c>
      <c r="M56" s="172" cm="1">
        <f t="array" ref="M56">SUMPRODUCT((M$44:M$51)*($E$44:$E$51))+SUM(M53:M54)+M41</f>
        <v>0</v>
      </c>
      <c r="N56" s="172" cm="1">
        <f t="array" ref="N56">SUMPRODUCT((N$44:N$51)*($E$44:$E$51))+SUM(N53:N54)+N41</f>
        <v>0</v>
      </c>
      <c r="O56" s="172" cm="1">
        <f t="array" ref="O56">SUMPRODUCT((O$44:O$51)*($E$44:$E$51))+SUM(O53:O54)+O41</f>
        <v>0</v>
      </c>
      <c r="P56" s="172" cm="1">
        <f t="array" ref="P56">SUMPRODUCT((P$44:P$51)*($E$44:$E$51))+SUM(P53:P54)+P41</f>
        <v>0</v>
      </c>
      <c r="Q56" s="172" cm="1">
        <f t="array" ref="Q56">SUMPRODUCT((Q$44:Q$51)*($E$44:$E$51))+SUM(Q53:Q54)+Q41</f>
        <v>0</v>
      </c>
      <c r="R56" s="172" cm="1">
        <f t="array" ref="R56">SUMPRODUCT((R$44:R$51)*($E$44:$E$51))+SUM(R53:R54)+R41</f>
        <v>0</v>
      </c>
      <c r="S56" s="172" cm="1">
        <f t="array" ref="S56">SUMPRODUCT((S$44:S$51)*($E$44:$E$51))+SUM(S53:S54)+S41</f>
        <v>0</v>
      </c>
      <c r="T56" s="172" cm="1">
        <f t="array" ref="T56">SUMPRODUCT((T$44:T$51)*($E$44:$E$51))+SUM(T53:T54)+T41</f>
        <v>0</v>
      </c>
      <c r="U56" s="172" cm="1">
        <f t="array" ref="U56">SUMPRODUCT((U$44:U$51)*($E$44:$E$51))+SUM(U53:U54)+U41</f>
        <v>0</v>
      </c>
      <c r="V56" s="172" cm="1">
        <f t="array" ref="V56">SUMPRODUCT((V$44:V$51)*($E$44:$E$51))+SUM(V53:V54)+V41</f>
        <v>0</v>
      </c>
      <c r="W56" s="172" cm="1">
        <f t="array" ref="W56">SUMPRODUCT((W$44:W$51)*($E$44:$E$51))+SUM(W53:W54)+W41</f>
        <v>0</v>
      </c>
      <c r="X56" s="172" cm="1">
        <f t="array" ref="X56">SUMPRODUCT((X$44:X$51)*($E$44:$E$51))+SUM(X53:X54)+X41</f>
        <v>0</v>
      </c>
      <c r="Y56" s="172" cm="1">
        <f t="array" ref="Y56">SUMPRODUCT((Y$44:Y$51)*($E$44:$E$51))+SUM(Y53:Y54)+Y41</f>
        <v>0</v>
      </c>
      <c r="Z56" s="172" cm="1">
        <f t="array" ref="Z56">SUMPRODUCT((Z$44:Z$51)*($E$44:$E$51))+SUM(Z53:Z54)+Z41</f>
        <v>0</v>
      </c>
      <c r="AA56" s="172" cm="1">
        <f t="array" ref="AA56">SUMPRODUCT((AA$44:AA$51)*($E$44:$E$51))+SUM(AA53:AA54)+AA41</f>
        <v>0</v>
      </c>
      <c r="AB56" s="172" cm="1">
        <f t="array" ref="AB56">SUMPRODUCT((AB$44:AB$51)*($E$44:$E$51))+SUM(AB53:AB54)+AB41</f>
        <v>0</v>
      </c>
      <c r="AC56" s="172" cm="1">
        <f t="array" ref="AC56">SUMPRODUCT((AC$44:AC$51)*($E$44:$E$51))+SUM(AC53:AC54)+AC41</f>
        <v>0</v>
      </c>
      <c r="AD56" s="172" cm="1">
        <f t="array" ref="AD56">SUMPRODUCT((AD$44:AD$51)*($E$44:$E$51))+SUM(AD53:AD54)+AD41</f>
        <v>0</v>
      </c>
      <c r="AE56" s="172" cm="1">
        <f t="array" ref="AE56">SUMPRODUCT((AE$44:AE$51)*($E$44:$E$51))+SUM(AE53:AE54)+AE41</f>
        <v>0</v>
      </c>
      <c r="AF56" s="172" cm="1">
        <f t="array" ref="AF56">SUMPRODUCT((AF$44:AF$51)*($E$44:$E$51))+SUM(AF53:AF54)+AF41</f>
        <v>0</v>
      </c>
      <c r="AG56" s="172" cm="1">
        <f t="array" ref="AG56">SUMPRODUCT((AG$44:AG$51)*($E$44:$E$51))+SUM(AG53:AG54)+AG41</f>
        <v>0</v>
      </c>
    </row>
    <row r="57" spans="1:43" x14ac:dyDescent="0.2">
      <c r="D57" s="207"/>
      <c r="G57" s="207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3" x14ac:dyDescent="0.2">
      <c r="G58" s="207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ht="15" x14ac:dyDescent="0.2">
      <c r="A59" s="89" t="s">
        <v>16</v>
      </c>
      <c r="B59" s="89"/>
      <c r="C59" s="89"/>
      <c r="D59" s="89"/>
      <c r="E59" s="89"/>
      <c r="F59" s="89"/>
      <c r="G59" s="206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/>
      <c r="AI59"/>
      <c r="AJ59"/>
      <c r="AK59"/>
      <c r="AL59"/>
      <c r="AM59"/>
      <c r="AN59"/>
      <c r="AO59"/>
      <c r="AP59"/>
      <c r="AQ59"/>
    </row>
    <row r="60" spans="1:43" ht="15" x14ac:dyDescent="0.2">
      <c r="A60" s="111"/>
      <c r="B60" s="111"/>
      <c r="C60" s="111"/>
      <c r="D60" s="111"/>
      <c r="E60" s="111"/>
      <c r="F60" s="111"/>
      <c r="G60" s="210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/>
      <c r="AI60"/>
      <c r="AJ60"/>
      <c r="AK60"/>
      <c r="AL60"/>
      <c r="AM60"/>
      <c r="AN60"/>
      <c r="AO60"/>
      <c r="AP60"/>
      <c r="AQ60"/>
    </row>
    <row r="61" spans="1:43" ht="12.75" customHeight="1" x14ac:dyDescent="0.2">
      <c r="A61" s="111"/>
      <c r="B61" s="111"/>
      <c r="C61" s="111"/>
      <c r="D61" s="111"/>
      <c r="E61" s="111"/>
      <c r="F61"/>
      <c r="G61" s="213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3" x14ac:dyDescent="0.2">
      <c r="F62" s="2"/>
      <c r="G62" s="214"/>
    </row>
    <row r="63" spans="1:43" x14ac:dyDescent="0.2">
      <c r="C63" s="4" t="str">
        <f>'Option1 (base case)'!C63</f>
        <v>Risks mitigated vs base case</v>
      </c>
      <c r="G63" s="212">
        <f>input_dollars</f>
        <v>45291</v>
      </c>
      <c r="I63" s="135">
        <f>(1-INDEX(Data!$C$9:$C$13, MATCH($A$3, options,0)))*('Option1 (base case)'!I35-I35)</f>
        <v>0</v>
      </c>
      <c r="J63" s="135">
        <f>(1-INDEX(Data!$C$9:$C$13, MATCH($A$3, options,0)))*('Option1 (base case)'!J35-J35)</f>
        <v>350041.97237020941</v>
      </c>
      <c r="K63" s="135">
        <f>(1-INDEX(Data!$C$9:$C$13, MATCH($A$3, options,0)))*('Option1 (base case)'!K35-K35)</f>
        <v>350041.97237020941</v>
      </c>
      <c r="L63" s="135">
        <f>(1-INDEX(Data!$C$9:$C$13, MATCH($A$3, options,0)))*('Option1 (base case)'!L35-L35)</f>
        <v>700083.94474041834</v>
      </c>
      <c r="M63" s="135">
        <f>(1-INDEX(Data!$C$9:$C$13, MATCH($A$3, options,0)))*('Option1 (base case)'!M35-M35)</f>
        <v>700083.94474041834</v>
      </c>
      <c r="N63" s="135">
        <f>(1-INDEX(Data!$C$9:$C$13, MATCH($A$3, options,0)))*('Option1 (base case)'!N35-N35)</f>
        <v>700083.94474041846</v>
      </c>
      <c r="O63" s="135">
        <f>(1-INDEX(Data!$C$9:$C$13, MATCH($A$3, options,0)))*('Option1 (base case)'!O35-O35)</f>
        <v>1050125.9171106277</v>
      </c>
      <c r="P63" s="135">
        <f>(1-INDEX(Data!$C$9:$C$13, MATCH($A$3, options,0)))*('Option1 (base case)'!P35-P35)</f>
        <v>1050125.9171106277</v>
      </c>
      <c r="Q63" s="135">
        <f>(1-INDEX(Data!$C$9:$C$13, MATCH($A$3, options,0)))*('Option1 (base case)'!Q35-Q35)</f>
        <v>1400167.8894808369</v>
      </c>
      <c r="R63" s="135">
        <f>(1-INDEX(Data!$C$9:$C$13, MATCH($A$3, options,0)))*('Option1 (base case)'!R35-R35)</f>
        <v>1400167.8894808369</v>
      </c>
      <c r="S63" s="135">
        <f>(1-INDEX(Data!$C$9:$C$13, MATCH($A$3, options,0)))*('Option1 (base case)'!S35-S35)</f>
        <v>1400167.8894808369</v>
      </c>
      <c r="T63" s="135">
        <f>(1-INDEX(Data!$C$9:$C$13, MATCH($A$3, options,0)))*('Option1 (base case)'!T35-T35)</f>
        <v>1400167.8894808369</v>
      </c>
      <c r="U63" s="135">
        <f>(1-INDEX(Data!$C$9:$C$13, MATCH($A$3, options,0)))*('Option1 (base case)'!U35-U35)</f>
        <v>1400167.8894808369</v>
      </c>
      <c r="V63" s="135">
        <f>(1-INDEX(Data!$C$9:$C$13, MATCH($A$3, options,0)))*('Option1 (base case)'!V35-V35)</f>
        <v>1050125.917110628</v>
      </c>
      <c r="W63" s="135">
        <f>(1-INDEX(Data!$C$9:$C$13, MATCH($A$3, options,0)))*('Option1 (base case)'!W35-W35)</f>
        <v>1050125.917110628</v>
      </c>
      <c r="X63" s="135">
        <f>(1-INDEX(Data!$C$9:$C$13, MATCH($A$3, options,0)))*('Option1 (base case)'!X35-X35)</f>
        <v>1050125.917110628</v>
      </c>
      <c r="Y63" s="135">
        <f>(1-INDEX(Data!$C$9:$C$13, MATCH($A$3, options,0)))*('Option1 (base case)'!Y35-Y35)</f>
        <v>1050125.917110628</v>
      </c>
      <c r="Z63" s="135">
        <f>(1-INDEX(Data!$C$9:$C$13, MATCH($A$3, options,0)))*('Option1 (base case)'!Z35-Z35)</f>
        <v>1050125.917110628</v>
      </c>
      <c r="AA63" s="135">
        <f>(1-INDEX(Data!$C$9:$C$13, MATCH($A$3, options,0)))*('Option1 (base case)'!AA35-AA35)</f>
        <v>1050125.917110628</v>
      </c>
      <c r="AB63" s="135">
        <f>(1-INDEX(Data!$C$9:$C$13, MATCH($A$3, options,0)))*('Option1 (base case)'!AB35-AB35)</f>
        <v>1050125.917110628</v>
      </c>
      <c r="AC63" s="135">
        <f>(1-INDEX(Data!$C$9:$C$13, MATCH($A$3, options,0)))*('Option1 (base case)'!AC35-AC35)</f>
        <v>1050125.917110628</v>
      </c>
      <c r="AD63" s="135">
        <f>(1-INDEX(Data!$C$9:$C$13, MATCH($A$3, options,0)))*('Option1 (base case)'!AD35-AD35)</f>
        <v>1050125.917110628</v>
      </c>
      <c r="AE63" s="135">
        <f>(1-INDEX(Data!$C$9:$C$13, MATCH($A$3, options,0)))*('Option1 (base case)'!AE35-AE35)</f>
        <v>1050125.917110628</v>
      </c>
      <c r="AF63" s="135">
        <f>(1-INDEX(Data!$C$9:$C$13, MATCH($A$3, options,0)))*('Option1 (base case)'!AF35-AF35)</f>
        <v>1050125.917110628</v>
      </c>
      <c r="AG63" s="135">
        <f>(1-INDEX(Data!$C$9:$C$13, MATCH($A$3, options,0)))*('Option1 (base case)'!AG35-AG35)</f>
        <v>700083.94474041846</v>
      </c>
    </row>
    <row r="64" spans="1:43" x14ac:dyDescent="0.2">
      <c r="G64" s="214"/>
    </row>
    <row r="65" spans="1:33" x14ac:dyDescent="0.2">
      <c r="A65" s="8"/>
      <c r="B65" s="8"/>
      <c r="C65" s="150" t="s">
        <v>30</v>
      </c>
      <c r="D65" s="38"/>
      <c r="F65" s="97"/>
      <c r="G65" s="215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2">
      <c r="A66" s="8"/>
      <c r="B66" s="8"/>
      <c r="C66" s="4" t="str">
        <f>C14</f>
        <v>Replace Cable Boxes under program</v>
      </c>
      <c r="D66" s="38"/>
      <c r="F66" s="97"/>
      <c r="G66" s="212">
        <f>input_dollars</f>
        <v>45291</v>
      </c>
      <c r="H66" s="31"/>
      <c r="I66" s="119">
        <f t="shared" ref="I66:AG66" si="4">-I14</f>
        <v>-1700000</v>
      </c>
      <c r="J66" s="119">
        <f t="shared" si="4"/>
        <v>-1700000</v>
      </c>
      <c r="K66" s="119">
        <f t="shared" si="4"/>
        <v>-1700000</v>
      </c>
      <c r="L66" s="119">
        <f t="shared" si="4"/>
        <v>-1700000</v>
      </c>
      <c r="M66" s="119">
        <f t="shared" si="4"/>
        <v>-1700000</v>
      </c>
      <c r="N66" s="119">
        <f t="shared" si="4"/>
        <v>-1700000</v>
      </c>
      <c r="O66" s="119">
        <f t="shared" si="4"/>
        <v>-1700000</v>
      </c>
      <c r="P66" s="119">
        <f t="shared" si="4"/>
        <v>-1700000</v>
      </c>
      <c r="Q66" s="119">
        <f t="shared" si="4"/>
        <v>-1197000</v>
      </c>
      <c r="R66" s="119">
        <f t="shared" si="4"/>
        <v>0</v>
      </c>
      <c r="S66" s="119">
        <f t="shared" si="4"/>
        <v>0</v>
      </c>
      <c r="T66" s="119">
        <f t="shared" si="4"/>
        <v>0</v>
      </c>
      <c r="U66" s="119">
        <f t="shared" si="4"/>
        <v>0</v>
      </c>
      <c r="V66" s="119">
        <f t="shared" si="4"/>
        <v>0</v>
      </c>
      <c r="W66" s="119">
        <f t="shared" si="4"/>
        <v>0</v>
      </c>
      <c r="X66" s="119">
        <f t="shared" si="4"/>
        <v>0</v>
      </c>
      <c r="Y66" s="119">
        <f t="shared" si="4"/>
        <v>0</v>
      </c>
      <c r="Z66" s="119">
        <f t="shared" si="4"/>
        <v>0</v>
      </c>
      <c r="AA66" s="119">
        <f t="shared" si="4"/>
        <v>0</v>
      </c>
      <c r="AB66" s="119">
        <f t="shared" si="4"/>
        <v>0</v>
      </c>
      <c r="AC66" s="119">
        <f t="shared" si="4"/>
        <v>0</v>
      </c>
      <c r="AD66" s="119">
        <f t="shared" si="4"/>
        <v>0</v>
      </c>
      <c r="AE66" s="119">
        <f t="shared" si="4"/>
        <v>0</v>
      </c>
      <c r="AF66" s="119">
        <f t="shared" si="4"/>
        <v>0</v>
      </c>
      <c r="AG66" s="119">
        <f t="shared" si="4"/>
        <v>0</v>
      </c>
    </row>
    <row r="67" spans="1:33" x14ac:dyDescent="0.2">
      <c r="A67" s="8"/>
      <c r="B67" s="8"/>
      <c r="C67" s="4" t="str">
        <f>C15</f>
        <v>Replace Failed Cable Boxes under Faults Capex</v>
      </c>
      <c r="D67" s="38"/>
      <c r="F67" s="97"/>
      <c r="G67" s="212">
        <f>input_dollars</f>
        <v>45291</v>
      </c>
      <c r="H67" s="31"/>
      <c r="I67" s="119">
        <f t="shared" ref="I67:AG67" si="5">-I15</f>
        <v>-275000</v>
      </c>
      <c r="J67" s="119">
        <f t="shared" si="5"/>
        <v>-220000</v>
      </c>
      <c r="K67" s="119">
        <f t="shared" si="5"/>
        <v>-220000</v>
      </c>
      <c r="L67" s="119">
        <f t="shared" si="5"/>
        <v>-165000</v>
      </c>
      <c r="M67" s="119">
        <f t="shared" si="5"/>
        <v>-165000</v>
      </c>
      <c r="N67" s="119">
        <f t="shared" si="5"/>
        <v>-110000</v>
      </c>
      <c r="O67" s="119">
        <f t="shared" si="5"/>
        <v>-55000</v>
      </c>
      <c r="P67" s="119">
        <f t="shared" si="5"/>
        <v>-55000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C16</f>
        <v>0</v>
      </c>
      <c r="D68" s="38"/>
      <c r="F68" s="97"/>
      <c r="G68" s="212">
        <f>input_dollars</f>
        <v>45291</v>
      </c>
      <c r="H68" s="31"/>
      <c r="I68" s="119">
        <f t="shared" ref="I68:AG68" si="6">-I16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/>
      <c r="D69" s="38"/>
      <c r="F69" s="97"/>
      <c r="G69" s="216"/>
      <c r="H69" s="31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x14ac:dyDescent="0.2">
      <c r="A70" s="8"/>
      <c r="B70" s="8"/>
      <c r="C70" s="150" t="s">
        <v>155</v>
      </c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4" t="str">
        <f>C14</f>
        <v>Replace Cable Boxes under program</v>
      </c>
      <c r="D71" s="38"/>
      <c r="F71" s="97"/>
      <c r="G71" s="212">
        <f>input_dollars</f>
        <v>45291</v>
      </c>
      <c r="H71" s="31"/>
      <c r="I71" s="119" cm="1">
        <f t="array" ref="I71">SUMPRODUCT(($I66:I66))-SUMPRODUCT(($I66:I66)*($I$6:I$6&lt;=(I$6-$E14)))</f>
        <v>-1700000</v>
      </c>
      <c r="J71" s="119" cm="1">
        <f t="array" ref="J71">SUMPRODUCT(($I66:J66))-SUMPRODUCT(($I66:J66)*($I$6:J$6&lt;=(J$6-$E14)))</f>
        <v>-3400000</v>
      </c>
      <c r="K71" s="119" cm="1">
        <f t="array" ref="K71">SUMPRODUCT(($I66:K66))-SUMPRODUCT(($I66:K66)*($I$6:K$6&lt;=(K$6-$E14)))</f>
        <v>-5100000</v>
      </c>
      <c r="L71" s="119" cm="1">
        <f t="array" ref="L71">SUMPRODUCT(($I66:L66))-SUMPRODUCT(($I66:L66)*($I$6:L$6&lt;=(L$6-$E14)))</f>
        <v>-6800000</v>
      </c>
      <c r="M71" s="119" cm="1">
        <f t="array" ref="M71">SUMPRODUCT(($I66:M66))-SUMPRODUCT(($I66:M66)*($I$6:M$6&lt;=(M$6-$E14)))</f>
        <v>-8500000</v>
      </c>
      <c r="N71" s="119" cm="1">
        <f t="array" ref="N71">SUMPRODUCT(($I66:N66))-SUMPRODUCT(($I66:N66)*($I$6:N$6&lt;=(N$6-$E14)))</f>
        <v>-10200000</v>
      </c>
      <c r="O71" s="119" cm="1">
        <f t="array" ref="O71">SUMPRODUCT(($I66:O66))-SUMPRODUCT(($I66:O66)*($I$6:O$6&lt;=(O$6-$E14)))</f>
        <v>-11900000</v>
      </c>
      <c r="P71" s="119" cm="1">
        <f t="array" ref="P71">SUMPRODUCT(($I66:P66))-SUMPRODUCT(($I66:P66)*($I$6:P$6&lt;=(P$6-$E14)))</f>
        <v>-13600000</v>
      </c>
      <c r="Q71" s="119" cm="1">
        <f t="array" ref="Q71">SUMPRODUCT(($I66:Q66))-SUMPRODUCT(($I66:Q66)*($I$6:Q$6&lt;=(Q$6-$E14)))</f>
        <v>-14797000</v>
      </c>
      <c r="R71" s="119" cm="1">
        <f t="array" ref="R71">SUMPRODUCT(($I66:R66))-SUMPRODUCT(($I66:R66)*($I$6:R$6&lt;=(R$6-$E14)))</f>
        <v>-14797000</v>
      </c>
      <c r="S71" s="119" cm="1">
        <f t="array" ref="S71">SUMPRODUCT(($I66:S66))-SUMPRODUCT(($I66:S66)*($I$6:S$6&lt;=(S$6-$E14)))</f>
        <v>-14797000</v>
      </c>
      <c r="T71" s="119" cm="1">
        <f t="array" ref="T71">SUMPRODUCT(($I66:T66))-SUMPRODUCT(($I66:T66)*($I$6:T$6&lt;=(T$6-$E14)))</f>
        <v>-14797000</v>
      </c>
      <c r="U71" s="119" cm="1">
        <f t="array" ref="U71">SUMPRODUCT(($I66:U66))-SUMPRODUCT(($I66:U66)*($I$6:U$6&lt;=(U$6-$E14)))</f>
        <v>-14797000</v>
      </c>
      <c r="V71" s="119" cm="1">
        <f t="array" ref="V71">SUMPRODUCT(($I66:V66))-SUMPRODUCT(($I66:V66)*($I$6:V$6&lt;=(V$6-$E14)))</f>
        <v>-14797000</v>
      </c>
      <c r="W71" s="119" cm="1">
        <f t="array" ref="W71">SUMPRODUCT(($I66:W66))-SUMPRODUCT(($I66:W66)*($I$6:W$6&lt;=(W$6-$E14)))</f>
        <v>-14797000</v>
      </c>
      <c r="X71" s="119" cm="1">
        <f t="array" ref="X71">SUMPRODUCT(($I66:X66))-SUMPRODUCT(($I66:X66)*($I$6:X$6&lt;=(X$6-$E14)))</f>
        <v>-14797000</v>
      </c>
      <c r="Y71" s="119" cm="1">
        <f t="array" ref="Y71">SUMPRODUCT(($I66:Y66))-SUMPRODUCT(($I66:Y66)*($I$6:Y$6&lt;=(Y$6-$E14)))</f>
        <v>-14797000</v>
      </c>
      <c r="Z71" s="119" cm="1">
        <f t="array" ref="Z71">SUMPRODUCT(($I66:Z66))-SUMPRODUCT(($I66:Z66)*($I$6:Z$6&lt;=(Z$6-$E14)))</f>
        <v>-14797000</v>
      </c>
      <c r="AA71" s="119" cm="1">
        <f t="array" ref="AA71">SUMPRODUCT(($I66:AA66))-SUMPRODUCT(($I66:AA66)*($I$6:AA$6&lt;=(AA$6-$E14)))</f>
        <v>-14797000</v>
      </c>
      <c r="AB71" s="119" cm="1">
        <f t="array" ref="AB71">SUMPRODUCT(($I66:AB66))-SUMPRODUCT(($I66:AB66)*($I$6:AB$6&lt;=(AB$6-$E14)))</f>
        <v>-14797000</v>
      </c>
      <c r="AC71" s="119" cm="1">
        <f t="array" ref="AC71">SUMPRODUCT(($I66:AC66))-SUMPRODUCT(($I66:AC66)*($I$6:AC$6&lt;=(AC$6-$E14)))</f>
        <v>-14797000</v>
      </c>
      <c r="AD71" s="119" cm="1">
        <f t="array" ref="AD71">SUMPRODUCT(($I66:AD66))-SUMPRODUCT(($I66:AD66)*($I$6:AD$6&lt;=(AD$6-$E14)))</f>
        <v>-14797000</v>
      </c>
      <c r="AE71" s="119" cm="1">
        <f t="array" ref="AE71">SUMPRODUCT(($I66:AE66))-SUMPRODUCT(($I66:AE66)*($I$6:AE$6&lt;=(AE$6-$E14)))</f>
        <v>-14797000</v>
      </c>
      <c r="AF71" s="119" cm="1">
        <f t="array" ref="AF71">SUMPRODUCT(($I66:AF66))-SUMPRODUCT(($I66:AF66)*($I$6:AF$6&lt;=(AF$6-$E14)))</f>
        <v>-14797000</v>
      </c>
      <c r="AG71" s="119" cm="1">
        <f t="array" ref="AG71">SUMPRODUCT(($I66:AG66))-SUMPRODUCT(($I66:AG66)*($I$6:AG$6&lt;=(AG$6-$E14)))</f>
        <v>-14797000</v>
      </c>
    </row>
    <row r="72" spans="1:33" x14ac:dyDescent="0.2">
      <c r="A72" s="8"/>
      <c r="B72" s="8"/>
      <c r="C72" s="4" t="str">
        <f>C15</f>
        <v>Replace Failed Cable Boxes under Faults Capex</v>
      </c>
      <c r="D72" s="38"/>
      <c r="F72" s="97"/>
      <c r="G72" s="212">
        <f>input_dollars</f>
        <v>45291</v>
      </c>
      <c r="H72" s="31"/>
      <c r="I72" s="119" cm="1">
        <f t="array" ref="I72">SUMPRODUCT(($I67:I67))-SUMPRODUCT(($I67:I67)*($I$6:I$6&lt;=(I$6-$E15)))</f>
        <v>-275000</v>
      </c>
      <c r="J72" s="119" cm="1">
        <f t="array" ref="J72">SUMPRODUCT(($I67:J67))-SUMPRODUCT(($I67:J67)*($I$6:J$6&lt;=(J$6-$E15)))</f>
        <v>-495000</v>
      </c>
      <c r="K72" s="119" cm="1">
        <f t="array" ref="K72">SUMPRODUCT(($I67:K67))-SUMPRODUCT(($I67:K67)*($I$6:K$6&lt;=(K$6-$E15)))</f>
        <v>-715000</v>
      </c>
      <c r="L72" s="119" cm="1">
        <f t="array" ref="L72">SUMPRODUCT(($I67:L67))-SUMPRODUCT(($I67:L67)*($I$6:L$6&lt;=(L$6-$E15)))</f>
        <v>-880000</v>
      </c>
      <c r="M72" s="119" cm="1">
        <f t="array" ref="M72">SUMPRODUCT(($I67:M67))-SUMPRODUCT(($I67:M67)*($I$6:M$6&lt;=(M$6-$E15)))</f>
        <v>-1045000</v>
      </c>
      <c r="N72" s="119" cm="1">
        <f t="array" ref="N72">SUMPRODUCT(($I67:N67))-SUMPRODUCT(($I67:N67)*($I$6:N$6&lt;=(N$6-$E15)))</f>
        <v>-1155000</v>
      </c>
      <c r="O72" s="119" cm="1">
        <f t="array" ref="O72">SUMPRODUCT(($I67:O67))-SUMPRODUCT(($I67:O67)*($I$6:O$6&lt;=(O$6-$E15)))</f>
        <v>-1210000</v>
      </c>
      <c r="P72" s="119" cm="1">
        <f t="array" ref="P72">SUMPRODUCT(($I67:P67))-SUMPRODUCT(($I67:P67)*($I$6:P$6&lt;=(P$6-$E15)))</f>
        <v>-1265000</v>
      </c>
      <c r="Q72" s="119" cm="1">
        <f t="array" ref="Q72">SUMPRODUCT(($I67:Q67))-SUMPRODUCT(($I67:Q67)*($I$6:Q$6&lt;=(Q$6-$E15)))</f>
        <v>-1265000</v>
      </c>
      <c r="R72" s="119" cm="1">
        <f t="array" ref="R72">SUMPRODUCT(($I67:R67))-SUMPRODUCT(($I67:R67)*($I$6:R$6&lt;=(R$6-$E15)))</f>
        <v>-1265000</v>
      </c>
      <c r="S72" s="119" cm="1">
        <f t="array" ref="S72">SUMPRODUCT(($I67:S67))-SUMPRODUCT(($I67:S67)*($I$6:S$6&lt;=(S$6-$E15)))</f>
        <v>-1265000</v>
      </c>
      <c r="T72" s="119" cm="1">
        <f t="array" ref="T72">SUMPRODUCT(($I67:T67))-SUMPRODUCT(($I67:T67)*($I$6:T$6&lt;=(T$6-$E15)))</f>
        <v>-1265000</v>
      </c>
      <c r="U72" s="119" cm="1">
        <f t="array" ref="U72">SUMPRODUCT(($I67:U67))-SUMPRODUCT(($I67:U67)*($I$6:U$6&lt;=(U$6-$E15)))</f>
        <v>-1265000</v>
      </c>
      <c r="V72" s="119" cm="1">
        <f t="array" ref="V72">SUMPRODUCT(($I67:V67))-SUMPRODUCT(($I67:V67)*($I$6:V$6&lt;=(V$6-$E15)))</f>
        <v>-1265000</v>
      </c>
      <c r="W72" s="119" cm="1">
        <f t="array" ref="W72">SUMPRODUCT(($I67:W67))-SUMPRODUCT(($I67:W67)*($I$6:W$6&lt;=(W$6-$E15)))</f>
        <v>-1265000</v>
      </c>
      <c r="X72" s="119" cm="1">
        <f t="array" ref="X72">SUMPRODUCT(($I67:X67))-SUMPRODUCT(($I67:X67)*($I$6:X$6&lt;=(X$6-$E15)))</f>
        <v>-1265000</v>
      </c>
      <c r="Y72" s="119" cm="1">
        <f t="array" ref="Y72">SUMPRODUCT(($I67:Y67))-SUMPRODUCT(($I67:Y67)*($I$6:Y$6&lt;=(Y$6-$E15)))</f>
        <v>-1265000</v>
      </c>
      <c r="Z72" s="119" cm="1">
        <f t="array" ref="Z72">SUMPRODUCT(($I67:Z67))-SUMPRODUCT(($I67:Z67)*($I$6:Z$6&lt;=(Z$6-$E15)))</f>
        <v>-1265000</v>
      </c>
      <c r="AA72" s="119" cm="1">
        <f t="array" ref="AA72">SUMPRODUCT(($I67:AA67))-SUMPRODUCT(($I67:AA67)*($I$6:AA$6&lt;=(AA$6-$E15)))</f>
        <v>-1265000</v>
      </c>
      <c r="AB72" s="119" cm="1">
        <f t="array" ref="AB72">SUMPRODUCT(($I67:AB67))-SUMPRODUCT(($I67:AB67)*($I$6:AB$6&lt;=(AB$6-$E15)))</f>
        <v>-1265000</v>
      </c>
      <c r="AC72" s="119" cm="1">
        <f t="array" ref="AC72">SUMPRODUCT(($I67:AC67))-SUMPRODUCT(($I67:AC67)*($I$6:AC$6&lt;=(AC$6-$E15)))</f>
        <v>-1265000</v>
      </c>
      <c r="AD72" s="119" cm="1">
        <f t="array" ref="AD72">SUMPRODUCT(($I67:AD67))-SUMPRODUCT(($I67:AD67)*($I$6:AD$6&lt;=(AD$6-$E15)))</f>
        <v>-1265000</v>
      </c>
      <c r="AE72" s="119" cm="1">
        <f t="array" ref="AE72">SUMPRODUCT(($I67:AE67))-SUMPRODUCT(($I67:AE67)*($I$6:AE$6&lt;=(AE$6-$E15)))</f>
        <v>-1265000</v>
      </c>
      <c r="AF72" s="119" cm="1">
        <f t="array" ref="AF72">SUMPRODUCT(($I67:AF67))-SUMPRODUCT(($I67:AF67)*($I$6:AF$6&lt;=(AF$6-$E15)))</f>
        <v>-1265000</v>
      </c>
      <c r="AG72" s="119" cm="1">
        <f t="array" ref="AG72">SUMPRODUCT(($I67:AG67))-SUMPRODUCT(($I67:AG67)*($I$6:AG$6&lt;=(AG$6-$E15)))</f>
        <v>-1265000</v>
      </c>
    </row>
    <row r="73" spans="1:33" x14ac:dyDescent="0.2">
      <c r="A73" s="8"/>
      <c r="B73" s="8"/>
      <c r="C73" s="4">
        <f>C16</f>
        <v>0</v>
      </c>
      <c r="D73" s="38"/>
      <c r="F73" s="97"/>
      <c r="G73" s="212">
        <f>input_dollars</f>
        <v>45291</v>
      </c>
      <c r="H73" s="31"/>
      <c r="I73" s="119" cm="1">
        <f t="array" ref="I73">SUMPRODUCT(($I68:I68))-SUMPRODUCT(($I68:I68)*($I$6:I$6&lt;=(I$6-$E16)))</f>
        <v>0</v>
      </c>
      <c r="J73" s="119" cm="1">
        <f t="array" ref="J73">SUMPRODUCT(($I68:J68))-SUMPRODUCT(($I68:J68)*($I$6:J$6&lt;=(J$6-$E16)))</f>
        <v>0</v>
      </c>
      <c r="K73" s="119" cm="1">
        <f t="array" ref="K73">SUMPRODUCT(($I68:K68))-SUMPRODUCT(($I68:K68)*($I$6:K$6&lt;=(K$6-$E16)))</f>
        <v>0</v>
      </c>
      <c r="L73" s="119" cm="1">
        <f t="array" ref="L73">SUMPRODUCT(($I68:L68))-SUMPRODUCT(($I68:L68)*($I$6:L$6&lt;=(L$6-$E16)))</f>
        <v>0</v>
      </c>
      <c r="M73" s="119" cm="1">
        <f t="array" ref="M73">SUMPRODUCT(($I68:M68))-SUMPRODUCT(($I68:M68)*($I$6:M$6&lt;=(M$6-$E16)))</f>
        <v>0</v>
      </c>
      <c r="N73" s="119" cm="1">
        <f t="array" ref="N73">SUMPRODUCT(($I68:N68))-SUMPRODUCT(($I68:N68)*($I$6:N$6&lt;=(N$6-$E16)))</f>
        <v>0</v>
      </c>
      <c r="O73" s="119" cm="1">
        <f t="array" ref="O73">SUMPRODUCT(($I68:O68))-SUMPRODUCT(($I68:O68)*($I$6:O$6&lt;=(O$6-$E16)))</f>
        <v>0</v>
      </c>
      <c r="P73" s="119" cm="1">
        <f t="array" ref="P73">SUMPRODUCT(($I68:P68))-SUMPRODUCT(($I68:P68)*($I$6:P$6&lt;=(P$6-$E16)))</f>
        <v>0</v>
      </c>
      <c r="Q73" s="119" cm="1">
        <f t="array" ref="Q73">SUMPRODUCT(($I68:Q68))-SUMPRODUCT(($I68:Q68)*($I$6:Q$6&lt;=(Q$6-$E16)))</f>
        <v>0</v>
      </c>
      <c r="R73" s="119" cm="1">
        <f t="array" ref="R73">SUMPRODUCT(($I68:R68))-SUMPRODUCT(($I68:R68)*($I$6:R$6&lt;=(R$6-$E16)))</f>
        <v>0</v>
      </c>
      <c r="S73" s="119" cm="1">
        <f t="array" ref="S73">SUMPRODUCT(($I68:S68))-SUMPRODUCT(($I68:S68)*($I$6:S$6&lt;=(S$6-$E16)))</f>
        <v>0</v>
      </c>
      <c r="T73" s="119" cm="1">
        <f t="array" ref="T73">SUMPRODUCT(($I68:T68))-SUMPRODUCT(($I68:T68)*($I$6:T$6&lt;=(T$6-$E16)))</f>
        <v>0</v>
      </c>
      <c r="U73" s="119" cm="1">
        <f t="array" ref="U73">SUMPRODUCT(($I68:U68))-SUMPRODUCT(($I68:U68)*($I$6:U$6&lt;=(U$6-$E16)))</f>
        <v>0</v>
      </c>
      <c r="V73" s="119" cm="1">
        <f t="array" ref="V73">SUMPRODUCT(($I68:V68))-SUMPRODUCT(($I68:V68)*($I$6:V$6&lt;=(V$6-$E16)))</f>
        <v>0</v>
      </c>
      <c r="W73" s="119" cm="1">
        <f t="array" ref="W73">SUMPRODUCT(($I68:W68))-SUMPRODUCT(($I68:W68)*($I$6:W$6&lt;=(W$6-$E16)))</f>
        <v>0</v>
      </c>
      <c r="X73" s="119" cm="1">
        <f t="array" ref="X73">SUMPRODUCT(($I68:X68))-SUMPRODUCT(($I68:X68)*($I$6:X$6&lt;=(X$6-$E16)))</f>
        <v>0</v>
      </c>
      <c r="Y73" s="119" cm="1">
        <f t="array" ref="Y73">SUMPRODUCT(($I68:Y68))-SUMPRODUCT(($I68:Y68)*($I$6:Y$6&lt;=(Y$6-$E16)))</f>
        <v>0</v>
      </c>
      <c r="Z73" s="119" cm="1">
        <f t="array" ref="Z73">SUMPRODUCT(($I68:Z68))-SUMPRODUCT(($I68:Z68)*($I$6:Z$6&lt;=(Z$6-$E16)))</f>
        <v>0</v>
      </c>
      <c r="AA73" s="119" cm="1">
        <f t="array" ref="AA73">SUMPRODUCT(($I68:AA68))-SUMPRODUCT(($I68:AA68)*($I$6:AA$6&lt;=(AA$6-$E16)))</f>
        <v>0</v>
      </c>
      <c r="AB73" s="119" cm="1">
        <f t="array" ref="AB73">SUMPRODUCT(($I68:AB68))-SUMPRODUCT(($I68:AB68)*($I$6:AB$6&lt;=(AB$6-$E16)))</f>
        <v>0</v>
      </c>
      <c r="AC73" s="119" cm="1">
        <f t="array" ref="AC73">SUMPRODUCT(($I68:AC68))-SUMPRODUCT(($I68:AC68)*($I$6:AC$6&lt;=(AC$6-$E16)))</f>
        <v>0</v>
      </c>
      <c r="AD73" s="119" cm="1">
        <f t="array" ref="AD73">SUMPRODUCT(($I68:AD68))-SUMPRODUCT(($I68:AD68)*($I$6:AD$6&lt;=(AD$6-$E16)))</f>
        <v>0</v>
      </c>
      <c r="AE73" s="119" cm="1">
        <f t="array" ref="AE73">SUMPRODUCT(($I68:AE68))-SUMPRODUCT(($I68:AE68)*($I$6:AE$6&lt;=(AE$6-$E16)))</f>
        <v>0</v>
      </c>
      <c r="AF73" s="119" cm="1">
        <f t="array" ref="AF73">SUMPRODUCT(($I68:AF68))-SUMPRODUCT(($I68:AF68)*($I$6:AF$6&lt;=(AF$6-$E16)))</f>
        <v>0</v>
      </c>
      <c r="AG73" s="119" cm="1">
        <f t="array" ref="AG73">SUMPRODUCT(($I68:AG68))-SUMPRODUCT(($I68:AG68)*($I$6:AG$6&lt;=(AG$6-$E16)))</f>
        <v>0</v>
      </c>
    </row>
    <row r="74" spans="1:33" x14ac:dyDescent="0.2">
      <c r="A74" s="8"/>
      <c r="B74" s="8"/>
      <c r="C74" s="4"/>
      <c r="D74" s="38"/>
      <c r="F74" s="97"/>
      <c r="G74" s="216"/>
      <c r="H74" s="31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</row>
    <row r="75" spans="1:33" x14ac:dyDescent="0.2">
      <c r="A75" s="8"/>
      <c r="B75" s="8"/>
      <c r="C75" s="150" t="s">
        <v>91</v>
      </c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4" t="str">
        <f>$C$75&amp;" - "&amp;C14</f>
        <v>Annualised capex - Replace Cable Boxes under program</v>
      </c>
      <c r="D76" s="38"/>
      <c r="F76" s="97"/>
      <c r="G76" s="212">
        <f>input_dollars</f>
        <v>45291</v>
      </c>
      <c r="H76" s="31"/>
      <c r="I76" s="119">
        <f t="shared" ref="I76:AG76" si="7">IF($E14=0,0,-PMT(real_disc, $E14,H71,))</f>
        <v>0</v>
      </c>
      <c r="J76" s="119">
        <f t="shared" si="7"/>
        <v>-72477.30626313157</v>
      </c>
      <c r="K76" s="119">
        <f t="shared" si="7"/>
        <v>-144954.61252626314</v>
      </c>
      <c r="L76" s="119">
        <f t="shared" si="7"/>
        <v>-217431.91878939472</v>
      </c>
      <c r="M76" s="119">
        <f t="shared" si="7"/>
        <v>-289909.22505252628</v>
      </c>
      <c r="N76" s="119">
        <f t="shared" si="7"/>
        <v>-362386.53131565783</v>
      </c>
      <c r="O76" s="119">
        <f t="shared" si="7"/>
        <v>-434863.83757878945</v>
      </c>
      <c r="P76" s="119">
        <f t="shared" si="7"/>
        <v>-507341.143841921</v>
      </c>
      <c r="Q76" s="119">
        <f t="shared" si="7"/>
        <v>-579818.45010505256</v>
      </c>
      <c r="R76" s="119">
        <f t="shared" si="7"/>
        <v>-630851.00045621046</v>
      </c>
      <c r="S76" s="119">
        <f t="shared" si="7"/>
        <v>-630851.00045621046</v>
      </c>
      <c r="T76" s="119">
        <f t="shared" si="7"/>
        <v>-630851.00045621046</v>
      </c>
      <c r="U76" s="119">
        <f t="shared" si="7"/>
        <v>-630851.00045621046</v>
      </c>
      <c r="V76" s="119">
        <f t="shared" si="7"/>
        <v>-630851.00045621046</v>
      </c>
      <c r="W76" s="119">
        <f t="shared" si="7"/>
        <v>-630851.00045621046</v>
      </c>
      <c r="X76" s="119">
        <f t="shared" si="7"/>
        <v>-630851.00045621046</v>
      </c>
      <c r="Y76" s="119">
        <f t="shared" si="7"/>
        <v>-630851.00045621046</v>
      </c>
      <c r="Z76" s="119">
        <f t="shared" si="7"/>
        <v>-630851.00045621046</v>
      </c>
      <c r="AA76" s="119">
        <f t="shared" si="7"/>
        <v>-630851.00045621046</v>
      </c>
      <c r="AB76" s="119">
        <f t="shared" si="7"/>
        <v>-630851.00045621046</v>
      </c>
      <c r="AC76" s="119">
        <f t="shared" si="7"/>
        <v>-630851.00045621046</v>
      </c>
      <c r="AD76" s="119">
        <f t="shared" si="7"/>
        <v>-630851.00045621046</v>
      </c>
      <c r="AE76" s="119">
        <f t="shared" si="7"/>
        <v>-630851.00045621046</v>
      </c>
      <c r="AF76" s="119">
        <f t="shared" si="7"/>
        <v>-630851.00045621046</v>
      </c>
      <c r="AG76" s="119">
        <f t="shared" si="7"/>
        <v>-630851.00045621046</v>
      </c>
    </row>
    <row r="77" spans="1:33" x14ac:dyDescent="0.2">
      <c r="A77" s="8"/>
      <c r="B77" s="8"/>
      <c r="C77" s="4" t="str">
        <f>$C$75&amp;" - "&amp;C15</f>
        <v>Annualised capex - Replace Failed Cable Boxes under Faults Capex</v>
      </c>
      <c r="D77" s="38"/>
      <c r="F77" s="97"/>
      <c r="G77" s="212">
        <f>input_dollars</f>
        <v>45291</v>
      </c>
      <c r="H77" s="31"/>
      <c r="I77" s="119">
        <f t="shared" ref="I77:AG77" si="8">IF($E15=0,0,-PMT(real_disc, $E15,H72,))</f>
        <v>0</v>
      </c>
      <c r="J77" s="119">
        <f t="shared" si="8"/>
        <v>-11724.270130800694</v>
      </c>
      <c r="K77" s="119">
        <f t="shared" si="8"/>
        <v>-21103.686235441248</v>
      </c>
      <c r="L77" s="119">
        <f t="shared" si="8"/>
        <v>-30483.102340081809</v>
      </c>
      <c r="M77" s="119">
        <f t="shared" si="8"/>
        <v>-37517.664418562221</v>
      </c>
      <c r="N77" s="119">
        <f t="shared" si="8"/>
        <v>-44552.22649704264</v>
      </c>
      <c r="O77" s="119">
        <f t="shared" si="8"/>
        <v>-49241.934549362923</v>
      </c>
      <c r="P77" s="119">
        <f t="shared" si="8"/>
        <v>-51586.78857552306</v>
      </c>
      <c r="Q77" s="119">
        <f t="shared" si="8"/>
        <v>-53931.64260168319</v>
      </c>
      <c r="R77" s="119">
        <f t="shared" si="8"/>
        <v>-53931.64260168319</v>
      </c>
      <c r="S77" s="119">
        <f t="shared" si="8"/>
        <v>-53931.64260168319</v>
      </c>
      <c r="T77" s="119">
        <f t="shared" si="8"/>
        <v>-53931.64260168319</v>
      </c>
      <c r="U77" s="119">
        <f t="shared" si="8"/>
        <v>-53931.64260168319</v>
      </c>
      <c r="V77" s="119">
        <f t="shared" si="8"/>
        <v>-53931.64260168319</v>
      </c>
      <c r="W77" s="119">
        <f t="shared" si="8"/>
        <v>-53931.64260168319</v>
      </c>
      <c r="X77" s="119">
        <f t="shared" si="8"/>
        <v>-53931.64260168319</v>
      </c>
      <c r="Y77" s="119">
        <f t="shared" si="8"/>
        <v>-53931.64260168319</v>
      </c>
      <c r="Z77" s="119">
        <f t="shared" si="8"/>
        <v>-53931.64260168319</v>
      </c>
      <c r="AA77" s="119">
        <f t="shared" si="8"/>
        <v>-53931.64260168319</v>
      </c>
      <c r="AB77" s="119">
        <f t="shared" si="8"/>
        <v>-53931.64260168319</v>
      </c>
      <c r="AC77" s="119">
        <f t="shared" si="8"/>
        <v>-53931.64260168319</v>
      </c>
      <c r="AD77" s="119">
        <f t="shared" si="8"/>
        <v>-53931.64260168319</v>
      </c>
      <c r="AE77" s="119">
        <f t="shared" si="8"/>
        <v>-53931.64260168319</v>
      </c>
      <c r="AF77" s="119">
        <f t="shared" si="8"/>
        <v>-53931.64260168319</v>
      </c>
      <c r="AG77" s="119">
        <f t="shared" si="8"/>
        <v>-53931.64260168319</v>
      </c>
    </row>
    <row r="78" spans="1:33" x14ac:dyDescent="0.2">
      <c r="A78" s="8"/>
      <c r="B78" s="8"/>
      <c r="C78" s="4" t="str">
        <f>$C$75&amp;" - "&amp;C16</f>
        <v xml:space="preserve">Annualised capex - </v>
      </c>
      <c r="D78" s="38"/>
      <c r="F78" s="97"/>
      <c r="G78" s="212">
        <f>input_dollars</f>
        <v>45291</v>
      </c>
      <c r="H78" s="31"/>
      <c r="I78" s="119">
        <f t="shared" ref="I78:AG78" si="9">IF($E16=0,0,-PMT(real_disc, $E16,H73,))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174" t="s">
        <v>156</v>
      </c>
      <c r="D79" s="174"/>
      <c r="E79" s="175"/>
      <c r="F79" s="176"/>
      <c r="G79" s="217">
        <f>input_dollars</f>
        <v>45291</v>
      </c>
      <c r="H79" s="177"/>
      <c r="I79" s="178">
        <f>SUM(I76:I78)</f>
        <v>0</v>
      </c>
      <c r="J79" s="178">
        <f t="shared" ref="J79:AB79" si="10">SUM(J76:J78)</f>
        <v>-84201.576393932264</v>
      </c>
      <c r="K79" s="178">
        <f t="shared" si="10"/>
        <v>-166058.29876170438</v>
      </c>
      <c r="L79" s="178">
        <f t="shared" si="10"/>
        <v>-247915.02112947655</v>
      </c>
      <c r="M79" s="178">
        <f t="shared" si="10"/>
        <v>-327426.88947108848</v>
      </c>
      <c r="N79" s="178">
        <f t="shared" si="10"/>
        <v>-406938.75781270047</v>
      </c>
      <c r="O79" s="178">
        <f t="shared" si="10"/>
        <v>-484105.77212815237</v>
      </c>
      <c r="P79" s="178">
        <f t="shared" si="10"/>
        <v>-558927.93241744407</v>
      </c>
      <c r="Q79" s="178">
        <f t="shared" si="10"/>
        <v>-633750.09270673571</v>
      </c>
      <c r="R79" s="178">
        <f t="shared" si="10"/>
        <v>-684782.64305789361</v>
      </c>
      <c r="S79" s="178">
        <f t="shared" si="10"/>
        <v>-684782.64305789361</v>
      </c>
      <c r="T79" s="178">
        <f t="shared" si="10"/>
        <v>-684782.64305789361</v>
      </c>
      <c r="U79" s="178">
        <f t="shared" si="10"/>
        <v>-684782.64305789361</v>
      </c>
      <c r="V79" s="178">
        <f t="shared" si="10"/>
        <v>-684782.64305789361</v>
      </c>
      <c r="W79" s="178">
        <f t="shared" si="10"/>
        <v>-684782.64305789361</v>
      </c>
      <c r="X79" s="178">
        <f t="shared" si="10"/>
        <v>-684782.64305789361</v>
      </c>
      <c r="Y79" s="178">
        <f t="shared" si="10"/>
        <v>-684782.64305789361</v>
      </c>
      <c r="Z79" s="178">
        <f t="shared" si="10"/>
        <v>-684782.64305789361</v>
      </c>
      <c r="AA79" s="178">
        <f t="shared" si="10"/>
        <v>-684782.64305789361</v>
      </c>
      <c r="AB79" s="178">
        <f t="shared" si="10"/>
        <v>-684782.64305789361</v>
      </c>
      <c r="AC79" s="178">
        <f>SUM(AC76:AC78)</f>
        <v>-684782.64305789361</v>
      </c>
      <c r="AD79" s="178">
        <f>SUM(AD76:AD78)</f>
        <v>-684782.64305789361</v>
      </c>
      <c r="AE79" s="178">
        <f>SUM(AE76:AE78)</f>
        <v>-684782.64305789361</v>
      </c>
      <c r="AF79" s="178">
        <f>SUM(AF76:AF78)</f>
        <v>-684782.64305789361</v>
      </c>
      <c r="AG79" s="178">
        <f>SUM(AG76:AG78)</f>
        <v>-684782.64305789361</v>
      </c>
    </row>
    <row r="80" spans="1:33" x14ac:dyDescent="0.2">
      <c r="A80" s="8"/>
      <c r="B80" s="8"/>
      <c r="C80" s="75"/>
      <c r="D80" s="38"/>
      <c r="F80"/>
      <c r="G80" s="218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">
      <c r="A81" s="8"/>
      <c r="B81" s="8"/>
      <c r="C81" s="4" t="s">
        <v>91</v>
      </c>
      <c r="D81" s="38"/>
      <c r="F81" s="97"/>
      <c r="G81" s="212">
        <f t="shared" ref="G81:G86" si="11">input_dollars</f>
        <v>45291</v>
      </c>
      <c r="H81" s="31"/>
      <c r="I81" s="119">
        <f>I79</f>
        <v>0</v>
      </c>
      <c r="J81" s="119">
        <f t="shared" ref="J81:AB81" si="12">J79</f>
        <v>-84201.576393932264</v>
      </c>
      <c r="K81" s="119">
        <f t="shared" si="12"/>
        <v>-166058.29876170438</v>
      </c>
      <c r="L81" s="119">
        <f t="shared" si="12"/>
        <v>-247915.02112947655</v>
      </c>
      <c r="M81" s="119">
        <f t="shared" si="12"/>
        <v>-327426.88947108848</v>
      </c>
      <c r="N81" s="119">
        <f t="shared" si="12"/>
        <v>-406938.75781270047</v>
      </c>
      <c r="O81" s="119">
        <f t="shared" si="12"/>
        <v>-484105.77212815237</v>
      </c>
      <c r="P81" s="119">
        <f t="shared" si="12"/>
        <v>-558927.93241744407</v>
      </c>
      <c r="Q81" s="119">
        <f t="shared" si="12"/>
        <v>-633750.09270673571</v>
      </c>
      <c r="R81" s="119">
        <f t="shared" si="12"/>
        <v>-684782.64305789361</v>
      </c>
      <c r="S81" s="119">
        <f t="shared" si="12"/>
        <v>-684782.64305789361</v>
      </c>
      <c r="T81" s="119">
        <f t="shared" si="12"/>
        <v>-684782.64305789361</v>
      </c>
      <c r="U81" s="119">
        <f t="shared" si="12"/>
        <v>-684782.64305789361</v>
      </c>
      <c r="V81" s="119">
        <f t="shared" si="12"/>
        <v>-684782.64305789361</v>
      </c>
      <c r="W81" s="119">
        <f t="shared" si="12"/>
        <v>-684782.64305789361</v>
      </c>
      <c r="X81" s="119">
        <f t="shared" si="12"/>
        <v>-684782.64305789361</v>
      </c>
      <c r="Y81" s="119">
        <f t="shared" si="12"/>
        <v>-684782.64305789361</v>
      </c>
      <c r="Z81" s="119">
        <f t="shared" si="12"/>
        <v>-684782.64305789361</v>
      </c>
      <c r="AA81" s="119">
        <f t="shared" si="12"/>
        <v>-684782.64305789361</v>
      </c>
      <c r="AB81" s="119">
        <f t="shared" si="12"/>
        <v>-684782.64305789361</v>
      </c>
      <c r="AC81" s="119">
        <f>AC79</f>
        <v>-684782.64305789361</v>
      </c>
      <c r="AD81" s="119">
        <f>AD79</f>
        <v>-684782.64305789361</v>
      </c>
      <c r="AE81" s="119">
        <f>AE79</f>
        <v>-684782.64305789361</v>
      </c>
      <c r="AF81" s="119">
        <f>AF79</f>
        <v>-684782.64305789361</v>
      </c>
      <c r="AG81" s="119">
        <f>AG79</f>
        <v>-684782.64305789361</v>
      </c>
    </row>
    <row r="82" spans="1:33" x14ac:dyDescent="0.2">
      <c r="A82" s="8"/>
      <c r="B82" s="8"/>
      <c r="C82" s="4" t="s">
        <v>31</v>
      </c>
      <c r="D82" s="38"/>
      <c r="F82" s="97"/>
      <c r="G82" s="212">
        <f t="shared" si="11"/>
        <v>45291</v>
      </c>
      <c r="H82" s="31"/>
      <c r="I82" s="31">
        <f t="shared" ref="I82:AG82" si="13">-I19</f>
        <v>0</v>
      </c>
      <c r="J82" s="31">
        <f t="shared" si="13"/>
        <v>0</v>
      </c>
      <c r="K82" s="31">
        <f t="shared" si="13"/>
        <v>0</v>
      </c>
      <c r="L82" s="31">
        <f t="shared" si="13"/>
        <v>0</v>
      </c>
      <c r="M82" s="31">
        <f t="shared" si="13"/>
        <v>0</v>
      </c>
      <c r="N82" s="31">
        <f t="shared" si="13"/>
        <v>0</v>
      </c>
      <c r="O82" s="31">
        <f t="shared" si="13"/>
        <v>0</v>
      </c>
      <c r="P82" s="31">
        <f t="shared" si="13"/>
        <v>0</v>
      </c>
      <c r="Q82" s="31">
        <f t="shared" si="13"/>
        <v>0</v>
      </c>
      <c r="R82" s="31">
        <f t="shared" si="13"/>
        <v>0</v>
      </c>
      <c r="S82" s="31">
        <f t="shared" si="13"/>
        <v>0</v>
      </c>
      <c r="T82" s="31">
        <f t="shared" si="13"/>
        <v>0</v>
      </c>
      <c r="U82" s="31">
        <f t="shared" si="13"/>
        <v>0</v>
      </c>
      <c r="V82" s="31">
        <f t="shared" si="13"/>
        <v>0</v>
      </c>
      <c r="W82" s="31">
        <f t="shared" si="13"/>
        <v>0</v>
      </c>
      <c r="X82" s="31">
        <f t="shared" si="13"/>
        <v>0</v>
      </c>
      <c r="Y82" s="31">
        <f t="shared" si="13"/>
        <v>0</v>
      </c>
      <c r="Z82" s="31">
        <f t="shared" si="13"/>
        <v>0</v>
      </c>
      <c r="AA82" s="31">
        <f t="shared" si="13"/>
        <v>0</v>
      </c>
      <c r="AB82" s="31">
        <f t="shared" si="13"/>
        <v>0</v>
      </c>
      <c r="AC82" s="31">
        <f t="shared" si="13"/>
        <v>0</v>
      </c>
      <c r="AD82" s="31">
        <f t="shared" si="13"/>
        <v>0</v>
      </c>
      <c r="AE82" s="31">
        <f t="shared" si="13"/>
        <v>0</v>
      </c>
      <c r="AF82" s="31">
        <f t="shared" si="13"/>
        <v>0</v>
      </c>
      <c r="AG82" s="31">
        <f t="shared" si="13"/>
        <v>0</v>
      </c>
    </row>
    <row r="83" spans="1:33" x14ac:dyDescent="0.2">
      <c r="A83" s="8"/>
      <c r="B83" s="8"/>
      <c r="C83" s="4" t="s">
        <v>140</v>
      </c>
      <c r="D83" s="38"/>
      <c r="F83" s="97"/>
      <c r="G83" s="212">
        <f t="shared" si="11"/>
        <v>45291</v>
      </c>
      <c r="H83" s="31"/>
      <c r="I83" s="31">
        <f>I63</f>
        <v>0</v>
      </c>
      <c r="J83" s="31">
        <f t="shared" ref="J83:AB83" si="14">J63</f>
        <v>350041.97237020941</v>
      </c>
      <c r="K83" s="31">
        <f t="shared" si="14"/>
        <v>350041.97237020941</v>
      </c>
      <c r="L83" s="31">
        <f t="shared" si="14"/>
        <v>700083.94474041834</v>
      </c>
      <c r="M83" s="31">
        <f t="shared" si="14"/>
        <v>700083.94474041834</v>
      </c>
      <c r="N83" s="31">
        <f t="shared" si="14"/>
        <v>700083.94474041846</v>
      </c>
      <c r="O83" s="31">
        <f t="shared" si="14"/>
        <v>1050125.9171106277</v>
      </c>
      <c r="P83" s="31">
        <f t="shared" si="14"/>
        <v>1050125.9171106277</v>
      </c>
      <c r="Q83" s="31">
        <f t="shared" si="14"/>
        <v>1400167.8894808369</v>
      </c>
      <c r="R83" s="31">
        <f t="shared" si="14"/>
        <v>1400167.8894808369</v>
      </c>
      <c r="S83" s="31">
        <f t="shared" si="14"/>
        <v>1400167.8894808369</v>
      </c>
      <c r="T83" s="31">
        <f t="shared" si="14"/>
        <v>1400167.8894808369</v>
      </c>
      <c r="U83" s="31">
        <f t="shared" si="14"/>
        <v>1400167.8894808369</v>
      </c>
      <c r="V83" s="31">
        <f t="shared" si="14"/>
        <v>1050125.917110628</v>
      </c>
      <c r="W83" s="31">
        <f t="shared" si="14"/>
        <v>1050125.917110628</v>
      </c>
      <c r="X83" s="31">
        <f t="shared" si="14"/>
        <v>1050125.917110628</v>
      </c>
      <c r="Y83" s="31">
        <f t="shared" si="14"/>
        <v>1050125.917110628</v>
      </c>
      <c r="Z83" s="31">
        <f t="shared" si="14"/>
        <v>1050125.917110628</v>
      </c>
      <c r="AA83" s="31">
        <f t="shared" si="14"/>
        <v>1050125.917110628</v>
      </c>
      <c r="AB83" s="31">
        <f t="shared" si="14"/>
        <v>1050125.917110628</v>
      </c>
      <c r="AC83" s="31">
        <f>AC63</f>
        <v>1050125.917110628</v>
      </c>
      <c r="AD83" s="31">
        <f>AD63</f>
        <v>1050125.917110628</v>
      </c>
      <c r="AE83" s="31">
        <f>AE63</f>
        <v>1050125.917110628</v>
      </c>
      <c r="AF83" s="31">
        <f>AF63</f>
        <v>1050125.917110628</v>
      </c>
      <c r="AG83" s="31">
        <f>AG63</f>
        <v>700083.94474041846</v>
      </c>
    </row>
    <row r="84" spans="1:33" x14ac:dyDescent="0.2">
      <c r="A84" s="8"/>
      <c r="B84" s="8"/>
      <c r="C84" s="4" t="s">
        <v>122</v>
      </c>
      <c r="D84" s="38"/>
      <c r="F84" s="97"/>
      <c r="G84" s="212">
        <f t="shared" si="11"/>
        <v>45291</v>
      </c>
      <c r="H84" s="31"/>
      <c r="I84" s="31">
        <f t="shared" ref="I84:AG84" si="15">I56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</row>
    <row r="85" spans="1:33" x14ac:dyDescent="0.2">
      <c r="A85" s="8"/>
      <c r="B85" s="8"/>
      <c r="C85" s="4"/>
      <c r="D85" s="38"/>
      <c r="F85" s="31"/>
      <c r="G85" s="21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">
      <c r="A86" s="8"/>
      <c r="B86" s="8"/>
      <c r="C86" s="179" t="s">
        <v>186</v>
      </c>
      <c r="D86" s="180"/>
      <c r="E86" s="175"/>
      <c r="F86" s="181"/>
      <c r="G86" s="217">
        <f t="shared" si="11"/>
        <v>45291</v>
      </c>
      <c r="H86" s="181"/>
      <c r="I86" s="181">
        <f t="shared" ref="I86:AB86" si="16">SUM(I81:I85)</f>
        <v>0</v>
      </c>
      <c r="J86" s="181">
        <f t="shared" si="16"/>
        <v>265840.39597627713</v>
      </c>
      <c r="K86" s="181">
        <f t="shared" si="16"/>
        <v>183983.67360850502</v>
      </c>
      <c r="L86" s="181">
        <f t="shared" si="16"/>
        <v>452168.9236109418</v>
      </c>
      <c r="M86" s="181">
        <f t="shared" si="16"/>
        <v>372657.05526932987</v>
      </c>
      <c r="N86" s="181">
        <f t="shared" si="16"/>
        <v>293145.18692771799</v>
      </c>
      <c r="O86" s="181">
        <f t="shared" si="16"/>
        <v>566020.14498247532</v>
      </c>
      <c r="P86" s="181">
        <f t="shared" si="16"/>
        <v>491197.98469318368</v>
      </c>
      <c r="Q86" s="181">
        <f t="shared" si="16"/>
        <v>766417.79677410121</v>
      </c>
      <c r="R86" s="181">
        <f t="shared" si="16"/>
        <v>715385.24642294331</v>
      </c>
      <c r="S86" s="181">
        <f t="shared" si="16"/>
        <v>715385.24642294331</v>
      </c>
      <c r="T86" s="181">
        <f t="shared" si="16"/>
        <v>715385.24642294331</v>
      </c>
      <c r="U86" s="181">
        <f t="shared" si="16"/>
        <v>715385.24642294331</v>
      </c>
      <c r="V86" s="181">
        <f t="shared" si="16"/>
        <v>365343.27405273437</v>
      </c>
      <c r="W86" s="181">
        <f t="shared" si="16"/>
        <v>365343.27405273437</v>
      </c>
      <c r="X86" s="181">
        <f t="shared" si="16"/>
        <v>365343.27405273437</v>
      </c>
      <c r="Y86" s="181">
        <f t="shared" si="16"/>
        <v>365343.27405273437</v>
      </c>
      <c r="Z86" s="181">
        <f t="shared" si="16"/>
        <v>365343.27405273437</v>
      </c>
      <c r="AA86" s="181">
        <f t="shared" si="16"/>
        <v>365343.27405273437</v>
      </c>
      <c r="AB86" s="181">
        <f t="shared" si="16"/>
        <v>365343.27405273437</v>
      </c>
      <c r="AC86" s="181">
        <f>SUM(AC81:AC85)</f>
        <v>365343.27405273437</v>
      </c>
      <c r="AD86" s="181">
        <f>SUM(AD81:AD85)</f>
        <v>365343.27405273437</v>
      </c>
      <c r="AE86" s="181">
        <f>SUM(AE81:AE85)</f>
        <v>365343.27405273437</v>
      </c>
      <c r="AF86" s="181">
        <f>SUM(AF81:AF85)</f>
        <v>365343.27405273437</v>
      </c>
      <c r="AG86" s="181">
        <f>SUM(AG81:AG85)</f>
        <v>15301.301682524849</v>
      </c>
    </row>
    <row r="87" spans="1:33" x14ac:dyDescent="0.2">
      <c r="A87" s="8"/>
      <c r="B87" s="8"/>
      <c r="C87" s="75"/>
      <c r="D87" s="141"/>
      <c r="E87" s="64"/>
      <c r="F87" s="144"/>
      <c r="G87" s="219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spans="1:33" x14ac:dyDescent="0.2">
      <c r="A88" s="8"/>
      <c r="B88" s="8"/>
      <c r="C88" s="75"/>
      <c r="D88" s="141"/>
      <c r="E88" s="64"/>
      <c r="F88" s="144"/>
      <c r="G88" s="219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232" t="s">
        <v>196</v>
      </c>
      <c r="D89" s="82"/>
      <c r="E89" s="233"/>
      <c r="F89" s="234"/>
      <c r="G89" s="235" cm="1">
        <f t="array" ref="G89">IF(SUM($I17:$AG17)=0,0,(INDEX(I$6:AG$6,MATCH(TRUE,INDEX($I17:$AG17&lt;&gt;0,),0))))</f>
        <v>1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x14ac:dyDescent="0.2">
      <c r="C90" s="82"/>
      <c r="D90" s="236"/>
      <c r="E90" s="233"/>
      <c r="F90" s="233"/>
      <c r="G90" s="235"/>
    </row>
    <row r="91" spans="1:33" x14ac:dyDescent="0.2">
      <c r="C91" s="237" t="s">
        <v>191</v>
      </c>
      <c r="D91" s="238"/>
      <c r="E91" s="238"/>
      <c r="F91" s="238"/>
      <c r="G91" s="239">
        <f>IF(_xlfn.MINIFS($G$89:$G$90, $G$89:$G$90, "&gt;"&amp;0)=0, $A$4, _xlfn.MINIFS($G$89:$G$90, $G$89:$G$90, "&gt;"&amp;0))</f>
        <v>1</v>
      </c>
    </row>
    <row r="93" spans="1:33" x14ac:dyDescent="0.2">
      <c r="G93" s="12"/>
    </row>
    <row r="101" spans="1:43" ht="15" x14ac:dyDescent="0.2">
      <c r="A101" s="89" t="s">
        <v>216</v>
      </c>
      <c r="B101" s="89"/>
      <c r="C101" s="89"/>
      <c r="D101" s="89"/>
      <c r="E101" s="89"/>
      <c r="F101" s="89"/>
      <c r="G101" s="206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/>
      <c r="AI101"/>
      <c r="AJ101"/>
      <c r="AK101"/>
      <c r="AL101"/>
      <c r="AM101"/>
      <c r="AN101"/>
      <c r="AO101"/>
      <c r="AP101"/>
      <c r="AQ101"/>
    </row>
    <row r="103" spans="1:43" x14ac:dyDescent="0.2"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1:43" x14ac:dyDescent="0.2"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1:43" x14ac:dyDescent="0.2">
      <c r="A105" s="1" t="s">
        <v>119</v>
      </c>
      <c r="C105" s="1" t="s">
        <v>186</v>
      </c>
      <c r="D105"/>
      <c r="E105"/>
      <c r="F105"/>
      <c r="G105" s="38" t="str">
        <f>PROPER($A$3)&amp;A105</f>
        <v>Option 5NPV</v>
      </c>
      <c r="I105" s="31">
        <f>I86</f>
        <v>0</v>
      </c>
      <c r="J105" s="31">
        <f t="shared" ref="J105:AG105" si="17">J86</f>
        <v>265840.39597627713</v>
      </c>
      <c r="K105" s="31">
        <f t="shared" si="17"/>
        <v>183983.67360850502</v>
      </c>
      <c r="L105" s="31">
        <f t="shared" si="17"/>
        <v>452168.9236109418</v>
      </c>
      <c r="M105" s="31">
        <f t="shared" si="17"/>
        <v>372657.05526932987</v>
      </c>
      <c r="N105" s="31">
        <f t="shared" si="17"/>
        <v>293145.18692771799</v>
      </c>
      <c r="O105" s="31">
        <f t="shared" si="17"/>
        <v>566020.14498247532</v>
      </c>
      <c r="P105" s="31">
        <f t="shared" si="17"/>
        <v>491197.98469318368</v>
      </c>
      <c r="Q105" s="31">
        <f t="shared" si="17"/>
        <v>766417.79677410121</v>
      </c>
      <c r="R105" s="31">
        <f t="shared" si="17"/>
        <v>715385.24642294331</v>
      </c>
      <c r="S105" s="31">
        <f t="shared" si="17"/>
        <v>715385.24642294331</v>
      </c>
      <c r="T105" s="31">
        <f t="shared" si="17"/>
        <v>715385.24642294331</v>
      </c>
      <c r="U105" s="31">
        <f t="shared" si="17"/>
        <v>715385.24642294331</v>
      </c>
      <c r="V105" s="31">
        <f t="shared" si="17"/>
        <v>365343.27405273437</v>
      </c>
      <c r="W105" s="31">
        <f t="shared" si="17"/>
        <v>365343.27405273437</v>
      </c>
      <c r="X105" s="31">
        <f t="shared" si="17"/>
        <v>365343.27405273437</v>
      </c>
      <c r="Y105" s="31">
        <f t="shared" si="17"/>
        <v>365343.27405273437</v>
      </c>
      <c r="Z105" s="31">
        <f t="shared" si="17"/>
        <v>365343.27405273437</v>
      </c>
      <c r="AA105" s="31">
        <f t="shared" si="17"/>
        <v>365343.27405273437</v>
      </c>
      <c r="AB105" s="31">
        <f t="shared" si="17"/>
        <v>365343.27405273437</v>
      </c>
      <c r="AC105" s="31">
        <f t="shared" si="17"/>
        <v>365343.27405273437</v>
      </c>
      <c r="AD105" s="31">
        <f t="shared" si="17"/>
        <v>365343.27405273437</v>
      </c>
      <c r="AE105" s="31">
        <f t="shared" si="17"/>
        <v>365343.27405273437</v>
      </c>
      <c r="AF105" s="31">
        <f t="shared" si="17"/>
        <v>365343.27405273437</v>
      </c>
      <c r="AG105" s="31">
        <f t="shared" si="17"/>
        <v>15301.301682524849</v>
      </c>
    </row>
    <row r="106" spans="1:43" x14ac:dyDescent="0.2">
      <c r="C106" s="1" t="s">
        <v>156</v>
      </c>
      <c r="D106"/>
      <c r="E106"/>
      <c r="F106"/>
      <c r="G106"/>
      <c r="I106" s="31">
        <f>I81</f>
        <v>0</v>
      </c>
      <c r="J106" s="31">
        <f t="shared" ref="J106:AG106" si="18">J81</f>
        <v>-84201.576393932264</v>
      </c>
      <c r="K106" s="31">
        <f t="shared" si="18"/>
        <v>-166058.29876170438</v>
      </c>
      <c r="L106" s="31">
        <f t="shared" si="18"/>
        <v>-247915.02112947655</v>
      </c>
      <c r="M106" s="31">
        <f t="shared" si="18"/>
        <v>-327426.88947108848</v>
      </c>
      <c r="N106" s="31">
        <f t="shared" si="18"/>
        <v>-406938.75781270047</v>
      </c>
      <c r="O106" s="31">
        <f t="shared" si="18"/>
        <v>-484105.77212815237</v>
      </c>
      <c r="P106" s="31">
        <f t="shared" si="18"/>
        <v>-558927.93241744407</v>
      </c>
      <c r="Q106" s="31">
        <f t="shared" si="18"/>
        <v>-633750.09270673571</v>
      </c>
      <c r="R106" s="31">
        <f t="shared" si="18"/>
        <v>-684782.64305789361</v>
      </c>
      <c r="S106" s="31">
        <f t="shared" si="18"/>
        <v>-684782.64305789361</v>
      </c>
      <c r="T106" s="31">
        <f t="shared" si="18"/>
        <v>-684782.64305789361</v>
      </c>
      <c r="U106" s="31">
        <f t="shared" si="18"/>
        <v>-684782.64305789361</v>
      </c>
      <c r="V106" s="31">
        <f t="shared" si="18"/>
        <v>-684782.64305789361</v>
      </c>
      <c r="W106" s="31">
        <f t="shared" si="18"/>
        <v>-684782.64305789361</v>
      </c>
      <c r="X106" s="31">
        <f t="shared" si="18"/>
        <v>-684782.64305789361</v>
      </c>
      <c r="Y106" s="31">
        <f t="shared" si="18"/>
        <v>-684782.64305789361</v>
      </c>
      <c r="Z106" s="31">
        <f t="shared" si="18"/>
        <v>-684782.64305789361</v>
      </c>
      <c r="AA106" s="31">
        <f t="shared" si="18"/>
        <v>-684782.64305789361</v>
      </c>
      <c r="AB106" s="31">
        <f t="shared" si="18"/>
        <v>-684782.64305789361</v>
      </c>
      <c r="AC106" s="31">
        <f t="shared" si="18"/>
        <v>-684782.64305789361</v>
      </c>
      <c r="AD106" s="31">
        <f t="shared" si="18"/>
        <v>-684782.64305789361</v>
      </c>
      <c r="AE106" s="31">
        <f t="shared" si="18"/>
        <v>-684782.64305789361</v>
      </c>
      <c r="AF106" s="31">
        <f t="shared" si="18"/>
        <v>-684782.64305789361</v>
      </c>
      <c r="AG106" s="31">
        <f t="shared" si="18"/>
        <v>-684782.64305789361</v>
      </c>
    </row>
    <row r="107" spans="1:43" x14ac:dyDescent="0.2">
      <c r="C107" s="1" t="s">
        <v>239</v>
      </c>
      <c r="D107"/>
      <c r="E107"/>
      <c r="F107"/>
      <c r="G107"/>
      <c r="I107" s="31">
        <f>SUM(I83:I84)</f>
        <v>0</v>
      </c>
      <c r="J107" s="31">
        <f t="shared" ref="J107:AG107" si="19">SUM(J83:J84)</f>
        <v>350041.97237020941</v>
      </c>
      <c r="K107" s="31">
        <f t="shared" si="19"/>
        <v>350041.97237020941</v>
      </c>
      <c r="L107" s="31">
        <f t="shared" si="19"/>
        <v>700083.94474041834</v>
      </c>
      <c r="M107" s="31">
        <f t="shared" si="19"/>
        <v>700083.94474041834</v>
      </c>
      <c r="N107" s="31">
        <f t="shared" si="19"/>
        <v>700083.94474041846</v>
      </c>
      <c r="O107" s="31">
        <f t="shared" si="19"/>
        <v>1050125.9171106277</v>
      </c>
      <c r="P107" s="31">
        <f t="shared" si="19"/>
        <v>1050125.9171106277</v>
      </c>
      <c r="Q107" s="31">
        <f t="shared" si="19"/>
        <v>1400167.8894808369</v>
      </c>
      <c r="R107" s="31">
        <f t="shared" si="19"/>
        <v>1400167.8894808369</v>
      </c>
      <c r="S107" s="31">
        <f t="shared" si="19"/>
        <v>1400167.8894808369</v>
      </c>
      <c r="T107" s="31">
        <f t="shared" si="19"/>
        <v>1400167.8894808369</v>
      </c>
      <c r="U107" s="31">
        <f t="shared" si="19"/>
        <v>1400167.8894808369</v>
      </c>
      <c r="V107" s="31">
        <f t="shared" si="19"/>
        <v>1050125.917110628</v>
      </c>
      <c r="W107" s="31">
        <f t="shared" si="19"/>
        <v>1050125.917110628</v>
      </c>
      <c r="X107" s="31">
        <f t="shared" si="19"/>
        <v>1050125.917110628</v>
      </c>
      <c r="Y107" s="31">
        <f t="shared" si="19"/>
        <v>1050125.917110628</v>
      </c>
      <c r="Z107" s="31">
        <f t="shared" si="19"/>
        <v>1050125.917110628</v>
      </c>
      <c r="AA107" s="31">
        <f t="shared" si="19"/>
        <v>1050125.917110628</v>
      </c>
      <c r="AB107" s="31">
        <f t="shared" si="19"/>
        <v>1050125.917110628</v>
      </c>
      <c r="AC107" s="31">
        <f t="shared" si="19"/>
        <v>1050125.917110628</v>
      </c>
      <c r="AD107" s="31">
        <f t="shared" si="19"/>
        <v>1050125.917110628</v>
      </c>
      <c r="AE107" s="31">
        <f t="shared" si="19"/>
        <v>1050125.917110628</v>
      </c>
      <c r="AF107" s="31">
        <f t="shared" si="19"/>
        <v>1050125.917110628</v>
      </c>
      <c r="AG107" s="31">
        <f t="shared" si="19"/>
        <v>700083.94474041846</v>
      </c>
    </row>
    <row r="108" spans="1:43" x14ac:dyDescent="0.2">
      <c r="D108" s="304" t="str">
        <f>Assumptions!G110</f>
        <v>Capex</v>
      </c>
      <c r="E108" s="304" t="str">
        <f>Assumptions!H110</f>
        <v>Total benefits</v>
      </c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1:43" x14ac:dyDescent="0.2">
      <c r="A109" s="1" t="str">
        <f>"sens"&amp;Assumptions!B111</f>
        <v>sens1</v>
      </c>
      <c r="C109" s="303" t="str">
        <f>Assumptions!C111</f>
        <v>Capex 10% higher</v>
      </c>
      <c r="D109" s="304">
        <f>Assumptions!G111</f>
        <v>0.1</v>
      </c>
      <c r="E109" s="304">
        <f>Assumptions!H111</f>
        <v>0</v>
      </c>
      <c r="G109" s="38" t="str">
        <f>PROPER($A$3)&amp;A109</f>
        <v>Option 5sens1</v>
      </c>
      <c r="I109" s="31" cm="1">
        <f t="array" ref="I109">I$105+IF($C109&lt;&gt;0,SUMPRODUCT((I$106:I$107)*TRANSPOSE(($D109:$E109))),0)</f>
        <v>0</v>
      </c>
      <c r="J109" s="31" cm="1">
        <f t="array" ref="J109">J$105+IF($C109&lt;&gt;0,SUMPRODUCT((J$106:J$107)*TRANSPOSE(($D109:$E109))),0)</f>
        <v>257420.23833688389</v>
      </c>
      <c r="K109" s="31" cm="1">
        <f t="array" ref="K109">K$105+IF($C109&lt;&gt;0,SUMPRODUCT((K$106:K$107)*TRANSPOSE(($D109:$E109))),0)</f>
        <v>167377.84373233459</v>
      </c>
      <c r="L109" s="31" cm="1">
        <f t="array" ref="L109">L$105+IF($C109&lt;&gt;0,SUMPRODUCT((L$106:L$107)*TRANSPOSE(($D109:$E109))),0)</f>
        <v>427377.42149799416</v>
      </c>
      <c r="M109" s="31" cm="1">
        <f t="array" ref="M109">M$105+IF($C109&lt;&gt;0,SUMPRODUCT((M$106:M$107)*TRANSPOSE(($D109:$E109))),0)</f>
        <v>339914.366322221</v>
      </c>
      <c r="N109" s="31" cm="1">
        <f t="array" ref="N109">N$105+IF($C109&lt;&gt;0,SUMPRODUCT((N$106:N$107)*TRANSPOSE(($D109:$E109))),0)</f>
        <v>252451.31114644796</v>
      </c>
      <c r="O109" s="31" cm="1">
        <f t="array" ref="O109">O$105+IF($C109&lt;&gt;0,SUMPRODUCT((O$106:O$107)*TRANSPOSE(($D109:$E109))),0)</f>
        <v>517609.56776966009</v>
      </c>
      <c r="P109" s="31" cm="1">
        <f t="array" ref="P109">P$105+IF($C109&lt;&gt;0,SUMPRODUCT((P$106:P$107)*TRANSPOSE(($D109:$E109))),0)</f>
        <v>435305.19145143928</v>
      </c>
      <c r="Q109" s="31" cm="1">
        <f t="array" ref="Q109">Q$105+IF($C109&lt;&gt;0,SUMPRODUCT((Q$106:Q$107)*TRANSPOSE(($D109:$E109))),0)</f>
        <v>703042.78750342759</v>
      </c>
      <c r="R109" s="31" cm="1">
        <f t="array" ref="R109">R$105+IF($C109&lt;&gt;0,SUMPRODUCT((R$106:R$107)*TRANSPOSE(($D109:$E109))),0)</f>
        <v>646906.98211715394</v>
      </c>
      <c r="S109" s="31" cm="1">
        <f t="array" ref="S109">S$105+IF($C109&lt;&gt;0,SUMPRODUCT((S$106:S$107)*TRANSPOSE(($D109:$E109))),0)</f>
        <v>646906.98211715394</v>
      </c>
      <c r="T109" s="31" cm="1">
        <f t="array" ref="T109">T$105+IF($C109&lt;&gt;0,SUMPRODUCT((T$106:T$107)*TRANSPOSE(($D109:$E109))),0)</f>
        <v>646906.98211715394</v>
      </c>
      <c r="U109" s="31" cm="1">
        <f t="array" ref="U109">U$105+IF($C109&lt;&gt;0,SUMPRODUCT((U$106:U$107)*TRANSPOSE(($D109:$E109))),0)</f>
        <v>646906.98211715394</v>
      </c>
      <c r="V109" s="31" cm="1">
        <f t="array" ref="V109">V$105+IF($C109&lt;&gt;0,SUMPRODUCT((V$106:V$107)*TRANSPOSE(($D109:$E109))),0)</f>
        <v>296865.009746945</v>
      </c>
      <c r="W109" s="31" cm="1">
        <f t="array" ref="W109">W$105+IF($C109&lt;&gt;0,SUMPRODUCT((W$106:W$107)*TRANSPOSE(($D109:$E109))),0)</f>
        <v>296865.009746945</v>
      </c>
      <c r="X109" s="31" cm="1">
        <f t="array" ref="X109">X$105+IF($C109&lt;&gt;0,SUMPRODUCT((X$106:X$107)*TRANSPOSE(($D109:$E109))),0)</f>
        <v>296865.009746945</v>
      </c>
      <c r="Y109" s="31" cm="1">
        <f t="array" ref="Y109">Y$105+IF($C109&lt;&gt;0,SUMPRODUCT((Y$106:Y$107)*TRANSPOSE(($D109:$E109))),0)</f>
        <v>296865.009746945</v>
      </c>
      <c r="Z109" s="31" cm="1">
        <f t="array" ref="Z109">Z$105+IF($C109&lt;&gt;0,SUMPRODUCT((Z$106:Z$107)*TRANSPOSE(($D109:$E109))),0)</f>
        <v>296865.009746945</v>
      </c>
      <c r="AA109" s="31" cm="1">
        <f t="array" ref="AA109">AA$105+IF($C109&lt;&gt;0,SUMPRODUCT((AA$106:AA$107)*TRANSPOSE(($D109:$E109))),0)</f>
        <v>296865.009746945</v>
      </c>
      <c r="AB109" s="31" cm="1">
        <f t="array" ref="AB109">AB$105+IF($C109&lt;&gt;0,SUMPRODUCT((AB$106:AB$107)*TRANSPOSE(($D109:$E109))),0)</f>
        <v>296865.009746945</v>
      </c>
      <c r="AC109" s="31" cm="1">
        <f t="array" ref="AC109">AC$105+IF($C109&lt;&gt;0,SUMPRODUCT((AC$106:AC$107)*TRANSPOSE(($D109:$E109))),0)</f>
        <v>296865.009746945</v>
      </c>
      <c r="AD109" s="31" cm="1">
        <f t="array" ref="AD109">AD$105+IF($C109&lt;&gt;0,SUMPRODUCT((AD$106:AD$107)*TRANSPOSE(($D109:$E109))),0)</f>
        <v>296865.009746945</v>
      </c>
      <c r="AE109" s="31" cm="1">
        <f t="array" ref="AE109">AE$105+IF($C109&lt;&gt;0,SUMPRODUCT((AE$106:AE$107)*TRANSPOSE(($D109:$E109))),0)</f>
        <v>296865.009746945</v>
      </c>
      <c r="AF109" s="31" cm="1">
        <f t="array" ref="AF109">AF$105+IF($C109&lt;&gt;0,SUMPRODUCT((AF$106:AF$107)*TRANSPOSE(($D109:$E109))),0)</f>
        <v>296865.009746945</v>
      </c>
      <c r="AG109" s="31" cm="1">
        <f t="array" ref="AG109">AG$105+IF($C109&lt;&gt;0,SUMPRODUCT((AG$106:AG$107)*TRANSPOSE(($D109:$E109))),0)</f>
        <v>-53176.96262326451</v>
      </c>
    </row>
    <row r="110" spans="1:43" x14ac:dyDescent="0.2">
      <c r="A110" s="1" t="str">
        <f>"sens"&amp;Assumptions!B112</f>
        <v>sens2</v>
      </c>
      <c r="C110" s="303" t="str">
        <f>Assumptions!C112</f>
        <v>Capex 10% lower</v>
      </c>
      <c r="D110" s="304">
        <f>Assumptions!G112</f>
        <v>-0.1</v>
      </c>
      <c r="E110" s="304">
        <f>Assumptions!H112</f>
        <v>0</v>
      </c>
      <c r="G110" s="38" t="str">
        <f t="shared" ref="G110:G116" si="20">PROPER($A$3)&amp;A110</f>
        <v>Option 5sens2</v>
      </c>
      <c r="I110" s="31" cm="1">
        <f t="array" ref="I110">I$105+IF($C110&lt;&gt;0,SUMPRODUCT((I$106:I$107)*TRANSPOSE(($D110:$E110))),0)</f>
        <v>0</v>
      </c>
      <c r="J110" s="31" cm="1">
        <f t="array" ref="J110">J$105+IF($C110&lt;&gt;0,SUMPRODUCT((J$106:J$107)*TRANSPOSE(($D110:$E110))),0)</f>
        <v>274260.55361567036</v>
      </c>
      <c r="K110" s="31" cm="1">
        <f t="array" ref="K110">K$105+IF($C110&lt;&gt;0,SUMPRODUCT((K$106:K$107)*TRANSPOSE(($D110:$E110))),0)</f>
        <v>200589.50348467546</v>
      </c>
      <c r="L110" s="31" cm="1">
        <f t="array" ref="L110">L$105+IF($C110&lt;&gt;0,SUMPRODUCT((L$106:L$107)*TRANSPOSE(($D110:$E110))),0)</f>
        <v>476960.42572388944</v>
      </c>
      <c r="M110" s="31" cm="1">
        <f t="array" ref="M110">M$105+IF($C110&lt;&gt;0,SUMPRODUCT((M$106:M$107)*TRANSPOSE(($D110:$E110))),0)</f>
        <v>405399.74421643873</v>
      </c>
      <c r="N110" s="31" cm="1">
        <f t="array" ref="N110">N$105+IF($C110&lt;&gt;0,SUMPRODUCT((N$106:N$107)*TRANSPOSE(($D110:$E110))),0)</f>
        <v>333839.06270898803</v>
      </c>
      <c r="O110" s="31" cm="1">
        <f t="array" ref="O110">O$105+IF($C110&lt;&gt;0,SUMPRODUCT((O$106:O$107)*TRANSPOSE(($D110:$E110))),0)</f>
        <v>614430.72219529061</v>
      </c>
      <c r="P110" s="31" cm="1">
        <f t="array" ref="P110">P$105+IF($C110&lt;&gt;0,SUMPRODUCT((P$106:P$107)*TRANSPOSE(($D110:$E110))),0)</f>
        <v>547090.77793492808</v>
      </c>
      <c r="Q110" s="31" cm="1">
        <f t="array" ref="Q110">Q$105+IF($C110&lt;&gt;0,SUMPRODUCT((Q$106:Q$107)*TRANSPOSE(($D110:$E110))),0)</f>
        <v>829792.80604477483</v>
      </c>
      <c r="R110" s="31" cm="1">
        <f t="array" ref="R110">R$105+IF($C110&lt;&gt;0,SUMPRODUCT((R$106:R$107)*TRANSPOSE(($D110:$E110))),0)</f>
        <v>783863.51072873268</v>
      </c>
      <c r="S110" s="31" cm="1">
        <f t="array" ref="S110">S$105+IF($C110&lt;&gt;0,SUMPRODUCT((S$106:S$107)*TRANSPOSE(($D110:$E110))),0)</f>
        <v>783863.51072873268</v>
      </c>
      <c r="T110" s="31" cm="1">
        <f t="array" ref="T110">T$105+IF($C110&lt;&gt;0,SUMPRODUCT((T$106:T$107)*TRANSPOSE(($D110:$E110))),0)</f>
        <v>783863.51072873268</v>
      </c>
      <c r="U110" s="31" cm="1">
        <f t="array" ref="U110">U$105+IF($C110&lt;&gt;0,SUMPRODUCT((U$106:U$107)*TRANSPOSE(($D110:$E110))),0)</f>
        <v>783863.51072873268</v>
      </c>
      <c r="V110" s="31" cm="1">
        <f t="array" ref="V110">V$105+IF($C110&lt;&gt;0,SUMPRODUCT((V$106:V$107)*TRANSPOSE(($D110:$E110))),0)</f>
        <v>433821.53835852374</v>
      </c>
      <c r="W110" s="31" cm="1">
        <f t="array" ref="W110">W$105+IF($C110&lt;&gt;0,SUMPRODUCT((W$106:W$107)*TRANSPOSE(($D110:$E110))),0)</f>
        <v>433821.53835852374</v>
      </c>
      <c r="X110" s="31" cm="1">
        <f t="array" ref="X110">X$105+IF($C110&lt;&gt;0,SUMPRODUCT((X$106:X$107)*TRANSPOSE(($D110:$E110))),0)</f>
        <v>433821.53835852374</v>
      </c>
      <c r="Y110" s="31" cm="1">
        <f t="array" ref="Y110">Y$105+IF($C110&lt;&gt;0,SUMPRODUCT((Y$106:Y$107)*TRANSPOSE(($D110:$E110))),0)</f>
        <v>433821.53835852374</v>
      </c>
      <c r="Z110" s="31" cm="1">
        <f t="array" ref="Z110">Z$105+IF($C110&lt;&gt;0,SUMPRODUCT((Z$106:Z$107)*TRANSPOSE(($D110:$E110))),0)</f>
        <v>433821.53835852374</v>
      </c>
      <c r="AA110" s="31" cm="1">
        <f t="array" ref="AA110">AA$105+IF($C110&lt;&gt;0,SUMPRODUCT((AA$106:AA$107)*TRANSPOSE(($D110:$E110))),0)</f>
        <v>433821.53835852374</v>
      </c>
      <c r="AB110" s="31" cm="1">
        <f t="array" ref="AB110">AB$105+IF($C110&lt;&gt;0,SUMPRODUCT((AB$106:AB$107)*TRANSPOSE(($D110:$E110))),0)</f>
        <v>433821.53835852374</v>
      </c>
      <c r="AC110" s="31" cm="1">
        <f t="array" ref="AC110">AC$105+IF($C110&lt;&gt;0,SUMPRODUCT((AC$106:AC$107)*TRANSPOSE(($D110:$E110))),0)</f>
        <v>433821.53835852374</v>
      </c>
      <c r="AD110" s="31" cm="1">
        <f t="array" ref="AD110">AD$105+IF($C110&lt;&gt;0,SUMPRODUCT((AD$106:AD$107)*TRANSPOSE(($D110:$E110))),0)</f>
        <v>433821.53835852374</v>
      </c>
      <c r="AE110" s="31" cm="1">
        <f t="array" ref="AE110">AE$105+IF($C110&lt;&gt;0,SUMPRODUCT((AE$106:AE$107)*TRANSPOSE(($D110:$E110))),0)</f>
        <v>433821.53835852374</v>
      </c>
      <c r="AF110" s="31" cm="1">
        <f t="array" ref="AF110">AF$105+IF($C110&lt;&gt;0,SUMPRODUCT((AF$106:AF$107)*TRANSPOSE(($D110:$E110))),0)</f>
        <v>433821.53835852374</v>
      </c>
      <c r="AG110" s="31" cm="1">
        <f t="array" ref="AG110">AG$105+IF($C110&lt;&gt;0,SUMPRODUCT((AG$106:AG$107)*TRANSPOSE(($D110:$E110))),0)</f>
        <v>83779.565988314207</v>
      </c>
    </row>
    <row r="111" spans="1:43" x14ac:dyDescent="0.2">
      <c r="A111" s="1" t="str">
        <f>"sens"&amp;Assumptions!B113</f>
        <v>sens3</v>
      </c>
      <c r="C111" s="303" t="str">
        <f>Assumptions!C113</f>
        <v>Total benefits 10% higher</v>
      </c>
      <c r="D111" s="304">
        <f>Assumptions!G113</f>
        <v>0</v>
      </c>
      <c r="E111" s="304">
        <f>Assumptions!H113</f>
        <v>0.1</v>
      </c>
      <c r="G111" s="38" t="str">
        <f t="shared" si="20"/>
        <v>Option 5sens3</v>
      </c>
      <c r="I111" s="31" cm="1">
        <f t="array" ref="I111">I$105+IF($C111&lt;&gt;0,SUMPRODUCT((I$106:I$107)*TRANSPOSE(($D111:$E111))),0)</f>
        <v>0</v>
      </c>
      <c r="J111" s="31" cm="1">
        <f t="array" ref="J111">J$105+IF($C111&lt;&gt;0,SUMPRODUCT((J$106:J$107)*TRANSPOSE(($D111:$E111))),0)</f>
        <v>300844.59321329807</v>
      </c>
      <c r="K111" s="31" cm="1">
        <f t="array" ref="K111">K$105+IF($C111&lt;&gt;0,SUMPRODUCT((K$106:K$107)*TRANSPOSE(($D111:$E111))),0)</f>
        <v>218987.87084552596</v>
      </c>
      <c r="L111" s="31" cm="1">
        <f t="array" ref="L111">L$105+IF($C111&lt;&gt;0,SUMPRODUCT((L$106:L$107)*TRANSPOSE(($D111:$E111))),0)</f>
        <v>522177.31808498362</v>
      </c>
      <c r="M111" s="31" cm="1">
        <f t="array" ref="M111">M$105+IF($C111&lt;&gt;0,SUMPRODUCT((M$106:M$107)*TRANSPOSE(($D111:$E111))),0)</f>
        <v>442665.44974337169</v>
      </c>
      <c r="N111" s="31" cm="1">
        <f t="array" ref="N111">N$105+IF($C111&lt;&gt;0,SUMPRODUCT((N$106:N$107)*TRANSPOSE(($D111:$E111))),0)</f>
        <v>363153.58140175988</v>
      </c>
      <c r="O111" s="31" cm="1">
        <f t="array" ref="O111">O$105+IF($C111&lt;&gt;0,SUMPRODUCT((O$106:O$107)*TRANSPOSE(($D111:$E111))),0)</f>
        <v>671032.73669353814</v>
      </c>
      <c r="P111" s="31" cm="1">
        <f t="array" ref="P111">P$105+IF($C111&lt;&gt;0,SUMPRODUCT((P$106:P$107)*TRANSPOSE(($D111:$E111))),0)</f>
        <v>596210.5764042465</v>
      </c>
      <c r="Q111" s="31" cm="1">
        <f t="array" ref="Q111">Q$105+IF($C111&lt;&gt;0,SUMPRODUCT((Q$106:Q$107)*TRANSPOSE(($D111:$E111))),0)</f>
        <v>906434.58572218497</v>
      </c>
      <c r="R111" s="31" cm="1">
        <f t="array" ref="R111">R$105+IF($C111&lt;&gt;0,SUMPRODUCT((R$106:R$107)*TRANSPOSE(($D111:$E111))),0)</f>
        <v>855402.03537102696</v>
      </c>
      <c r="S111" s="31" cm="1">
        <f t="array" ref="S111">S$105+IF($C111&lt;&gt;0,SUMPRODUCT((S$106:S$107)*TRANSPOSE(($D111:$E111))),0)</f>
        <v>855402.03537102696</v>
      </c>
      <c r="T111" s="31" cm="1">
        <f t="array" ref="T111">T$105+IF($C111&lt;&gt;0,SUMPRODUCT((T$106:T$107)*TRANSPOSE(($D111:$E111))),0)</f>
        <v>855402.03537102696</v>
      </c>
      <c r="U111" s="31" cm="1">
        <f t="array" ref="U111">U$105+IF($C111&lt;&gt;0,SUMPRODUCT((U$106:U$107)*TRANSPOSE(($D111:$E111))),0)</f>
        <v>855402.03537102696</v>
      </c>
      <c r="V111" s="31" cm="1">
        <f t="array" ref="V111">V$105+IF($C111&lt;&gt;0,SUMPRODUCT((V$106:V$107)*TRANSPOSE(($D111:$E111))),0)</f>
        <v>470355.86576379719</v>
      </c>
      <c r="W111" s="31" cm="1">
        <f t="array" ref="W111">W$105+IF($C111&lt;&gt;0,SUMPRODUCT((W$106:W$107)*TRANSPOSE(($D111:$E111))),0)</f>
        <v>470355.86576379719</v>
      </c>
      <c r="X111" s="31" cm="1">
        <f t="array" ref="X111">X$105+IF($C111&lt;&gt;0,SUMPRODUCT((X$106:X$107)*TRANSPOSE(($D111:$E111))),0)</f>
        <v>470355.86576379719</v>
      </c>
      <c r="Y111" s="31" cm="1">
        <f t="array" ref="Y111">Y$105+IF($C111&lt;&gt;0,SUMPRODUCT((Y$106:Y$107)*TRANSPOSE(($D111:$E111))),0)</f>
        <v>470355.86576379719</v>
      </c>
      <c r="Z111" s="31" cm="1">
        <f t="array" ref="Z111">Z$105+IF($C111&lt;&gt;0,SUMPRODUCT((Z$106:Z$107)*TRANSPOSE(($D111:$E111))),0)</f>
        <v>470355.86576379719</v>
      </c>
      <c r="AA111" s="31" cm="1">
        <f t="array" ref="AA111">AA$105+IF($C111&lt;&gt;0,SUMPRODUCT((AA$106:AA$107)*TRANSPOSE(($D111:$E111))),0)</f>
        <v>470355.86576379719</v>
      </c>
      <c r="AB111" s="31" cm="1">
        <f t="array" ref="AB111">AB$105+IF($C111&lt;&gt;0,SUMPRODUCT((AB$106:AB$107)*TRANSPOSE(($D111:$E111))),0)</f>
        <v>470355.86576379719</v>
      </c>
      <c r="AC111" s="31" cm="1">
        <f t="array" ref="AC111">AC$105+IF($C111&lt;&gt;0,SUMPRODUCT((AC$106:AC$107)*TRANSPOSE(($D111:$E111))),0)</f>
        <v>470355.86576379719</v>
      </c>
      <c r="AD111" s="31" cm="1">
        <f t="array" ref="AD111">AD$105+IF($C111&lt;&gt;0,SUMPRODUCT((AD$106:AD$107)*TRANSPOSE(($D111:$E111))),0)</f>
        <v>470355.86576379719</v>
      </c>
      <c r="AE111" s="31" cm="1">
        <f t="array" ref="AE111">AE$105+IF($C111&lt;&gt;0,SUMPRODUCT((AE$106:AE$107)*TRANSPOSE(($D111:$E111))),0)</f>
        <v>470355.86576379719</v>
      </c>
      <c r="AF111" s="31" cm="1">
        <f t="array" ref="AF111">AF$105+IF($C111&lt;&gt;0,SUMPRODUCT((AF$106:AF$107)*TRANSPOSE(($D111:$E111))),0)</f>
        <v>470355.86576379719</v>
      </c>
      <c r="AG111" s="31" cm="1">
        <f t="array" ref="AG111">AG$105+IF($C111&lt;&gt;0,SUMPRODUCT((AG$106:AG$107)*TRANSPOSE(($D111:$E111))),0)</f>
        <v>85309.696156566701</v>
      </c>
    </row>
    <row r="112" spans="1:43" x14ac:dyDescent="0.2">
      <c r="A112" s="1" t="str">
        <f>"sens"&amp;Assumptions!B114</f>
        <v>sens4</v>
      </c>
      <c r="C112" s="303" t="str">
        <f>Assumptions!C114</f>
        <v>Total benefits 10% lower</v>
      </c>
      <c r="D112" s="304">
        <f>Assumptions!G114</f>
        <v>0</v>
      </c>
      <c r="E112" s="304">
        <f>Assumptions!H114</f>
        <v>-0.1</v>
      </c>
      <c r="G112" s="38" t="str">
        <f t="shared" si="20"/>
        <v>Option 5sens4</v>
      </c>
      <c r="I112" s="31" cm="1">
        <f t="array" ref="I112">I$105+IF($C112&lt;&gt;0,SUMPRODUCT((I$106:I$107)*TRANSPOSE(($D112:$E112))),0)</f>
        <v>0</v>
      </c>
      <c r="J112" s="31" cm="1">
        <f t="array" ref="J112">J$105+IF($C112&lt;&gt;0,SUMPRODUCT((J$106:J$107)*TRANSPOSE(($D112:$E112))),0)</f>
        <v>230836.19873925619</v>
      </c>
      <c r="K112" s="31" cm="1">
        <f t="array" ref="K112">K$105+IF($C112&lt;&gt;0,SUMPRODUCT((K$106:K$107)*TRANSPOSE(($D112:$E112))),0)</f>
        <v>148979.47637148408</v>
      </c>
      <c r="L112" s="31" cm="1">
        <f t="array" ref="L112">L$105+IF($C112&lt;&gt;0,SUMPRODUCT((L$106:L$107)*TRANSPOSE(($D112:$E112))),0)</f>
        <v>382160.52913689998</v>
      </c>
      <c r="M112" s="31" cm="1">
        <f t="array" ref="M112">M$105+IF($C112&lt;&gt;0,SUMPRODUCT((M$106:M$107)*TRANSPOSE(($D112:$E112))),0)</f>
        <v>302648.66079528804</v>
      </c>
      <c r="N112" s="31" cm="1">
        <f t="array" ref="N112">N$105+IF($C112&lt;&gt;0,SUMPRODUCT((N$106:N$107)*TRANSPOSE(($D112:$E112))),0)</f>
        <v>223136.79245367614</v>
      </c>
      <c r="O112" s="31" cm="1">
        <f t="array" ref="O112">O$105+IF($C112&lt;&gt;0,SUMPRODUCT((O$106:O$107)*TRANSPOSE(($D112:$E112))),0)</f>
        <v>461007.55327141256</v>
      </c>
      <c r="P112" s="31" cm="1">
        <f t="array" ref="P112">P$105+IF($C112&lt;&gt;0,SUMPRODUCT((P$106:P$107)*TRANSPOSE(($D112:$E112))),0)</f>
        <v>386185.39298212092</v>
      </c>
      <c r="Q112" s="31" cm="1">
        <f t="array" ref="Q112">Q$105+IF($C112&lt;&gt;0,SUMPRODUCT((Q$106:Q$107)*TRANSPOSE(($D112:$E112))),0)</f>
        <v>626401.00782601745</v>
      </c>
      <c r="R112" s="31" cm="1">
        <f t="array" ref="R112">R$105+IF($C112&lt;&gt;0,SUMPRODUCT((R$106:R$107)*TRANSPOSE(($D112:$E112))),0)</f>
        <v>575368.45747485966</v>
      </c>
      <c r="S112" s="31" cm="1">
        <f t="array" ref="S112">S$105+IF($C112&lt;&gt;0,SUMPRODUCT((S$106:S$107)*TRANSPOSE(($D112:$E112))),0)</f>
        <v>575368.45747485966</v>
      </c>
      <c r="T112" s="31" cm="1">
        <f t="array" ref="T112">T$105+IF($C112&lt;&gt;0,SUMPRODUCT((T$106:T$107)*TRANSPOSE(($D112:$E112))),0)</f>
        <v>575368.45747485966</v>
      </c>
      <c r="U112" s="31" cm="1">
        <f t="array" ref="U112">U$105+IF($C112&lt;&gt;0,SUMPRODUCT((U$106:U$107)*TRANSPOSE(($D112:$E112))),0)</f>
        <v>575368.45747485966</v>
      </c>
      <c r="V112" s="31" cm="1">
        <f t="array" ref="V112">V$105+IF($C112&lt;&gt;0,SUMPRODUCT((V$106:V$107)*TRANSPOSE(($D112:$E112))),0)</f>
        <v>260330.68234167155</v>
      </c>
      <c r="W112" s="31" cm="1">
        <f t="array" ref="W112">W$105+IF($C112&lt;&gt;0,SUMPRODUCT((W$106:W$107)*TRANSPOSE(($D112:$E112))),0)</f>
        <v>260330.68234167155</v>
      </c>
      <c r="X112" s="31" cm="1">
        <f t="array" ref="X112">X$105+IF($C112&lt;&gt;0,SUMPRODUCT((X$106:X$107)*TRANSPOSE(($D112:$E112))),0)</f>
        <v>260330.68234167155</v>
      </c>
      <c r="Y112" s="31" cm="1">
        <f t="array" ref="Y112">Y$105+IF($C112&lt;&gt;0,SUMPRODUCT((Y$106:Y$107)*TRANSPOSE(($D112:$E112))),0)</f>
        <v>260330.68234167155</v>
      </c>
      <c r="Z112" s="31" cm="1">
        <f t="array" ref="Z112">Z$105+IF($C112&lt;&gt;0,SUMPRODUCT((Z$106:Z$107)*TRANSPOSE(($D112:$E112))),0)</f>
        <v>260330.68234167155</v>
      </c>
      <c r="AA112" s="31" cm="1">
        <f t="array" ref="AA112">AA$105+IF($C112&lt;&gt;0,SUMPRODUCT((AA$106:AA$107)*TRANSPOSE(($D112:$E112))),0)</f>
        <v>260330.68234167155</v>
      </c>
      <c r="AB112" s="31" cm="1">
        <f t="array" ref="AB112">AB$105+IF($C112&lt;&gt;0,SUMPRODUCT((AB$106:AB$107)*TRANSPOSE(($D112:$E112))),0)</f>
        <v>260330.68234167155</v>
      </c>
      <c r="AC112" s="31" cm="1">
        <f t="array" ref="AC112">AC$105+IF($C112&lt;&gt;0,SUMPRODUCT((AC$106:AC$107)*TRANSPOSE(($D112:$E112))),0)</f>
        <v>260330.68234167155</v>
      </c>
      <c r="AD112" s="31" cm="1">
        <f t="array" ref="AD112">AD$105+IF($C112&lt;&gt;0,SUMPRODUCT((AD$106:AD$107)*TRANSPOSE(($D112:$E112))),0)</f>
        <v>260330.68234167155</v>
      </c>
      <c r="AE112" s="31" cm="1">
        <f t="array" ref="AE112">AE$105+IF($C112&lt;&gt;0,SUMPRODUCT((AE$106:AE$107)*TRANSPOSE(($D112:$E112))),0)</f>
        <v>260330.68234167155</v>
      </c>
      <c r="AF112" s="31" cm="1">
        <f t="array" ref="AF112">AF$105+IF($C112&lt;&gt;0,SUMPRODUCT((AF$106:AF$107)*TRANSPOSE(($D112:$E112))),0)</f>
        <v>260330.68234167155</v>
      </c>
      <c r="AG112" s="31" cm="1">
        <f t="array" ref="AG112">AG$105+IF($C112&lt;&gt;0,SUMPRODUCT((AG$106:AG$107)*TRANSPOSE(($D112:$E112))),0)</f>
        <v>-54707.092791517003</v>
      </c>
    </row>
    <row r="113" spans="1:33" x14ac:dyDescent="0.2">
      <c r="A113" s="1" t="str">
        <f>"sens"&amp;Assumptions!B115</f>
        <v>sens5</v>
      </c>
      <c r="C113" s="303" t="str">
        <f>Assumptions!C115</f>
        <v>Capex 10% higher &amp; Total benefits 10% lower</v>
      </c>
      <c r="D113" s="304">
        <f>Assumptions!G115</f>
        <v>0.1</v>
      </c>
      <c r="E113" s="304">
        <f>Assumptions!H115</f>
        <v>-0.1</v>
      </c>
      <c r="G113" s="38" t="str">
        <f t="shared" si="20"/>
        <v>Option 5sens5</v>
      </c>
      <c r="I113" s="31" cm="1">
        <f t="array" ref="I113">I$105+IF($C113&lt;&gt;0,SUMPRODUCT((I$106:I$107)*TRANSPOSE(($D113:$E113))),0)</f>
        <v>0</v>
      </c>
      <c r="J113" s="31" cm="1">
        <f t="array" ref="J113">J$105+IF($C113&lt;&gt;0,SUMPRODUCT((J$106:J$107)*TRANSPOSE(($D113:$E113))),0)</f>
        <v>222416.04109986295</v>
      </c>
      <c r="K113" s="31" cm="1">
        <f t="array" ref="K113">K$105+IF($C113&lt;&gt;0,SUMPRODUCT((K$106:K$107)*TRANSPOSE(($D113:$E113))),0)</f>
        <v>132373.64649531365</v>
      </c>
      <c r="L113" s="31" cm="1">
        <f t="array" ref="L113">L$105+IF($C113&lt;&gt;0,SUMPRODUCT((L$106:L$107)*TRANSPOSE(($D113:$E113))),0)</f>
        <v>357369.02702395234</v>
      </c>
      <c r="M113" s="31" cm="1">
        <f t="array" ref="M113">M$105+IF($C113&lt;&gt;0,SUMPRODUCT((M$106:M$107)*TRANSPOSE(($D113:$E113))),0)</f>
        <v>269905.97184817918</v>
      </c>
      <c r="N113" s="31" cm="1">
        <f t="array" ref="N113">N$105+IF($C113&lt;&gt;0,SUMPRODUCT((N$106:N$107)*TRANSPOSE(($D113:$E113))),0)</f>
        <v>182442.91667240608</v>
      </c>
      <c r="O113" s="31" cm="1">
        <f t="array" ref="O113">O$105+IF($C113&lt;&gt;0,SUMPRODUCT((O$106:O$107)*TRANSPOSE(($D113:$E113))),0)</f>
        <v>412596.97605859733</v>
      </c>
      <c r="P113" s="31" cm="1">
        <f t="array" ref="P113">P$105+IF($C113&lt;&gt;0,SUMPRODUCT((P$106:P$107)*TRANSPOSE(($D113:$E113))),0)</f>
        <v>330292.59974037646</v>
      </c>
      <c r="Q113" s="31" cm="1">
        <f t="array" ref="Q113">Q$105+IF($C113&lt;&gt;0,SUMPRODUCT((Q$106:Q$107)*TRANSPOSE(($D113:$E113))),0)</f>
        <v>563025.99855534395</v>
      </c>
      <c r="R113" s="31" cm="1">
        <f t="array" ref="R113">R$105+IF($C113&lt;&gt;0,SUMPRODUCT((R$106:R$107)*TRANSPOSE(($D113:$E113))),0)</f>
        <v>506890.19316907023</v>
      </c>
      <c r="S113" s="31" cm="1">
        <f t="array" ref="S113">S$105+IF($C113&lt;&gt;0,SUMPRODUCT((S$106:S$107)*TRANSPOSE(($D113:$E113))),0)</f>
        <v>506890.19316907023</v>
      </c>
      <c r="T113" s="31" cm="1">
        <f t="array" ref="T113">T$105+IF($C113&lt;&gt;0,SUMPRODUCT((T$106:T$107)*TRANSPOSE(($D113:$E113))),0)</f>
        <v>506890.19316907023</v>
      </c>
      <c r="U113" s="31" cm="1">
        <f t="array" ref="U113">U$105+IF($C113&lt;&gt;0,SUMPRODUCT((U$106:U$107)*TRANSPOSE(($D113:$E113))),0)</f>
        <v>506890.19316907023</v>
      </c>
      <c r="V113" s="31" cm="1">
        <f t="array" ref="V113">V$105+IF($C113&lt;&gt;0,SUMPRODUCT((V$106:V$107)*TRANSPOSE(($D113:$E113))),0)</f>
        <v>191852.41803588221</v>
      </c>
      <c r="W113" s="31" cm="1">
        <f t="array" ref="W113">W$105+IF($C113&lt;&gt;0,SUMPRODUCT((W$106:W$107)*TRANSPOSE(($D113:$E113))),0)</f>
        <v>191852.41803588221</v>
      </c>
      <c r="X113" s="31" cm="1">
        <f t="array" ref="X113">X$105+IF($C113&lt;&gt;0,SUMPRODUCT((X$106:X$107)*TRANSPOSE(($D113:$E113))),0)</f>
        <v>191852.41803588221</v>
      </c>
      <c r="Y113" s="31" cm="1">
        <f t="array" ref="Y113">Y$105+IF($C113&lt;&gt;0,SUMPRODUCT((Y$106:Y$107)*TRANSPOSE(($D113:$E113))),0)</f>
        <v>191852.41803588221</v>
      </c>
      <c r="Z113" s="31" cm="1">
        <f t="array" ref="Z113">Z$105+IF($C113&lt;&gt;0,SUMPRODUCT((Z$106:Z$107)*TRANSPOSE(($D113:$E113))),0)</f>
        <v>191852.41803588221</v>
      </c>
      <c r="AA113" s="31" cm="1">
        <f t="array" ref="AA113">AA$105+IF($C113&lt;&gt;0,SUMPRODUCT((AA$106:AA$107)*TRANSPOSE(($D113:$E113))),0)</f>
        <v>191852.41803588221</v>
      </c>
      <c r="AB113" s="31" cm="1">
        <f t="array" ref="AB113">AB$105+IF($C113&lt;&gt;0,SUMPRODUCT((AB$106:AB$107)*TRANSPOSE(($D113:$E113))),0)</f>
        <v>191852.41803588221</v>
      </c>
      <c r="AC113" s="31" cm="1">
        <f t="array" ref="AC113">AC$105+IF($C113&lt;&gt;0,SUMPRODUCT((AC$106:AC$107)*TRANSPOSE(($D113:$E113))),0)</f>
        <v>191852.41803588221</v>
      </c>
      <c r="AD113" s="31" cm="1">
        <f t="array" ref="AD113">AD$105+IF($C113&lt;&gt;0,SUMPRODUCT((AD$106:AD$107)*TRANSPOSE(($D113:$E113))),0)</f>
        <v>191852.41803588221</v>
      </c>
      <c r="AE113" s="31" cm="1">
        <f t="array" ref="AE113">AE$105+IF($C113&lt;&gt;0,SUMPRODUCT((AE$106:AE$107)*TRANSPOSE(($D113:$E113))),0)</f>
        <v>191852.41803588221</v>
      </c>
      <c r="AF113" s="31" cm="1">
        <f t="array" ref="AF113">AF$105+IF($C113&lt;&gt;0,SUMPRODUCT((AF$106:AF$107)*TRANSPOSE(($D113:$E113))),0)</f>
        <v>191852.41803588221</v>
      </c>
      <c r="AG113" s="31" cm="1">
        <f t="array" ref="AG113">AG$105+IF($C113&lt;&gt;0,SUMPRODUCT((AG$106:AG$107)*TRANSPOSE(($D113:$E113))),0)</f>
        <v>-123185.35709730635</v>
      </c>
    </row>
    <row r="114" spans="1:33" x14ac:dyDescent="0.2">
      <c r="A114" s="1" t="str">
        <f>"sens"&amp;Assumptions!B116</f>
        <v>sens</v>
      </c>
      <c r="C114" s="303">
        <f>Assumptions!C116</f>
        <v>0</v>
      </c>
      <c r="D114" s="304">
        <f>Assumptions!G116</f>
        <v>0</v>
      </c>
      <c r="E114" s="304">
        <f>Assumptions!H116</f>
        <v>0</v>
      </c>
      <c r="G114" s="38" t="str">
        <f t="shared" si="20"/>
        <v>Option 5sens</v>
      </c>
      <c r="I114" s="31" cm="1">
        <f t="array" ref="I114">I$105+IF($C114&lt;&gt;0,SUMPRODUCT((I$106:I$107)*TRANSPOSE(($D114:$E114))),0)</f>
        <v>0</v>
      </c>
      <c r="J114" s="31" cm="1">
        <f t="array" ref="J114">J$105+IF($C114&lt;&gt;0,SUMPRODUCT((J$106:J$107)*TRANSPOSE(($D114:$E114))),0)</f>
        <v>265840.39597627713</v>
      </c>
      <c r="K114" s="31" cm="1">
        <f t="array" ref="K114">K$105+IF($C114&lt;&gt;0,SUMPRODUCT((K$106:K$107)*TRANSPOSE(($D114:$E114))),0)</f>
        <v>183983.67360850502</v>
      </c>
      <c r="L114" s="31" cm="1">
        <f t="array" ref="L114">L$105+IF($C114&lt;&gt;0,SUMPRODUCT((L$106:L$107)*TRANSPOSE(($D114:$E114))),0)</f>
        <v>452168.9236109418</v>
      </c>
      <c r="M114" s="31" cm="1">
        <f t="array" ref="M114">M$105+IF($C114&lt;&gt;0,SUMPRODUCT((M$106:M$107)*TRANSPOSE(($D114:$E114))),0)</f>
        <v>372657.05526932987</v>
      </c>
      <c r="N114" s="31" cm="1">
        <f t="array" ref="N114">N$105+IF($C114&lt;&gt;0,SUMPRODUCT((N$106:N$107)*TRANSPOSE(($D114:$E114))),0)</f>
        <v>293145.18692771799</v>
      </c>
      <c r="O114" s="31" cm="1">
        <f t="array" ref="O114">O$105+IF($C114&lt;&gt;0,SUMPRODUCT((O$106:O$107)*TRANSPOSE(($D114:$E114))),0)</f>
        <v>566020.14498247532</v>
      </c>
      <c r="P114" s="31" cm="1">
        <f t="array" ref="P114">P$105+IF($C114&lt;&gt;0,SUMPRODUCT((P$106:P$107)*TRANSPOSE(($D114:$E114))),0)</f>
        <v>491197.98469318368</v>
      </c>
      <c r="Q114" s="31" cm="1">
        <f t="array" ref="Q114">Q$105+IF($C114&lt;&gt;0,SUMPRODUCT((Q$106:Q$107)*TRANSPOSE(($D114:$E114))),0)</f>
        <v>766417.79677410121</v>
      </c>
      <c r="R114" s="31" cm="1">
        <f t="array" ref="R114">R$105+IF($C114&lt;&gt;0,SUMPRODUCT((R$106:R$107)*TRANSPOSE(($D114:$E114))),0)</f>
        <v>715385.24642294331</v>
      </c>
      <c r="S114" s="31" cm="1">
        <f t="array" ref="S114">S$105+IF($C114&lt;&gt;0,SUMPRODUCT((S$106:S$107)*TRANSPOSE(($D114:$E114))),0)</f>
        <v>715385.24642294331</v>
      </c>
      <c r="T114" s="31" cm="1">
        <f t="array" ref="T114">T$105+IF($C114&lt;&gt;0,SUMPRODUCT((T$106:T$107)*TRANSPOSE(($D114:$E114))),0)</f>
        <v>715385.24642294331</v>
      </c>
      <c r="U114" s="31" cm="1">
        <f t="array" ref="U114">U$105+IF($C114&lt;&gt;0,SUMPRODUCT((U$106:U$107)*TRANSPOSE(($D114:$E114))),0)</f>
        <v>715385.24642294331</v>
      </c>
      <c r="V114" s="31" cm="1">
        <f t="array" ref="V114">V$105+IF($C114&lt;&gt;0,SUMPRODUCT((V$106:V$107)*TRANSPOSE(($D114:$E114))),0)</f>
        <v>365343.27405273437</v>
      </c>
      <c r="W114" s="31" cm="1">
        <f t="array" ref="W114">W$105+IF($C114&lt;&gt;0,SUMPRODUCT((W$106:W$107)*TRANSPOSE(($D114:$E114))),0)</f>
        <v>365343.27405273437</v>
      </c>
      <c r="X114" s="31" cm="1">
        <f t="array" ref="X114">X$105+IF($C114&lt;&gt;0,SUMPRODUCT((X$106:X$107)*TRANSPOSE(($D114:$E114))),0)</f>
        <v>365343.27405273437</v>
      </c>
      <c r="Y114" s="31" cm="1">
        <f t="array" ref="Y114">Y$105+IF($C114&lt;&gt;0,SUMPRODUCT((Y$106:Y$107)*TRANSPOSE(($D114:$E114))),0)</f>
        <v>365343.27405273437</v>
      </c>
      <c r="Z114" s="31" cm="1">
        <f t="array" ref="Z114">Z$105+IF($C114&lt;&gt;0,SUMPRODUCT((Z$106:Z$107)*TRANSPOSE(($D114:$E114))),0)</f>
        <v>365343.27405273437</v>
      </c>
      <c r="AA114" s="31" cm="1">
        <f t="array" ref="AA114">AA$105+IF($C114&lt;&gt;0,SUMPRODUCT((AA$106:AA$107)*TRANSPOSE(($D114:$E114))),0)</f>
        <v>365343.27405273437</v>
      </c>
      <c r="AB114" s="31" cm="1">
        <f t="array" ref="AB114">AB$105+IF($C114&lt;&gt;0,SUMPRODUCT((AB$106:AB$107)*TRANSPOSE(($D114:$E114))),0)</f>
        <v>365343.27405273437</v>
      </c>
      <c r="AC114" s="31" cm="1">
        <f t="array" ref="AC114">AC$105+IF($C114&lt;&gt;0,SUMPRODUCT((AC$106:AC$107)*TRANSPOSE(($D114:$E114))),0)</f>
        <v>365343.27405273437</v>
      </c>
      <c r="AD114" s="31" cm="1">
        <f t="array" ref="AD114">AD$105+IF($C114&lt;&gt;0,SUMPRODUCT((AD$106:AD$107)*TRANSPOSE(($D114:$E114))),0)</f>
        <v>365343.27405273437</v>
      </c>
      <c r="AE114" s="31" cm="1">
        <f t="array" ref="AE114">AE$105+IF($C114&lt;&gt;0,SUMPRODUCT((AE$106:AE$107)*TRANSPOSE(($D114:$E114))),0)</f>
        <v>365343.27405273437</v>
      </c>
      <c r="AF114" s="31" cm="1">
        <f t="array" ref="AF114">AF$105+IF($C114&lt;&gt;0,SUMPRODUCT((AF$106:AF$107)*TRANSPOSE(($D114:$E114))),0)</f>
        <v>365343.27405273437</v>
      </c>
      <c r="AG114" s="31" cm="1">
        <f t="array" ref="AG114">AG$105+IF($C114&lt;&gt;0,SUMPRODUCT((AG$106:AG$107)*TRANSPOSE(($D114:$E114))),0)</f>
        <v>15301.301682524849</v>
      </c>
    </row>
    <row r="115" spans="1:33" x14ac:dyDescent="0.2">
      <c r="A115" s="1" t="str">
        <f>"sens"&amp;Assumptions!B117</f>
        <v>sens</v>
      </c>
      <c r="C115" s="303">
        <f>Assumptions!C117</f>
        <v>0</v>
      </c>
      <c r="D115" s="304">
        <f>Assumptions!G117</f>
        <v>0</v>
      </c>
      <c r="E115" s="304">
        <f>Assumptions!H117</f>
        <v>0</v>
      </c>
      <c r="G115" s="38" t="str">
        <f t="shared" si="20"/>
        <v>Option 5sens</v>
      </c>
      <c r="I115" s="31" cm="1">
        <f t="array" ref="I115">I$105+IF($C115&lt;&gt;0,SUMPRODUCT((I$106:I$107)*TRANSPOSE(($D115:$E115))),0)</f>
        <v>0</v>
      </c>
      <c r="J115" s="31" cm="1">
        <f t="array" ref="J115">J$105+IF($C115&lt;&gt;0,SUMPRODUCT((J$106:J$107)*TRANSPOSE(($D115:$E115))),0)</f>
        <v>265840.39597627713</v>
      </c>
      <c r="K115" s="31" cm="1">
        <f t="array" ref="K115">K$105+IF($C115&lt;&gt;0,SUMPRODUCT((K$106:K$107)*TRANSPOSE(($D115:$E115))),0)</f>
        <v>183983.67360850502</v>
      </c>
      <c r="L115" s="31" cm="1">
        <f t="array" ref="L115">L$105+IF($C115&lt;&gt;0,SUMPRODUCT((L$106:L$107)*TRANSPOSE(($D115:$E115))),0)</f>
        <v>452168.9236109418</v>
      </c>
      <c r="M115" s="31" cm="1">
        <f t="array" ref="M115">M$105+IF($C115&lt;&gt;0,SUMPRODUCT((M$106:M$107)*TRANSPOSE(($D115:$E115))),0)</f>
        <v>372657.05526932987</v>
      </c>
      <c r="N115" s="31" cm="1">
        <f t="array" ref="N115">N$105+IF($C115&lt;&gt;0,SUMPRODUCT((N$106:N$107)*TRANSPOSE(($D115:$E115))),0)</f>
        <v>293145.18692771799</v>
      </c>
      <c r="O115" s="31" cm="1">
        <f t="array" ref="O115">O$105+IF($C115&lt;&gt;0,SUMPRODUCT((O$106:O$107)*TRANSPOSE(($D115:$E115))),0)</f>
        <v>566020.14498247532</v>
      </c>
      <c r="P115" s="31" cm="1">
        <f t="array" ref="P115">P$105+IF($C115&lt;&gt;0,SUMPRODUCT((P$106:P$107)*TRANSPOSE(($D115:$E115))),0)</f>
        <v>491197.98469318368</v>
      </c>
      <c r="Q115" s="31" cm="1">
        <f t="array" ref="Q115">Q$105+IF($C115&lt;&gt;0,SUMPRODUCT((Q$106:Q$107)*TRANSPOSE(($D115:$E115))),0)</f>
        <v>766417.79677410121</v>
      </c>
      <c r="R115" s="31" cm="1">
        <f t="array" ref="R115">R$105+IF($C115&lt;&gt;0,SUMPRODUCT((R$106:R$107)*TRANSPOSE(($D115:$E115))),0)</f>
        <v>715385.24642294331</v>
      </c>
      <c r="S115" s="31" cm="1">
        <f t="array" ref="S115">S$105+IF($C115&lt;&gt;0,SUMPRODUCT((S$106:S$107)*TRANSPOSE(($D115:$E115))),0)</f>
        <v>715385.24642294331</v>
      </c>
      <c r="T115" s="31" cm="1">
        <f t="array" ref="T115">T$105+IF($C115&lt;&gt;0,SUMPRODUCT((T$106:T$107)*TRANSPOSE(($D115:$E115))),0)</f>
        <v>715385.24642294331</v>
      </c>
      <c r="U115" s="31" cm="1">
        <f t="array" ref="U115">U$105+IF($C115&lt;&gt;0,SUMPRODUCT((U$106:U$107)*TRANSPOSE(($D115:$E115))),0)</f>
        <v>715385.24642294331</v>
      </c>
      <c r="V115" s="31" cm="1">
        <f t="array" ref="V115">V$105+IF($C115&lt;&gt;0,SUMPRODUCT((V$106:V$107)*TRANSPOSE(($D115:$E115))),0)</f>
        <v>365343.27405273437</v>
      </c>
      <c r="W115" s="31" cm="1">
        <f t="array" ref="W115">W$105+IF($C115&lt;&gt;0,SUMPRODUCT((W$106:W$107)*TRANSPOSE(($D115:$E115))),0)</f>
        <v>365343.27405273437</v>
      </c>
      <c r="X115" s="31" cm="1">
        <f t="array" ref="X115">X$105+IF($C115&lt;&gt;0,SUMPRODUCT((X$106:X$107)*TRANSPOSE(($D115:$E115))),0)</f>
        <v>365343.27405273437</v>
      </c>
      <c r="Y115" s="31" cm="1">
        <f t="array" ref="Y115">Y$105+IF($C115&lt;&gt;0,SUMPRODUCT((Y$106:Y$107)*TRANSPOSE(($D115:$E115))),0)</f>
        <v>365343.27405273437</v>
      </c>
      <c r="Z115" s="31" cm="1">
        <f t="array" ref="Z115">Z$105+IF($C115&lt;&gt;0,SUMPRODUCT((Z$106:Z$107)*TRANSPOSE(($D115:$E115))),0)</f>
        <v>365343.27405273437</v>
      </c>
      <c r="AA115" s="31" cm="1">
        <f t="array" ref="AA115">AA$105+IF($C115&lt;&gt;0,SUMPRODUCT((AA$106:AA$107)*TRANSPOSE(($D115:$E115))),0)</f>
        <v>365343.27405273437</v>
      </c>
      <c r="AB115" s="31" cm="1">
        <f t="array" ref="AB115">AB$105+IF($C115&lt;&gt;0,SUMPRODUCT((AB$106:AB$107)*TRANSPOSE(($D115:$E115))),0)</f>
        <v>365343.27405273437</v>
      </c>
      <c r="AC115" s="31" cm="1">
        <f t="array" ref="AC115">AC$105+IF($C115&lt;&gt;0,SUMPRODUCT((AC$106:AC$107)*TRANSPOSE(($D115:$E115))),0)</f>
        <v>365343.27405273437</v>
      </c>
      <c r="AD115" s="31" cm="1">
        <f t="array" ref="AD115">AD$105+IF($C115&lt;&gt;0,SUMPRODUCT((AD$106:AD$107)*TRANSPOSE(($D115:$E115))),0)</f>
        <v>365343.27405273437</v>
      </c>
      <c r="AE115" s="31" cm="1">
        <f t="array" ref="AE115">AE$105+IF($C115&lt;&gt;0,SUMPRODUCT((AE$106:AE$107)*TRANSPOSE(($D115:$E115))),0)</f>
        <v>365343.27405273437</v>
      </c>
      <c r="AF115" s="31" cm="1">
        <f t="array" ref="AF115">AF$105+IF($C115&lt;&gt;0,SUMPRODUCT((AF$106:AF$107)*TRANSPOSE(($D115:$E115))),0)</f>
        <v>365343.27405273437</v>
      </c>
      <c r="AG115" s="31" cm="1">
        <f t="array" ref="AG115">AG$105+IF($C115&lt;&gt;0,SUMPRODUCT((AG$106:AG$107)*TRANSPOSE(($D115:$E115))),0)</f>
        <v>15301.301682524849</v>
      </c>
    </row>
    <row r="116" spans="1:33" x14ac:dyDescent="0.2">
      <c r="A116" s="1" t="str">
        <f>"sens"&amp;Assumptions!B118</f>
        <v>sens</v>
      </c>
      <c r="C116" s="303">
        <f>Assumptions!C118</f>
        <v>0</v>
      </c>
      <c r="D116" s="304">
        <f>Assumptions!G118</f>
        <v>0</v>
      </c>
      <c r="E116" s="304">
        <f>Assumptions!H118</f>
        <v>0</v>
      </c>
      <c r="G116" s="38" t="str">
        <f t="shared" si="20"/>
        <v>Option 5sens</v>
      </c>
      <c r="I116" s="31" cm="1">
        <f t="array" ref="I116">I$105+IF($C116&lt;&gt;0,SUMPRODUCT((I$106:I$107)*TRANSPOSE(($D116:$E116))),0)</f>
        <v>0</v>
      </c>
      <c r="J116" s="31" cm="1">
        <f t="array" ref="J116">J$105+IF($C116&lt;&gt;0,SUMPRODUCT((J$106:J$107)*TRANSPOSE(($D116:$E116))),0)</f>
        <v>265840.39597627713</v>
      </c>
      <c r="K116" s="31" cm="1">
        <f t="array" ref="K116">K$105+IF($C116&lt;&gt;0,SUMPRODUCT((K$106:K$107)*TRANSPOSE(($D116:$E116))),0)</f>
        <v>183983.67360850502</v>
      </c>
      <c r="L116" s="31" cm="1">
        <f t="array" ref="L116">L$105+IF($C116&lt;&gt;0,SUMPRODUCT((L$106:L$107)*TRANSPOSE(($D116:$E116))),0)</f>
        <v>452168.9236109418</v>
      </c>
      <c r="M116" s="31" cm="1">
        <f t="array" ref="M116">M$105+IF($C116&lt;&gt;0,SUMPRODUCT((M$106:M$107)*TRANSPOSE(($D116:$E116))),0)</f>
        <v>372657.05526932987</v>
      </c>
      <c r="N116" s="31" cm="1">
        <f t="array" ref="N116">N$105+IF($C116&lt;&gt;0,SUMPRODUCT((N$106:N$107)*TRANSPOSE(($D116:$E116))),0)</f>
        <v>293145.18692771799</v>
      </c>
      <c r="O116" s="31" cm="1">
        <f t="array" ref="O116">O$105+IF($C116&lt;&gt;0,SUMPRODUCT((O$106:O$107)*TRANSPOSE(($D116:$E116))),0)</f>
        <v>566020.14498247532</v>
      </c>
      <c r="P116" s="31" cm="1">
        <f t="array" ref="P116">P$105+IF($C116&lt;&gt;0,SUMPRODUCT((P$106:P$107)*TRANSPOSE(($D116:$E116))),0)</f>
        <v>491197.98469318368</v>
      </c>
      <c r="Q116" s="31" cm="1">
        <f t="array" ref="Q116">Q$105+IF($C116&lt;&gt;0,SUMPRODUCT((Q$106:Q$107)*TRANSPOSE(($D116:$E116))),0)</f>
        <v>766417.79677410121</v>
      </c>
      <c r="R116" s="31" cm="1">
        <f t="array" ref="R116">R$105+IF($C116&lt;&gt;0,SUMPRODUCT((R$106:R$107)*TRANSPOSE(($D116:$E116))),0)</f>
        <v>715385.24642294331</v>
      </c>
      <c r="S116" s="31" cm="1">
        <f t="array" ref="S116">S$105+IF($C116&lt;&gt;0,SUMPRODUCT((S$106:S$107)*TRANSPOSE(($D116:$E116))),0)</f>
        <v>715385.24642294331</v>
      </c>
      <c r="T116" s="31" cm="1">
        <f t="array" ref="T116">T$105+IF($C116&lt;&gt;0,SUMPRODUCT((T$106:T$107)*TRANSPOSE(($D116:$E116))),0)</f>
        <v>715385.24642294331</v>
      </c>
      <c r="U116" s="31" cm="1">
        <f t="array" ref="U116">U$105+IF($C116&lt;&gt;0,SUMPRODUCT((U$106:U$107)*TRANSPOSE(($D116:$E116))),0)</f>
        <v>715385.24642294331</v>
      </c>
      <c r="V116" s="31" cm="1">
        <f t="array" ref="V116">V$105+IF($C116&lt;&gt;0,SUMPRODUCT((V$106:V$107)*TRANSPOSE(($D116:$E116))),0)</f>
        <v>365343.27405273437</v>
      </c>
      <c r="W116" s="31" cm="1">
        <f t="array" ref="W116">W$105+IF($C116&lt;&gt;0,SUMPRODUCT((W$106:W$107)*TRANSPOSE(($D116:$E116))),0)</f>
        <v>365343.27405273437</v>
      </c>
      <c r="X116" s="31" cm="1">
        <f t="array" ref="X116">X$105+IF($C116&lt;&gt;0,SUMPRODUCT((X$106:X$107)*TRANSPOSE(($D116:$E116))),0)</f>
        <v>365343.27405273437</v>
      </c>
      <c r="Y116" s="31" cm="1">
        <f t="array" ref="Y116">Y$105+IF($C116&lt;&gt;0,SUMPRODUCT((Y$106:Y$107)*TRANSPOSE(($D116:$E116))),0)</f>
        <v>365343.27405273437</v>
      </c>
      <c r="Z116" s="31" cm="1">
        <f t="array" ref="Z116">Z$105+IF($C116&lt;&gt;0,SUMPRODUCT((Z$106:Z$107)*TRANSPOSE(($D116:$E116))),0)</f>
        <v>365343.27405273437</v>
      </c>
      <c r="AA116" s="31" cm="1">
        <f t="array" ref="AA116">AA$105+IF($C116&lt;&gt;0,SUMPRODUCT((AA$106:AA$107)*TRANSPOSE(($D116:$E116))),0)</f>
        <v>365343.27405273437</v>
      </c>
      <c r="AB116" s="31" cm="1">
        <f t="array" ref="AB116">AB$105+IF($C116&lt;&gt;0,SUMPRODUCT((AB$106:AB$107)*TRANSPOSE(($D116:$E116))),0)</f>
        <v>365343.27405273437</v>
      </c>
      <c r="AC116" s="31" cm="1">
        <f t="array" ref="AC116">AC$105+IF($C116&lt;&gt;0,SUMPRODUCT((AC$106:AC$107)*TRANSPOSE(($D116:$E116))),0)</f>
        <v>365343.27405273437</v>
      </c>
      <c r="AD116" s="31" cm="1">
        <f t="array" ref="AD116">AD$105+IF($C116&lt;&gt;0,SUMPRODUCT((AD$106:AD$107)*TRANSPOSE(($D116:$E116))),0)</f>
        <v>365343.27405273437</v>
      </c>
      <c r="AE116" s="31" cm="1">
        <f t="array" ref="AE116">AE$105+IF($C116&lt;&gt;0,SUMPRODUCT((AE$106:AE$107)*TRANSPOSE(($D116:$E116))),0)</f>
        <v>365343.27405273437</v>
      </c>
      <c r="AF116" s="31" cm="1">
        <f t="array" ref="AF116">AF$105+IF($C116&lt;&gt;0,SUMPRODUCT((AF$106:AF$107)*TRANSPOSE(($D116:$E116))),0)</f>
        <v>365343.27405273437</v>
      </c>
      <c r="AG116" s="31" cm="1">
        <f t="array" ref="AG116">AG$105+IF($C116&lt;&gt;0,SUMPRODUCT((AG$106:AG$107)*TRANSPOSE(($D116:$E116))),0)</f>
        <v>15301.301682524849</v>
      </c>
    </row>
  </sheetData>
  <conditionalFormatting sqref="E14:E16">
    <cfRule type="expression" dxfId="2" priority="38">
      <formula>AND(SUM($I14:$AB14)&lt;&gt;0, E14=0)</formula>
    </cfRule>
  </conditionalFormatting>
  <conditionalFormatting sqref="E27">
    <cfRule type="expression" dxfId="1" priority="1">
      <formula>AND(SUM($I$26:$AG$26)&gt;0, $E$27=0)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1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Replace compound filled cable terminations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5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6.7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90">
        <f t="shared" ref="H5:AG5" si="0">IF(H9=start,1/((1+real_disc)^(1/2)),G5/(1+real_disc))</f>
        <v>0</v>
      </c>
      <c r="I5" s="190">
        <f t="shared" si="0"/>
        <v>0.98294637436598087</v>
      </c>
      <c r="J5" s="190">
        <f t="shared" si="0"/>
        <v>0.94970664189949849</v>
      </c>
      <c r="K5" s="190">
        <f t="shared" si="0"/>
        <v>0.91759095835700344</v>
      </c>
      <c r="L5" s="190">
        <f t="shared" si="0"/>
        <v>0.88656131242222558</v>
      </c>
      <c r="M5" s="190">
        <f t="shared" si="0"/>
        <v>0.85658097818572532</v>
      </c>
      <c r="N5" s="190">
        <f t="shared" si="0"/>
        <v>0.8276144716770294</v>
      </c>
      <c r="O5" s="190">
        <f t="shared" si="0"/>
        <v>0.79962750886669509</v>
      </c>
      <c r="P5" s="190">
        <f t="shared" si="0"/>
        <v>0.77258696508859437</v>
      </c>
      <c r="Q5" s="190">
        <f t="shared" si="0"/>
        <v>0.74646083583439071</v>
      </c>
      <c r="R5" s="190">
        <f t="shared" si="0"/>
        <v>0.72121819887380756</v>
      </c>
      <c r="S5" s="190">
        <f t="shared" si="0"/>
        <v>0.69682917765585273</v>
      </c>
      <c r="T5" s="190">
        <f t="shared" si="0"/>
        <v>0.67326490594768384</v>
      </c>
      <c r="U5" s="190">
        <f t="shared" si="0"/>
        <v>0.6504974936692598</v>
      </c>
      <c r="V5" s="190">
        <f t="shared" si="0"/>
        <v>0.62849999388334288</v>
      </c>
      <c r="W5" s="190">
        <f t="shared" si="0"/>
        <v>0.60724637090178057</v>
      </c>
      <c r="X5" s="190">
        <f t="shared" si="0"/>
        <v>0.58671146947031949</v>
      </c>
      <c r="Y5" s="190">
        <f t="shared" si="0"/>
        <v>0.56687098499547783</v>
      </c>
      <c r="Z5" s="190">
        <f t="shared" si="0"/>
        <v>0.54770143477823952</v>
      </c>
      <c r="AA5" s="190">
        <f t="shared" si="0"/>
        <v>0.52918013022052135</v>
      </c>
      <c r="AB5" s="190">
        <f t="shared" si="0"/>
        <v>0.5112851499715183</v>
      </c>
      <c r="AC5" s="190">
        <f t="shared" si="0"/>
        <v>0.4939953139821433</v>
      </c>
      <c r="AD5" s="190">
        <f t="shared" si="0"/>
        <v>0.47729015843685346</v>
      </c>
      <c r="AE5" s="190">
        <f t="shared" si="0"/>
        <v>0.46114991153319179</v>
      </c>
      <c r="AF5" s="190">
        <f t="shared" si="0"/>
        <v>0.4455554700803786</v>
      </c>
      <c r="AG5" s="190">
        <f t="shared" si="0"/>
        <v>0.43048837688925473</v>
      </c>
    </row>
    <row r="6" spans="1:34" s="2" customFormat="1" hidden="1" outlineLevel="1" x14ac:dyDescent="0.2">
      <c r="A6" s="191" t="str">
        <f>'Option1 (base case)'!A6</f>
        <v>Count</v>
      </c>
      <c r="B6" s="116"/>
      <c r="C6" s="117"/>
      <c r="D6" s="116"/>
      <c r="E6" s="116"/>
      <c r="F6" s="116"/>
      <c r="G6" s="101"/>
      <c r="H6" s="191">
        <f>'Option1 (base case)'!H6</f>
        <v>0</v>
      </c>
      <c r="I6" s="191">
        <f>'Option1 (base case)'!I6</f>
        <v>1</v>
      </c>
      <c r="J6" s="191">
        <f>'Option1 (base case)'!J6</f>
        <v>2</v>
      </c>
      <c r="K6" s="191">
        <f>'Option1 (base case)'!K6</f>
        <v>3</v>
      </c>
      <c r="L6" s="191">
        <f>'Option1 (base case)'!L6</f>
        <v>4</v>
      </c>
      <c r="M6" s="191">
        <f>'Option1 (base case)'!M6</f>
        <v>5</v>
      </c>
      <c r="N6" s="191">
        <f>'Option1 (base case)'!N6</f>
        <v>6</v>
      </c>
      <c r="O6" s="191">
        <f>'Option1 (base case)'!O6</f>
        <v>7</v>
      </c>
      <c r="P6" s="191">
        <f>'Option1 (base case)'!P6</f>
        <v>8</v>
      </c>
      <c r="Q6" s="191">
        <f>'Option1 (base case)'!Q6</f>
        <v>9</v>
      </c>
      <c r="R6" s="191">
        <f>'Option1 (base case)'!R6</f>
        <v>10</v>
      </c>
      <c r="S6" s="191">
        <f>'Option1 (base case)'!S6</f>
        <v>11</v>
      </c>
      <c r="T6" s="191">
        <f>'Option1 (base case)'!T6</f>
        <v>12</v>
      </c>
      <c r="U6" s="191">
        <f>'Option1 (base case)'!U6</f>
        <v>13</v>
      </c>
      <c r="V6" s="191">
        <f>'Option1 (base case)'!V6</f>
        <v>14</v>
      </c>
      <c r="W6" s="191">
        <f>'Option1 (base case)'!W6</f>
        <v>15</v>
      </c>
      <c r="X6" s="191">
        <f>'Option1 (base case)'!X6</f>
        <v>16</v>
      </c>
      <c r="Y6" s="191">
        <f>'Option1 (base case)'!Y6</f>
        <v>17</v>
      </c>
      <c r="Z6" s="191">
        <f>'Option1 (base case)'!Z6</f>
        <v>18</v>
      </c>
      <c r="AA6" s="191">
        <f>'Option1 (base case)'!AA6</f>
        <v>19</v>
      </c>
      <c r="AB6" s="191">
        <f>'Option1 (base case)'!AB6</f>
        <v>20</v>
      </c>
      <c r="AC6" s="191">
        <f>'Option1 (base case)'!AC6</f>
        <v>21</v>
      </c>
      <c r="AD6" s="191">
        <f>'Option1 (base case)'!AD6</f>
        <v>22</v>
      </c>
      <c r="AE6" s="191">
        <f>'Option1 (base case)'!AE6</f>
        <v>23</v>
      </c>
      <c r="AF6" s="191">
        <f>'Option1 (base case)'!AF6</f>
        <v>24</v>
      </c>
      <c r="AG6" s="191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4.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37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3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4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6"/>
      <c r="H12" s="118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</row>
    <row r="13" spans="1:34" s="2" customFormat="1" x14ac:dyDescent="0.2">
      <c r="A13" s="123"/>
      <c r="B13" s="123"/>
      <c r="C13" s="123"/>
      <c r="D13" s="118"/>
      <c r="F13" s="118"/>
      <c r="G13" s="223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3" customFormat="1" x14ac:dyDescent="0.2">
      <c r="A14" s="271" t="str">
        <f>A15</f>
        <v>Option 1 (base case)</v>
      </c>
      <c r="B14" s="271"/>
      <c r="C14" s="271" t="s">
        <v>124</v>
      </c>
      <c r="D14" s="272" t="str">
        <f t="shared" ref="D14:D25" si="2">A14&amp;C14</f>
        <v>Option 1 (base case)Energy at risk value</v>
      </c>
      <c r="F14" s="97">
        <f>SUMPRODUCT($H14:$AG14, $H$5:$AG$5)</f>
        <v>21901005.785335902</v>
      </c>
      <c r="G14" s="274">
        <f>output_dollars</f>
        <v>46203</v>
      </c>
      <c r="H14" s="275"/>
      <c r="I14" s="31">
        <f>'Option1 (base case)'!I$27*conv_2026</f>
        <v>1686073.6346998906</v>
      </c>
      <c r="J14" s="31">
        <f>'Option1 (base case)'!J$27*conv_2026</f>
        <v>1686073.6346998906</v>
      </c>
      <c r="K14" s="31">
        <f>'Option1 (base case)'!K$27*conv_2026</f>
        <v>1686073.6346998906</v>
      </c>
      <c r="L14" s="31">
        <f>'Option1 (base case)'!L$27*conv_2026</f>
        <v>1686073.6346998906</v>
      </c>
      <c r="M14" s="31">
        <f>'Option1 (base case)'!M$27*conv_2026</f>
        <v>1686073.6346998906</v>
      </c>
      <c r="N14" s="31">
        <f>'Option1 (base case)'!N$27*conv_2026</f>
        <v>1348858.9077599123</v>
      </c>
      <c r="O14" s="31">
        <f>'Option1 (base case)'!O$27*conv_2026</f>
        <v>1348858.9077599123</v>
      </c>
      <c r="P14" s="31">
        <f>'Option1 (base case)'!P$27*conv_2026</f>
        <v>1348858.9077599123</v>
      </c>
      <c r="Q14" s="31">
        <f>'Option1 (base case)'!Q$27*conv_2026</f>
        <v>1348858.9077599123</v>
      </c>
      <c r="R14" s="31">
        <f>'Option1 (base case)'!R$27*conv_2026</f>
        <v>1348858.9077599123</v>
      </c>
      <c r="S14" s="31">
        <f>'Option1 (base case)'!S$27*conv_2026</f>
        <v>1348858.9077599123</v>
      </c>
      <c r="T14" s="31">
        <f>'Option1 (base case)'!T$27*conv_2026</f>
        <v>1348858.9077599123</v>
      </c>
      <c r="U14" s="31">
        <f>'Option1 (base case)'!U$27*conv_2026</f>
        <v>1348858.9077599123</v>
      </c>
      <c r="V14" s="31">
        <f>'Option1 (base case)'!V$27*conv_2026</f>
        <v>1011644.1808199348</v>
      </c>
      <c r="W14" s="31">
        <f>'Option1 (base case)'!W$27*conv_2026</f>
        <v>1011644.1808199348</v>
      </c>
      <c r="X14" s="31">
        <f>'Option1 (base case)'!X$27*conv_2026</f>
        <v>1011644.1808199348</v>
      </c>
      <c r="Y14" s="31">
        <f>'Option1 (base case)'!Y$27*conv_2026</f>
        <v>1011644.1808199348</v>
      </c>
      <c r="Z14" s="31">
        <f>'Option1 (base case)'!Z$27*conv_2026</f>
        <v>1011644.1808199348</v>
      </c>
      <c r="AA14" s="31">
        <f>'Option1 (base case)'!AA$27*conv_2026</f>
        <v>1011644.1808199348</v>
      </c>
      <c r="AB14" s="31">
        <f>'Option1 (base case)'!AB$27*conv_2026</f>
        <v>1011644.1808199348</v>
      </c>
      <c r="AC14" s="31">
        <f>'Option1 (base case)'!AC$27*conv_2026</f>
        <v>1011644.1808199348</v>
      </c>
      <c r="AD14" s="31">
        <f>'Option1 (base case)'!AD$27*conv_2026</f>
        <v>1011644.1808199348</v>
      </c>
      <c r="AE14" s="31">
        <f>'Option1 (base case)'!AE$27*conv_2026</f>
        <v>1011644.1808199348</v>
      </c>
      <c r="AF14" s="31">
        <f>'Option1 (base case)'!AF$27*conv_2026</f>
        <v>1011644.1808199348</v>
      </c>
      <c r="AG14" s="31">
        <f>'Option1 (base case)'!AG$27*conv_2026</f>
        <v>674429.45387995616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case)'!C$65</f>
        <v>Capital expenditure</v>
      </c>
      <c r="D15" s="38" t="str">
        <f t="shared" si="2"/>
        <v>Option 1 (base case)Capital expenditure</v>
      </c>
      <c r="F15" s="97">
        <f>SUMPRODUCT($H15:$AG15, $H$5:$AG$5)</f>
        <v>-3602593.5471471841</v>
      </c>
      <c r="G15" s="227">
        <f>output_dollars</f>
        <v>46203</v>
      </c>
      <c r="H15" s="31"/>
      <c r="I15" s="31">
        <f>SUM('Option1 (base case)'!I$66:I$68)*conv_2026</f>
        <v>-306050.9777645641</v>
      </c>
      <c r="J15" s="31">
        <f>SUM('Option1 (base case)'!J$66:J$68)</f>
        <v>-275000</v>
      </c>
      <c r="K15" s="31">
        <f>SUM('Option1 (base case)'!K$66:K$68)</f>
        <v>-275000</v>
      </c>
      <c r="L15" s="31">
        <f>SUM('Option1 (base case)'!L$66:L$68)</f>
        <v>-275000</v>
      </c>
      <c r="M15" s="31">
        <f>SUM('Option1 (base case)'!M$66:M$68)</f>
        <v>-275000</v>
      </c>
      <c r="N15" s="31">
        <f>SUM('Option1 (base case)'!N$66:N$68)</f>
        <v>-220000</v>
      </c>
      <c r="O15" s="31">
        <f>SUM('Option1 (base case)'!O$66:O$68)</f>
        <v>-220000</v>
      </c>
      <c r="P15" s="31">
        <f>SUM('Option1 (base case)'!P$66:P$68)</f>
        <v>-220000</v>
      </c>
      <c r="Q15" s="31">
        <f>SUM('Option1 (base case)'!Q$66:Q$68)</f>
        <v>-220000</v>
      </c>
      <c r="R15" s="31">
        <f>SUM('Option1 (base case)'!R$66:R$68)</f>
        <v>-220000</v>
      </c>
      <c r="S15" s="31">
        <f>SUM('Option1 (base case)'!S$66:S$68)</f>
        <v>-220000</v>
      </c>
      <c r="T15" s="31">
        <f>SUM('Option1 (base case)'!T$66:T$68)</f>
        <v>-220000</v>
      </c>
      <c r="U15" s="31">
        <f>SUM('Option1 (base case)'!U$66:U$68)</f>
        <v>-220000</v>
      </c>
      <c r="V15" s="31">
        <f>SUM('Option1 (base case)'!V$66:V$68)</f>
        <v>-165000</v>
      </c>
      <c r="W15" s="31">
        <f>SUM('Option1 (base case)'!W$66:W$68)</f>
        <v>-165000</v>
      </c>
      <c r="X15" s="31">
        <f>SUM('Option1 (base case)'!X$66:X$68)</f>
        <v>-165000</v>
      </c>
      <c r="Y15" s="31">
        <f>SUM('Option1 (base case)'!Y$66:Y$68)</f>
        <v>-165000</v>
      </c>
      <c r="Z15" s="31">
        <f>SUM('Option1 (base case)'!Z$66:Z$68)</f>
        <v>-165000</v>
      </c>
      <c r="AA15" s="31">
        <f>SUM('Option1 (base case)'!AA$66:AA$68)</f>
        <v>-165000</v>
      </c>
      <c r="AB15" s="31">
        <f>SUM('Option1 (base case)'!AB$66:AB$68)</f>
        <v>-165000</v>
      </c>
      <c r="AC15" s="31">
        <f>SUM('Option1 (base case)'!AC$66:AC$68)</f>
        <v>-165000</v>
      </c>
      <c r="AD15" s="31">
        <f>SUM('Option1 (base case)'!AD$66:AD$68)</f>
        <v>-165000</v>
      </c>
      <c r="AE15" s="31">
        <f>SUM('Option1 (base case)'!AE$66:AE$68)</f>
        <v>-165000</v>
      </c>
      <c r="AF15" s="31">
        <f>SUM('Option1 (base case)'!AF$66:AF$68)</f>
        <v>-165000</v>
      </c>
      <c r="AG15" s="31">
        <f>SUM('Option1 (base case)'!AG$66:AG$68)</f>
        <v>-110000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case)'!C$35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22770848.270164516</v>
      </c>
      <c r="G16" s="227">
        <f>output_dollars</f>
        <v>46203</v>
      </c>
      <c r="H16" s="31"/>
      <c r="I16" s="31">
        <f>'Option1 (base case)'!I$35*conv_2026</f>
        <v>1947830.6891370744</v>
      </c>
      <c r="J16" s="31">
        <f>'Option1 (base case)'!J$35*conv_2026</f>
        <v>1947830.6891370744</v>
      </c>
      <c r="K16" s="31">
        <f>'Option1 (base case)'!K$35*conv_2026</f>
        <v>1947830.6891370744</v>
      </c>
      <c r="L16" s="31">
        <f>'Option1 (base case)'!L$35*conv_2026</f>
        <v>1947830.6891370744</v>
      </c>
      <c r="M16" s="31">
        <f>'Option1 (base case)'!M$35*conv_2026</f>
        <v>1947830.6891370744</v>
      </c>
      <c r="N16" s="31">
        <f>'Option1 (base case)'!N$35*conv_2026</f>
        <v>1558264.5513096594</v>
      </c>
      <c r="O16" s="31">
        <f>'Option1 (base case)'!O$35*conv_2026</f>
        <v>1558264.5513096594</v>
      </c>
      <c r="P16" s="31">
        <f>'Option1 (base case)'!P$35*conv_2026</f>
        <v>1558264.5513096594</v>
      </c>
      <c r="Q16" s="31">
        <f>'Option1 (base case)'!Q$35*conv_2026</f>
        <v>1558264.5513096594</v>
      </c>
      <c r="R16" s="31">
        <f>'Option1 (base case)'!R$35*conv_2026</f>
        <v>1558264.5513096594</v>
      </c>
      <c r="S16" s="31">
        <f>'Option1 (base case)'!S$35*conv_2026</f>
        <v>1558264.5513096594</v>
      </c>
      <c r="T16" s="31">
        <f>'Option1 (base case)'!T$35*conv_2026</f>
        <v>1558264.5513096594</v>
      </c>
      <c r="U16" s="31">
        <f>'Option1 (base case)'!U$35*conv_2026</f>
        <v>1558264.5513096594</v>
      </c>
      <c r="V16" s="31">
        <f>'Option1 (base case)'!V$35*conv_2026</f>
        <v>1168698.4134822448</v>
      </c>
      <c r="W16" s="31">
        <f>'Option1 (base case)'!W$35*conv_2026</f>
        <v>1168698.4134822448</v>
      </c>
      <c r="X16" s="31">
        <f>'Option1 (base case)'!X$35*conv_2026</f>
        <v>1168698.4134822448</v>
      </c>
      <c r="Y16" s="31">
        <f>'Option1 (base case)'!Y$35*conv_2026</f>
        <v>1168698.4134822448</v>
      </c>
      <c r="Z16" s="31">
        <f>'Option1 (base case)'!Z$35*conv_2026</f>
        <v>1168698.4134822448</v>
      </c>
      <c r="AA16" s="31">
        <f>'Option1 (base case)'!AA$35*conv_2026</f>
        <v>1168698.4134822448</v>
      </c>
      <c r="AB16" s="31">
        <f>'Option1 (base case)'!AB$35*conv_2026</f>
        <v>1168698.4134822448</v>
      </c>
      <c r="AC16" s="31">
        <f>'Option1 (base case)'!AC$35*conv_2026</f>
        <v>1168698.4134822448</v>
      </c>
      <c r="AD16" s="31">
        <f>'Option1 (base case)'!AD$35*conv_2026</f>
        <v>1168698.4134822448</v>
      </c>
      <c r="AE16" s="31">
        <f>'Option1 (base case)'!AE$35*conv_2026</f>
        <v>1168698.4134822448</v>
      </c>
      <c r="AF16" s="31">
        <f>'Option1 (base case)'!AF$35*conv_2026</f>
        <v>1168698.4134822448</v>
      </c>
      <c r="AG16" s="31">
        <f>'Option1 (base case)'!AG$35*conv_2026</f>
        <v>779132.27565482969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2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case)'!C$81</f>
        <v>Annualised capex</v>
      </c>
      <c r="D18" s="38" t="str">
        <f t="shared" si="2"/>
        <v>Option 1 (base case)Annualised capex</v>
      </c>
      <c r="F18" s="97">
        <f>SUMPRODUCT($H18:$AG18, $H$5:$AG$5)</f>
        <v>-1889500.018308616</v>
      </c>
      <c r="G18" s="227">
        <f t="shared" ref="G18:G25" si="4">output_dollars</f>
        <v>46203</v>
      </c>
      <c r="H18" s="31"/>
      <c r="I18" s="31">
        <f>'Option1 (base case)'!I$81*conv_2026</f>
        <v>0</v>
      </c>
      <c r="J18" s="31">
        <f>'Option1 (base case)'!J$81*conv_2026</f>
        <v>-13048.088498572461</v>
      </c>
      <c r="K18" s="31">
        <f>'Option1 (base case)'!K$81*conv_2026</f>
        <v>-26096.176997144921</v>
      </c>
      <c r="L18" s="31">
        <f>'Option1 (base case)'!L$81*conv_2026</f>
        <v>-39144.26549571738</v>
      </c>
      <c r="M18" s="31">
        <f>'Option1 (base case)'!M$81*conv_2026</f>
        <v>-52192.353994289842</v>
      </c>
      <c r="N18" s="31">
        <f>'Option1 (base case)'!N$81*conv_2026</f>
        <v>-65240.442492862305</v>
      </c>
      <c r="O18" s="31">
        <f>'Option1 (base case)'!O$81*conv_2026</f>
        <v>-75678.913291720281</v>
      </c>
      <c r="P18" s="31">
        <f>'Option1 (base case)'!P$81*conv_2026</f>
        <v>-86117.384090578242</v>
      </c>
      <c r="Q18" s="31">
        <f>'Option1 (base case)'!Q$81*conv_2026</f>
        <v>-96555.854889436203</v>
      </c>
      <c r="R18" s="31">
        <f>'Option1 (base case)'!R$81*conv_2026</f>
        <v>-106994.32568829416</v>
      </c>
      <c r="S18" s="31">
        <f>'Option1 (base case)'!S$81*conv_2026</f>
        <v>-117432.79648715214</v>
      </c>
      <c r="T18" s="31">
        <f>'Option1 (base case)'!T$81*conv_2026</f>
        <v>-127871.26728601013</v>
      </c>
      <c r="U18" s="31">
        <f>'Option1 (base case)'!U$81*conv_2026</f>
        <v>-138309.73808486809</v>
      </c>
      <c r="V18" s="31">
        <f>'Option1 (base case)'!V$81*conv_2026</f>
        <v>-148748.20888372607</v>
      </c>
      <c r="W18" s="31">
        <f>'Option1 (base case)'!W$81*conv_2026</f>
        <v>-156577.06198286952</v>
      </c>
      <c r="X18" s="31">
        <f>'Option1 (base case)'!X$81*conv_2026</f>
        <v>-164405.91508201303</v>
      </c>
      <c r="Y18" s="31">
        <f>'Option1 (base case)'!Y$81*conv_2026</f>
        <v>-172234.76818115648</v>
      </c>
      <c r="Z18" s="31">
        <f>'Option1 (base case)'!Z$81*conv_2026</f>
        <v>-180063.62128029994</v>
      </c>
      <c r="AA18" s="31">
        <f>'Option1 (base case)'!AA$81*conv_2026</f>
        <v>-187892.47437944342</v>
      </c>
      <c r="AB18" s="31">
        <f>'Option1 (base case)'!AB$81*conv_2026</f>
        <v>-195721.3274785869</v>
      </c>
      <c r="AC18" s="31">
        <f>'Option1 (base case)'!AC$81*conv_2026</f>
        <v>-203550.18057773041</v>
      </c>
      <c r="AD18" s="31">
        <f>'Option1 (base case)'!AD$81*conv_2026</f>
        <v>-211379.03367687386</v>
      </c>
      <c r="AE18" s="31">
        <f>'Option1 (base case)'!AE$81*conv_2026</f>
        <v>-219207.88677601737</v>
      </c>
      <c r="AF18" s="31">
        <f>'Option1 (base case)'!AF$81*conv_2026</f>
        <v>-227036.7398751608</v>
      </c>
      <c r="AG18" s="31">
        <f>'Option1 (base case)'!AG$81*conv_2026</f>
        <v>-234865.59297430428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case)'!C$82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7">
        <f t="shared" si="4"/>
        <v>46203</v>
      </c>
      <c r="H19" s="31"/>
      <c r="I19" s="31">
        <f>'Option1 (base case)'!I$82*conv_2026</f>
        <v>0</v>
      </c>
      <c r="J19" s="31">
        <f>'Option1 (base case)'!J$82*conv_2026</f>
        <v>0</v>
      </c>
      <c r="K19" s="31">
        <f>'Option1 (base case)'!K$82*conv_2026</f>
        <v>0</v>
      </c>
      <c r="L19" s="31">
        <f>'Option1 (base case)'!L$82*conv_2026</f>
        <v>0</v>
      </c>
      <c r="M19" s="31">
        <f>'Option1 (base case)'!M$82*conv_2026</f>
        <v>0</v>
      </c>
      <c r="N19" s="31">
        <f>'Option1 (base case)'!N$82*conv_2026</f>
        <v>0</v>
      </c>
      <c r="O19" s="31">
        <f>'Option1 (base case)'!O$82*conv_2026</f>
        <v>0</v>
      </c>
      <c r="P19" s="31">
        <f>'Option1 (base case)'!P$82*conv_2026</f>
        <v>0</v>
      </c>
      <c r="Q19" s="31">
        <f>'Option1 (base case)'!Q$82*conv_2026</f>
        <v>0</v>
      </c>
      <c r="R19" s="31">
        <f>'Option1 (base case)'!R$82*conv_2026</f>
        <v>0</v>
      </c>
      <c r="S19" s="31">
        <f>'Option1 (base case)'!S$82*conv_2026</f>
        <v>0</v>
      </c>
      <c r="T19" s="31">
        <f>'Option1 (base case)'!T$82*conv_2026</f>
        <v>0</v>
      </c>
      <c r="U19" s="31">
        <f>'Option1 (base case)'!U$82*conv_2026</f>
        <v>0</v>
      </c>
      <c r="V19" s="31">
        <f>'Option1 (base case)'!V$82*conv_2026</f>
        <v>0</v>
      </c>
      <c r="W19" s="31">
        <f>'Option1 (base case)'!W$82*conv_2026</f>
        <v>0</v>
      </c>
      <c r="X19" s="31">
        <f>'Option1 (base case)'!X$82*conv_2026</f>
        <v>0</v>
      </c>
      <c r="Y19" s="31">
        <f>'Option1 (base case)'!Y$82*conv_2026</f>
        <v>0</v>
      </c>
      <c r="Z19" s="31">
        <f>'Option1 (base case)'!Z$82*conv_2026</f>
        <v>0</v>
      </c>
      <c r="AA19" s="31">
        <f>'Option1 (base case)'!AA$82*conv_2026</f>
        <v>0</v>
      </c>
      <c r="AB19" s="31">
        <f>'Option1 (base case)'!AB$82*conv_2026</f>
        <v>0</v>
      </c>
      <c r="AC19" s="31">
        <f>'Option1 (base case)'!AC$82*conv_2026</f>
        <v>0</v>
      </c>
      <c r="AD19" s="31">
        <f>'Option1 (base case)'!AD$82*conv_2026</f>
        <v>0</v>
      </c>
      <c r="AE19" s="31">
        <f>'Option1 (base case)'!AE$82*conv_2026</f>
        <v>0</v>
      </c>
      <c r="AF19" s="31">
        <f>'Option1 (base case)'!AF$82*conv_2026</f>
        <v>0</v>
      </c>
      <c r="AG19" s="31">
        <f>'Option1 (base case)'!AG$82*conv_2026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case)'!C$83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7">
        <f t="shared" si="4"/>
        <v>46203</v>
      </c>
      <c r="H20" s="31"/>
      <c r="I20" s="31">
        <f>'Option1 (base case)'!I$83*conv_2026</f>
        <v>0</v>
      </c>
      <c r="J20" s="31">
        <f>'Option1 (base case)'!J$83*conv_2026</f>
        <v>0</v>
      </c>
      <c r="K20" s="31">
        <f>'Option1 (base case)'!K$83*conv_2026</f>
        <v>0</v>
      </c>
      <c r="L20" s="31">
        <f>'Option1 (base case)'!L$83*conv_2026</f>
        <v>0</v>
      </c>
      <c r="M20" s="31">
        <f>'Option1 (base case)'!M$83*conv_2026</f>
        <v>0</v>
      </c>
      <c r="N20" s="31">
        <f>'Option1 (base case)'!N$83*conv_2026</f>
        <v>0</v>
      </c>
      <c r="O20" s="31">
        <f>'Option1 (base case)'!O$83*conv_2026</f>
        <v>0</v>
      </c>
      <c r="P20" s="31">
        <f>'Option1 (base case)'!P$83*conv_2026</f>
        <v>0</v>
      </c>
      <c r="Q20" s="31">
        <f>'Option1 (base case)'!Q$83*conv_2026</f>
        <v>0</v>
      </c>
      <c r="R20" s="31">
        <f>'Option1 (base case)'!R$83*conv_2026</f>
        <v>0</v>
      </c>
      <c r="S20" s="31">
        <f>'Option1 (base case)'!S$83*conv_2026</f>
        <v>0</v>
      </c>
      <c r="T20" s="31">
        <f>'Option1 (base case)'!T$83*conv_2026</f>
        <v>0</v>
      </c>
      <c r="U20" s="31">
        <f>'Option1 (base case)'!U$83*conv_2026</f>
        <v>0</v>
      </c>
      <c r="V20" s="31">
        <f>'Option1 (base case)'!V$83*conv_2026</f>
        <v>0</v>
      </c>
      <c r="W20" s="31">
        <f>'Option1 (base case)'!W$83*conv_2026</f>
        <v>0</v>
      </c>
      <c r="X20" s="31">
        <f>'Option1 (base case)'!X$83*conv_2026</f>
        <v>0</v>
      </c>
      <c r="Y20" s="31">
        <f>'Option1 (base case)'!Y$83*conv_2026</f>
        <v>0</v>
      </c>
      <c r="Z20" s="31">
        <f>'Option1 (base case)'!Z$83*conv_2026</f>
        <v>0</v>
      </c>
      <c r="AA20" s="31">
        <f>'Option1 (base case)'!AA$83*conv_2026</f>
        <v>0</v>
      </c>
      <c r="AB20" s="31">
        <f>'Option1 (base case)'!AB$83*conv_2026</f>
        <v>0</v>
      </c>
      <c r="AC20" s="31">
        <f>'Option1 (base case)'!AC$83*conv_2026</f>
        <v>0</v>
      </c>
      <c r="AD20" s="31">
        <f>'Option1 (base case)'!AD$83*conv_2026</f>
        <v>0</v>
      </c>
      <c r="AE20" s="31">
        <f>'Option1 (base case)'!AE$83*conv_2026</f>
        <v>0</v>
      </c>
      <c r="AF20" s="31">
        <f>'Option1 (base case)'!AF$83*conv_2026</f>
        <v>0</v>
      </c>
      <c r="AG20" s="31">
        <f>'Option1 (base case)'!AG$83*conv_2026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case)'!C$84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7">
        <f t="shared" si="4"/>
        <v>46203</v>
      </c>
      <c r="H21" s="31"/>
      <c r="I21" s="31">
        <f>'Option1 (base case)'!I$84*conv_2026</f>
        <v>0</v>
      </c>
      <c r="J21" s="31">
        <f>'Option1 (base case)'!J$84*conv_2026</f>
        <v>0</v>
      </c>
      <c r="K21" s="31">
        <f>'Option1 (base case)'!K$84*conv_2026</f>
        <v>0</v>
      </c>
      <c r="L21" s="31">
        <f>'Option1 (base case)'!L$84*conv_2026</f>
        <v>0</v>
      </c>
      <c r="M21" s="31">
        <f>'Option1 (base case)'!M$84*conv_2026</f>
        <v>0</v>
      </c>
      <c r="N21" s="31">
        <f>'Option1 (base case)'!N$84*conv_2026</f>
        <v>0</v>
      </c>
      <c r="O21" s="31">
        <f>'Option1 (base case)'!O$84*conv_2026</f>
        <v>0</v>
      </c>
      <c r="P21" s="31">
        <f>'Option1 (base case)'!P$84*conv_2026</f>
        <v>0</v>
      </c>
      <c r="Q21" s="31">
        <f>'Option1 (base case)'!Q$84*conv_2026</f>
        <v>0</v>
      </c>
      <c r="R21" s="31">
        <f>'Option1 (base case)'!R$84*conv_2026</f>
        <v>0</v>
      </c>
      <c r="S21" s="31">
        <f>'Option1 (base case)'!S$84*conv_2026</f>
        <v>0</v>
      </c>
      <c r="T21" s="31">
        <f>'Option1 (base case)'!T$84*conv_2026</f>
        <v>0</v>
      </c>
      <c r="U21" s="31">
        <f>'Option1 (base case)'!U$84*conv_2026</f>
        <v>0</v>
      </c>
      <c r="V21" s="31">
        <f>'Option1 (base case)'!V$84*conv_2026</f>
        <v>0</v>
      </c>
      <c r="W21" s="31">
        <f>'Option1 (base case)'!W$84*conv_2026</f>
        <v>0</v>
      </c>
      <c r="X21" s="31">
        <f>'Option1 (base case)'!X$84*conv_2026</f>
        <v>0</v>
      </c>
      <c r="Y21" s="31">
        <f>'Option1 (base case)'!Y$84*conv_2026</f>
        <v>0</v>
      </c>
      <c r="Z21" s="31">
        <f>'Option1 (base case)'!Z$84*conv_2026</f>
        <v>0</v>
      </c>
      <c r="AA21" s="31">
        <f>'Option1 (base case)'!AA$84*conv_2026</f>
        <v>0</v>
      </c>
      <c r="AB21" s="31">
        <f>'Option1 (base case)'!AB$84*conv_2026</f>
        <v>0</v>
      </c>
      <c r="AC21" s="31">
        <f>'Option1 (base case)'!AC$84*conv_2026</f>
        <v>0</v>
      </c>
      <c r="AD21" s="31">
        <f>'Option1 (base case)'!AD$84*conv_2026</f>
        <v>0</v>
      </c>
      <c r="AE21" s="31">
        <f>'Option1 (base case)'!AE$84*conv_2026</f>
        <v>0</v>
      </c>
      <c r="AF21" s="31">
        <f>'Option1 (base case)'!AF$84*conv_2026</f>
        <v>0</v>
      </c>
      <c r="AG21" s="31">
        <f>'Option1 (base case)'!AG$84*conv_2026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case)'!C$86</f>
        <v>Net benefits</v>
      </c>
      <c r="D22" s="109" t="str">
        <f t="shared" si="2"/>
        <v>Option 1 (base case)Net benefits</v>
      </c>
      <c r="E22" s="110"/>
      <c r="F22" s="146"/>
      <c r="G22" s="229">
        <f t="shared" si="4"/>
        <v>46203</v>
      </c>
      <c r="H22" s="52"/>
      <c r="I22" s="52">
        <f t="shared" ref="I22:AG22" si="5">SUM(I18:I21)</f>
        <v>0</v>
      </c>
      <c r="J22" s="52">
        <f t="shared" si="5"/>
        <v>-13048.088498572461</v>
      </c>
      <c r="K22" s="52">
        <f t="shared" si="5"/>
        <v>-26096.176997144921</v>
      </c>
      <c r="L22" s="52">
        <f t="shared" si="5"/>
        <v>-39144.26549571738</v>
      </c>
      <c r="M22" s="52">
        <f t="shared" si="5"/>
        <v>-52192.353994289842</v>
      </c>
      <c r="N22" s="52">
        <f t="shared" si="5"/>
        <v>-65240.442492862305</v>
      </c>
      <c r="O22" s="52">
        <f t="shared" si="5"/>
        <v>-75678.913291720281</v>
      </c>
      <c r="P22" s="52">
        <f t="shared" si="5"/>
        <v>-86117.384090578242</v>
      </c>
      <c r="Q22" s="52">
        <f t="shared" si="5"/>
        <v>-96555.854889436203</v>
      </c>
      <c r="R22" s="52">
        <f t="shared" si="5"/>
        <v>-106994.32568829416</v>
      </c>
      <c r="S22" s="52">
        <f t="shared" si="5"/>
        <v>-117432.79648715214</v>
      </c>
      <c r="T22" s="52">
        <f t="shared" si="5"/>
        <v>-127871.26728601013</v>
      </c>
      <c r="U22" s="52">
        <f t="shared" si="5"/>
        <v>-138309.73808486809</v>
      </c>
      <c r="V22" s="52">
        <f t="shared" si="5"/>
        <v>-148748.20888372607</v>
      </c>
      <c r="W22" s="52">
        <f t="shared" si="5"/>
        <v>-156577.06198286952</v>
      </c>
      <c r="X22" s="52">
        <f t="shared" si="5"/>
        <v>-164405.91508201303</v>
      </c>
      <c r="Y22" s="52">
        <f t="shared" si="5"/>
        <v>-172234.76818115648</v>
      </c>
      <c r="Z22" s="52">
        <f t="shared" si="5"/>
        <v>-180063.62128029994</v>
      </c>
      <c r="AA22" s="52">
        <f t="shared" si="5"/>
        <v>-187892.47437944342</v>
      </c>
      <c r="AB22" s="52">
        <f t="shared" si="5"/>
        <v>-195721.3274785869</v>
      </c>
      <c r="AC22" s="52">
        <f t="shared" si="5"/>
        <v>-203550.18057773041</v>
      </c>
      <c r="AD22" s="52">
        <f t="shared" si="5"/>
        <v>-211379.03367687386</v>
      </c>
      <c r="AE22" s="52">
        <f t="shared" si="5"/>
        <v>-219207.88677601737</v>
      </c>
      <c r="AF22" s="52">
        <f t="shared" si="5"/>
        <v>-227036.7398751608</v>
      </c>
      <c r="AG22" s="52">
        <f t="shared" si="5"/>
        <v>-234865.59297430428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-1384705.9836077611</v>
      </c>
      <c r="G23" s="227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187</v>
      </c>
      <c r="D24" s="38" t="str">
        <f t="shared" si="2"/>
        <v>Option 1 (base case)PV of costs</v>
      </c>
      <c r="F24" s="108">
        <f>SUM(F18:F19)</f>
        <v>-1889500.018308616</v>
      </c>
      <c r="G24" s="227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7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0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3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3" customFormat="1" x14ac:dyDescent="0.2">
      <c r="A28" s="271" t="str">
        <f>A29</f>
        <v>Option 2</v>
      </c>
      <c r="B28" s="271"/>
      <c r="C28" s="271" t="s">
        <v>124</v>
      </c>
      <c r="D28" s="272" t="str">
        <f t="shared" si="6"/>
        <v>Option 2Energy at risk value</v>
      </c>
      <c r="F28" s="97">
        <f>SUMPRODUCT($H28:$AG28, $H$5:$AG$5)</f>
        <v>3739866.1168860076</v>
      </c>
      <c r="G28" s="274">
        <f>output_dollars</f>
        <v>46203</v>
      </c>
      <c r="H28" s="275"/>
      <c r="I28" s="31">
        <f>Option2!I$27*conv_2026</f>
        <v>1011644.1808199348</v>
      </c>
      <c r="J28" s="31">
        <f>Option2!J$27*conv_2026</f>
        <v>1011644.1808199348</v>
      </c>
      <c r="K28" s="31">
        <f>Option2!K$27*conv_2026</f>
        <v>674429.45387995616</v>
      </c>
      <c r="L28" s="31">
        <f>Option2!L$27*conv_2026</f>
        <v>674429.45387995616</v>
      </c>
      <c r="M28" s="31">
        <f>Option2!M$27*conv_2026</f>
        <v>337214.72693997808</v>
      </c>
      <c r="N28" s="31">
        <f>Option2!N$27*conv_2026</f>
        <v>337214.72693997808</v>
      </c>
      <c r="O28" s="31">
        <f>Option2!O$27*conv_2026</f>
        <v>0</v>
      </c>
      <c r="P28" s="31">
        <f>Option2!P$27*conv_2026</f>
        <v>0</v>
      </c>
      <c r="Q28" s="31">
        <f>Option2!Q$27*conv_2026</f>
        <v>0</v>
      </c>
      <c r="R28" s="31">
        <f>Option2!R$27*conv_2026</f>
        <v>0</v>
      </c>
      <c r="S28" s="31">
        <f>Option2!S$27*conv_2026</f>
        <v>0</v>
      </c>
      <c r="T28" s="31">
        <f>Option2!T$27*conv_2026</f>
        <v>0</v>
      </c>
      <c r="U28" s="31">
        <f>Option2!U$27*conv_2026</f>
        <v>0</v>
      </c>
      <c r="V28" s="31">
        <f>Option2!V$27*conv_2026</f>
        <v>0</v>
      </c>
      <c r="W28" s="31">
        <f>Option2!W$27*conv_2026</f>
        <v>0</v>
      </c>
      <c r="X28" s="31">
        <f>Option2!X$27*conv_2026</f>
        <v>0</v>
      </c>
      <c r="Y28" s="31">
        <f>Option2!Y$27*conv_2026</f>
        <v>0</v>
      </c>
      <c r="Z28" s="31">
        <f>Option2!Z$27*conv_2026</f>
        <v>0</v>
      </c>
      <c r="AA28" s="31">
        <f>Option2!AA$27*conv_2026</f>
        <v>0</v>
      </c>
      <c r="AB28" s="31">
        <f>Option2!AB$27*conv_2026</f>
        <v>0</v>
      </c>
      <c r="AC28" s="31">
        <f>Option2!AC$27*conv_2026</f>
        <v>0</v>
      </c>
      <c r="AD28" s="31">
        <f>Option2!AD$27*conv_2026</f>
        <v>0</v>
      </c>
      <c r="AE28" s="31">
        <f>Option2!AE$27*conv_2026</f>
        <v>0</v>
      </c>
      <c r="AF28" s="31">
        <f>Option2!AF$27*conv_2026</f>
        <v>0</v>
      </c>
      <c r="AG28" s="31">
        <f>Option2!AG$27*conv_2026</f>
        <v>0</v>
      </c>
    </row>
    <row r="29" spans="1:33" s="2" customFormat="1" x14ac:dyDescent="0.2">
      <c r="A29" s="138" t="str">
        <f>Data!B10</f>
        <v>Option 2</v>
      </c>
      <c r="B29" s="138"/>
      <c r="C29" s="58" t="str">
        <f>Option2!C$65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-16491383.349260943</v>
      </c>
      <c r="G29" s="227">
        <f>output_dollars</f>
        <v>46203</v>
      </c>
      <c r="H29" s="31"/>
      <c r="I29" s="31">
        <f>SUM(Option2!I$66:I$68)*conv_2026*I$7</f>
        <v>-2854620.938058571</v>
      </c>
      <c r="J29" s="31">
        <f>SUM(Option2!J$66:J$68)*conv_2026*J$7</f>
        <v>-2854620.938058571</v>
      </c>
      <c r="K29" s="31">
        <f>SUM(Option2!K$66:K$68)*conv_2026*K$7</f>
        <v>-2793410.742505658</v>
      </c>
      <c r="L29" s="31">
        <f>SUM(Option2!L$66:L$68)*conv_2026*L$7</f>
        <v>-2793410.742505658</v>
      </c>
      <c r="M29" s="31">
        <f>SUM(Option2!M$66:M$68)*conv_2026*M$7</f>
        <v>-2732200.5469527454</v>
      </c>
      <c r="N29" s="31">
        <f>SUM(Option2!N$66:N$68)*conv_2026*N$7</f>
        <v>-2732200.5469527454</v>
      </c>
      <c r="O29" s="31">
        <f>SUM(Option2!O$66:O$68)*conv_2026*O$7</f>
        <v>-1667143.144332062</v>
      </c>
      <c r="P29" s="31">
        <f>SUM(Option2!P$66:P$68)*conv_2026*P$7</f>
        <v>0</v>
      </c>
      <c r="Q29" s="31">
        <f>SUM(Option2!Q$66:Q$68)*conv_2026*Q$7</f>
        <v>0</v>
      </c>
      <c r="R29" s="31">
        <f>SUM(Option2!R$66:R$68)*conv_2026*R$7</f>
        <v>0</v>
      </c>
      <c r="S29" s="31">
        <f>SUM(Option2!S$66:S$68)*conv_2026*S$7</f>
        <v>0</v>
      </c>
      <c r="T29" s="31">
        <f>SUM(Option2!T$66:T$68)*conv_2026*T$7</f>
        <v>0</v>
      </c>
      <c r="U29" s="31">
        <f>SUM(Option2!U$66:U$68)*conv_2026*U$7</f>
        <v>0</v>
      </c>
      <c r="V29" s="31">
        <f>SUM(Option2!V$66:V$68)*conv_2026*V$7</f>
        <v>0</v>
      </c>
      <c r="W29" s="31">
        <f>SUM(Option2!W$66:W$68)*conv_2026*W$7</f>
        <v>0</v>
      </c>
      <c r="X29" s="31">
        <f>SUM(Option2!X$66:X$68)*conv_2026*X$7</f>
        <v>0</v>
      </c>
      <c r="Y29" s="31">
        <f>SUM(Option2!Y$66:Y$68)*conv_2026*Y$7</f>
        <v>0</v>
      </c>
      <c r="Z29" s="31">
        <f>SUM(Option2!Z$66:Z$68)*conv_2026*Z$7</f>
        <v>0</v>
      </c>
      <c r="AA29" s="31">
        <f>SUM(Option2!AA$66:AA$68)*conv_2026*AA$7</f>
        <v>0</v>
      </c>
      <c r="AB29" s="31">
        <f>SUM(Option2!AB$66:AB$68)*conv_2026*AB$7</f>
        <v>0</v>
      </c>
      <c r="AC29" s="31">
        <f>SUM(Option2!AC$66:AC$68)*conv_2026*AC$7</f>
        <v>0</v>
      </c>
      <c r="AD29" s="31">
        <f>SUM(Option2!AD$66:AD$68)*conv_2026*AD$7</f>
        <v>0</v>
      </c>
      <c r="AE29" s="31">
        <f>SUM(Option2!AE$66:AE$68)*conv_2026*AE$7</f>
        <v>0</v>
      </c>
      <c r="AF29" s="31">
        <f>SUM(Option2!AF$66:AF$68)*conv_2026*AF$7</f>
        <v>0</v>
      </c>
      <c r="AG29" s="31">
        <f>SUM(Option2!AG$66:AG$68)*conv_2026*AG$7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case)'!C$35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4320467.295030728</v>
      </c>
      <c r="G30" s="227">
        <f>output_dollars</f>
        <v>46203</v>
      </c>
      <c r="H30" s="31"/>
      <c r="I30" s="31">
        <f>Option2!I$35*conv_2026*I$7</f>
        <v>1168698.4134822448</v>
      </c>
      <c r="J30" s="31">
        <f>Option2!J$35*conv_2026*J$7</f>
        <v>1168698.4134822448</v>
      </c>
      <c r="K30" s="31">
        <f>Option2!K$35*conv_2026*K$7</f>
        <v>779132.27565482969</v>
      </c>
      <c r="L30" s="31">
        <f>Option2!L$35*conv_2026*L$7</f>
        <v>779132.27565482969</v>
      </c>
      <c r="M30" s="31">
        <f>Option2!M$35*conv_2026*M$7</f>
        <v>389566.13782741484</v>
      </c>
      <c r="N30" s="31">
        <f>Option2!N$35*conv_2026*N$7</f>
        <v>389566.13782741484</v>
      </c>
      <c r="O30" s="31">
        <f>Option2!O$35*conv_2026*O$7</f>
        <v>0</v>
      </c>
      <c r="P30" s="31">
        <f>Option2!P$35*conv_2026*P$7</f>
        <v>0</v>
      </c>
      <c r="Q30" s="31">
        <f>Option2!Q$35*conv_2026*Q$7</f>
        <v>0</v>
      </c>
      <c r="R30" s="31">
        <f>Option2!R$35*conv_2026*R$7</f>
        <v>0</v>
      </c>
      <c r="S30" s="31">
        <f>Option2!S$35*conv_2026*S$7</f>
        <v>0</v>
      </c>
      <c r="T30" s="31">
        <f>Option2!T$35*conv_2026*T$7</f>
        <v>0</v>
      </c>
      <c r="U30" s="31">
        <f>Option2!U$35*conv_2026*U$7</f>
        <v>0</v>
      </c>
      <c r="V30" s="31">
        <f>Option2!V$35*conv_2026*V$7</f>
        <v>0</v>
      </c>
      <c r="W30" s="31">
        <f>Option2!W$35*conv_2026*W$7</f>
        <v>0</v>
      </c>
      <c r="X30" s="31">
        <f>Option2!X$35*conv_2026*X$7</f>
        <v>0</v>
      </c>
      <c r="Y30" s="31">
        <f>Option2!Y$35*conv_2026*Y$7</f>
        <v>0</v>
      </c>
      <c r="Z30" s="31">
        <f>Option2!Z$35*conv_2026*Z$7</f>
        <v>0</v>
      </c>
      <c r="AA30" s="31">
        <f>Option2!AA$35*conv_2026*AA$7</f>
        <v>0</v>
      </c>
      <c r="AB30" s="31">
        <f>Option2!AB$35*conv_2026*AB$7</f>
        <v>0</v>
      </c>
      <c r="AC30" s="31">
        <f>Option2!AC$35*conv_2026*AC$7</f>
        <v>0</v>
      </c>
      <c r="AD30" s="31">
        <f>Option2!AD$35*conv_2026*AD$7</f>
        <v>0</v>
      </c>
      <c r="AE30" s="31">
        <f>Option2!AE$35*conv_2026*AE$7</f>
        <v>0</v>
      </c>
      <c r="AF30" s="31">
        <f>Option2!AF$35*conv_2026*AF$7</f>
        <v>0</v>
      </c>
      <c r="AG30" s="31">
        <f>Option2!AG$35*conv_2026*AG$7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2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Option2!C$81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-8611547.9555572458</v>
      </c>
      <c r="G32" s="227">
        <f t="shared" ref="G32:G39" si="8">output_dollars</f>
        <v>46203</v>
      </c>
      <c r="H32" s="31"/>
      <c r="I32" s="31">
        <f>Option2!I$81*conv_2026*I$7</f>
        <v>0</v>
      </c>
      <c r="J32" s="31">
        <f>Option2!J$81*conv_2026*J$7</f>
        <v>-121703.07999577586</v>
      </c>
      <c r="K32" s="31">
        <f>Option2!K$81*conv_2026*K$7</f>
        <v>-243406.15999155171</v>
      </c>
      <c r="L32" s="31">
        <f>Option2!L$81*conv_2026*L$7</f>
        <v>-362499.62228761305</v>
      </c>
      <c r="M32" s="31">
        <f>Option2!M$81*conv_2026*M$7</f>
        <v>-481593.08458367444</v>
      </c>
      <c r="N32" s="31">
        <f>Option2!N$81*conv_2026*N$7</f>
        <v>-598076.92918002128</v>
      </c>
      <c r="O32" s="31">
        <f>Option2!O$81*conv_2026*O$7</f>
        <v>-714560.77377636812</v>
      </c>
      <c r="P32" s="31">
        <f>Option2!P$81*conv_2026*P$7</f>
        <v>-785637.27039768291</v>
      </c>
      <c r="Q32" s="31">
        <f>Option2!Q$81*conv_2026*Q$7</f>
        <v>-785637.27039768291</v>
      </c>
      <c r="R32" s="31">
        <f>Option2!R$81*conv_2026*R$7</f>
        <v>-785637.27039768291</v>
      </c>
      <c r="S32" s="31">
        <f>Option2!S$81*conv_2026*S$7</f>
        <v>-785637.27039768291</v>
      </c>
      <c r="T32" s="31">
        <f>Option2!T$81*conv_2026*T$7</f>
        <v>-785637.27039768291</v>
      </c>
      <c r="U32" s="31">
        <f>Option2!U$81*conv_2026*U$7</f>
        <v>-785637.27039768291</v>
      </c>
      <c r="V32" s="31">
        <f>Option2!V$81*conv_2026*V$7</f>
        <v>-785637.27039768291</v>
      </c>
      <c r="W32" s="31">
        <f>Option2!W$81*conv_2026*W$7</f>
        <v>-785637.27039768291</v>
      </c>
      <c r="X32" s="31">
        <f>Option2!X$81*conv_2026*X$7</f>
        <v>-785637.27039768291</v>
      </c>
      <c r="Y32" s="31">
        <f>Option2!Y$81*conv_2026*Y$7</f>
        <v>-785637.27039768291</v>
      </c>
      <c r="Z32" s="31">
        <f>Option2!Z$81*conv_2026*Z$7</f>
        <v>-785637.27039768291</v>
      </c>
      <c r="AA32" s="31">
        <f>Option2!AA$81*conv_2026*AA$7</f>
        <v>-785637.27039768291</v>
      </c>
      <c r="AB32" s="31">
        <f>Option2!AB$81*conv_2026*AB$7</f>
        <v>-785637.27039768291</v>
      </c>
      <c r="AC32" s="31">
        <f>Option2!AC$81*conv_2026*AC$7</f>
        <v>0</v>
      </c>
      <c r="AD32" s="31">
        <f>Option2!AD$81*conv_2026*AD$7</f>
        <v>0</v>
      </c>
      <c r="AE32" s="31">
        <f>Option2!AE$81*conv_2026*AE$7</f>
        <v>0</v>
      </c>
      <c r="AF32" s="31">
        <f>Option2!AF$81*conv_2026*AF$7</f>
        <v>0</v>
      </c>
      <c r="AG32" s="31">
        <f>Option2!AG$81*conv_2026*AG$7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Option2!C$82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7">
        <f t="shared" si="8"/>
        <v>46203</v>
      </c>
      <c r="H33" s="31"/>
      <c r="I33" s="31">
        <f>Option2!I$82*conv_2026*I$7</f>
        <v>0</v>
      </c>
      <c r="J33" s="31">
        <f>Option2!J$82*conv_2026*J$7</f>
        <v>0</v>
      </c>
      <c r="K33" s="31">
        <f>Option2!K$82*conv_2026*K$7</f>
        <v>0</v>
      </c>
      <c r="L33" s="31">
        <f>Option2!L$82*conv_2026*L$7</f>
        <v>0</v>
      </c>
      <c r="M33" s="31">
        <f>Option2!M$82*conv_2026*M$7</f>
        <v>0</v>
      </c>
      <c r="N33" s="31">
        <f>Option2!N$82*conv_2026*N$7</f>
        <v>0</v>
      </c>
      <c r="O33" s="31">
        <f>Option2!O$82*conv_2026*O$7</f>
        <v>0</v>
      </c>
      <c r="P33" s="31">
        <f>Option2!P$82*conv_2026*P$7</f>
        <v>0</v>
      </c>
      <c r="Q33" s="31">
        <f>Option2!Q$82*conv_2026*Q$7</f>
        <v>0</v>
      </c>
      <c r="R33" s="31">
        <f>Option2!R$82*conv_2026*R$7</f>
        <v>0</v>
      </c>
      <c r="S33" s="31">
        <f>Option2!S$82*conv_2026*S$7</f>
        <v>0</v>
      </c>
      <c r="T33" s="31">
        <f>Option2!T$82*conv_2026*T$7</f>
        <v>0</v>
      </c>
      <c r="U33" s="31">
        <f>Option2!U$82*conv_2026*U$7</f>
        <v>0</v>
      </c>
      <c r="V33" s="31">
        <f>Option2!V$82*conv_2026*V$7</f>
        <v>0</v>
      </c>
      <c r="W33" s="31">
        <f>Option2!W$82*conv_2026*W$7</f>
        <v>0</v>
      </c>
      <c r="X33" s="31">
        <f>Option2!X$82*conv_2026*X$7</f>
        <v>0</v>
      </c>
      <c r="Y33" s="31">
        <f>Option2!Y$82*conv_2026*Y$7</f>
        <v>0</v>
      </c>
      <c r="Z33" s="31">
        <f>Option2!Z$82*conv_2026*Z$7</f>
        <v>0</v>
      </c>
      <c r="AA33" s="31">
        <f>Option2!AA$82*conv_2026*AA$7</f>
        <v>0</v>
      </c>
      <c r="AB33" s="31">
        <f>Option2!AB$82*conv_2026*AB$7</f>
        <v>0</v>
      </c>
      <c r="AC33" s="31">
        <f>Option2!AC$82*conv_2026*AC$7</f>
        <v>0</v>
      </c>
      <c r="AD33" s="31">
        <f>Option2!AD$82*conv_2026*AD$7</f>
        <v>0</v>
      </c>
      <c r="AE33" s="31">
        <f>Option2!AE$82*conv_2026*AE$7</f>
        <v>0</v>
      </c>
      <c r="AF33" s="31">
        <f>Option2!AF$82*conv_2026*AF$7</f>
        <v>0</v>
      </c>
      <c r="AG33" s="31">
        <f>Option2!AG$82*conv_2026*AG$7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Option2!C$83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18450380.97513378</v>
      </c>
      <c r="G34" s="227">
        <f t="shared" si="8"/>
        <v>46203</v>
      </c>
      <c r="H34" s="31"/>
      <c r="I34" s="31">
        <f>Option2!I$83*conv_2026*I$7</f>
        <v>779132.27565482946</v>
      </c>
      <c r="J34" s="31">
        <f>Option2!J$83*conv_2026*J$7</f>
        <v>779132.27565482946</v>
      </c>
      <c r="K34" s="31">
        <f>Option2!K$83*conv_2026*K$7</f>
        <v>1168698.4134822448</v>
      </c>
      <c r="L34" s="31">
        <f>Option2!L$83*conv_2026*L$7</f>
        <v>1168698.4134822448</v>
      </c>
      <c r="M34" s="31">
        <f>Option2!M$83*conv_2026*M$7</f>
        <v>1558264.5513096596</v>
      </c>
      <c r="N34" s="31">
        <f>Option2!N$83*conv_2026*N$7</f>
        <v>1168698.4134822446</v>
      </c>
      <c r="O34" s="31">
        <f>Option2!O$83*conv_2026*O$7</f>
        <v>1558264.5513096594</v>
      </c>
      <c r="P34" s="31">
        <f>Option2!P$83*conv_2026*P$7</f>
        <v>1558264.5513096594</v>
      </c>
      <c r="Q34" s="31">
        <f>Option2!Q$83*conv_2026*Q$7</f>
        <v>1558264.5513096594</v>
      </c>
      <c r="R34" s="31">
        <f>Option2!R$83*conv_2026*R$7</f>
        <v>1558264.5513096594</v>
      </c>
      <c r="S34" s="31">
        <f>Option2!S$83*conv_2026*S$7</f>
        <v>1558264.5513096594</v>
      </c>
      <c r="T34" s="31">
        <f>Option2!T$83*conv_2026*T$7</f>
        <v>1558264.5513096594</v>
      </c>
      <c r="U34" s="31">
        <f>Option2!U$83*conv_2026*U$7</f>
        <v>1558264.5513096594</v>
      </c>
      <c r="V34" s="31">
        <f>Option2!V$83*conv_2026*V$7</f>
        <v>1168698.4134822448</v>
      </c>
      <c r="W34" s="31">
        <f>Option2!W$83*conv_2026*W$7</f>
        <v>1168698.4134822448</v>
      </c>
      <c r="X34" s="31">
        <f>Option2!X$83*conv_2026*X$7</f>
        <v>1168698.4134822448</v>
      </c>
      <c r="Y34" s="31">
        <f>Option2!Y$83*conv_2026*Y$7</f>
        <v>1168698.4134822448</v>
      </c>
      <c r="Z34" s="31">
        <f>Option2!Z$83*conv_2026*Z$7</f>
        <v>1168698.4134822448</v>
      </c>
      <c r="AA34" s="31">
        <f>Option2!AA$83*conv_2026*AA$7</f>
        <v>1168698.4134822448</v>
      </c>
      <c r="AB34" s="31">
        <f>Option2!AB$83*conv_2026*AB$7</f>
        <v>1168698.4134822448</v>
      </c>
      <c r="AC34" s="31">
        <f>Option2!AC$83*conv_2026*AC$7</f>
        <v>0</v>
      </c>
      <c r="AD34" s="31">
        <f>Option2!AD$83*conv_2026*AD$7</f>
        <v>0</v>
      </c>
      <c r="AE34" s="31">
        <f>Option2!AE$83*conv_2026*AE$7</f>
        <v>0</v>
      </c>
      <c r="AF34" s="31">
        <f>Option2!AF$83*conv_2026*AF$7</f>
        <v>0</v>
      </c>
      <c r="AG34" s="31">
        <f>Option2!AG$83*conv_2026*AG$7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Option2!C$84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7">
        <f t="shared" si="8"/>
        <v>46203</v>
      </c>
      <c r="H35" s="31"/>
      <c r="I35" s="31">
        <f>Option2!I$84*conv_2026*I$7</f>
        <v>0</v>
      </c>
      <c r="J35" s="31">
        <f>Option2!J$84*conv_2026*J$7</f>
        <v>0</v>
      </c>
      <c r="K35" s="31">
        <f>Option2!K$84*conv_2026*K$7</f>
        <v>0</v>
      </c>
      <c r="L35" s="31">
        <f>Option2!L$84*conv_2026*L$7</f>
        <v>0</v>
      </c>
      <c r="M35" s="31">
        <f>Option2!M$84*conv_2026*M$7</f>
        <v>0</v>
      </c>
      <c r="N35" s="31">
        <f>Option2!N$84*conv_2026*N$7</f>
        <v>0</v>
      </c>
      <c r="O35" s="31">
        <f>Option2!O$84*conv_2026*O$7</f>
        <v>0</v>
      </c>
      <c r="P35" s="31">
        <f>Option2!P$84*conv_2026*P$7</f>
        <v>0</v>
      </c>
      <c r="Q35" s="31">
        <f>Option2!Q$84*conv_2026*Q$7</f>
        <v>0</v>
      </c>
      <c r="R35" s="31">
        <f>Option2!R$84*conv_2026*R$7</f>
        <v>0</v>
      </c>
      <c r="S35" s="31">
        <f>Option2!S$84*conv_2026*S$7</f>
        <v>0</v>
      </c>
      <c r="T35" s="31">
        <f>Option2!T$84*conv_2026*T$7</f>
        <v>0</v>
      </c>
      <c r="U35" s="31">
        <f>Option2!U$84*conv_2026*U$7</f>
        <v>0</v>
      </c>
      <c r="V35" s="31">
        <f>Option2!V$84*conv_2026*V$7</f>
        <v>0</v>
      </c>
      <c r="W35" s="31">
        <f>Option2!W$84*conv_2026*W$7</f>
        <v>0</v>
      </c>
      <c r="X35" s="31">
        <f>Option2!X$84*conv_2026*X$7</f>
        <v>0</v>
      </c>
      <c r="Y35" s="31">
        <f>Option2!Y$84*conv_2026*Y$7</f>
        <v>0</v>
      </c>
      <c r="Z35" s="31">
        <f>Option2!Z$84*conv_2026*Z$7</f>
        <v>0</v>
      </c>
      <c r="AA35" s="31">
        <f>Option2!AA$84*conv_2026*AA$7</f>
        <v>0</v>
      </c>
      <c r="AB35" s="31">
        <f>Option2!AB$84*conv_2026*AB$7</f>
        <v>0</v>
      </c>
      <c r="AC35" s="31">
        <f>Option2!AC$84*conv_2026*AC$7</f>
        <v>0</v>
      </c>
      <c r="AD35" s="31">
        <f>Option2!AD$84*conv_2026*AD$7</f>
        <v>0</v>
      </c>
      <c r="AE35" s="31">
        <f>Option2!AE$84*conv_2026*AE$7</f>
        <v>0</v>
      </c>
      <c r="AF35" s="31">
        <f>Option2!AF$84*conv_2026*AF$7</f>
        <v>0</v>
      </c>
      <c r="AG35" s="31">
        <f>Option2!AG$84*conv_2026*AG$7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Option2!C86</f>
        <v>Net benefits</v>
      </c>
      <c r="D36" s="109" t="str">
        <f t="shared" si="6"/>
        <v>Option 2Net benefits</v>
      </c>
      <c r="E36" s="110"/>
      <c r="F36" s="146"/>
      <c r="G36" s="229">
        <f t="shared" si="8"/>
        <v>46203</v>
      </c>
      <c r="H36" s="52"/>
      <c r="I36" s="52">
        <f>SUM(I32:I35)</f>
        <v>779132.27565482946</v>
      </c>
      <c r="J36" s="52">
        <f t="shared" ref="J36:AG36" si="9">SUM(J32:J35)</f>
        <v>657429.19565905363</v>
      </c>
      <c r="K36" s="52">
        <f t="shared" si="9"/>
        <v>925292.25349069317</v>
      </c>
      <c r="L36" s="52">
        <f t="shared" si="9"/>
        <v>806198.79119463172</v>
      </c>
      <c r="M36" s="52">
        <f t="shared" si="9"/>
        <v>1076671.4667259851</v>
      </c>
      <c r="N36" s="52">
        <f t="shared" si="9"/>
        <v>570621.48430222331</v>
      </c>
      <c r="O36" s="52">
        <f t="shared" si="9"/>
        <v>843703.77753329126</v>
      </c>
      <c r="P36" s="52">
        <f t="shared" si="9"/>
        <v>772627.28091197647</v>
      </c>
      <c r="Q36" s="52">
        <f t="shared" si="9"/>
        <v>772627.28091197647</v>
      </c>
      <c r="R36" s="52">
        <f t="shared" si="9"/>
        <v>772627.28091197647</v>
      </c>
      <c r="S36" s="52">
        <f t="shared" si="9"/>
        <v>772627.28091197647</v>
      </c>
      <c r="T36" s="52">
        <f t="shared" si="9"/>
        <v>772627.28091197647</v>
      </c>
      <c r="U36" s="52">
        <f t="shared" si="9"/>
        <v>772627.28091197647</v>
      </c>
      <c r="V36" s="52">
        <f t="shared" si="9"/>
        <v>383061.14308456192</v>
      </c>
      <c r="W36" s="52">
        <f t="shared" si="9"/>
        <v>383061.14308456192</v>
      </c>
      <c r="X36" s="52">
        <f t="shared" si="9"/>
        <v>383061.14308456192</v>
      </c>
      <c r="Y36" s="52">
        <f t="shared" si="9"/>
        <v>383061.14308456192</v>
      </c>
      <c r="Z36" s="52">
        <f t="shared" si="9"/>
        <v>383061.14308456192</v>
      </c>
      <c r="AA36" s="52">
        <f t="shared" si="9"/>
        <v>383061.14308456192</v>
      </c>
      <c r="AB36" s="52">
        <f t="shared" si="9"/>
        <v>383061.14308456192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9838833.0195765384</v>
      </c>
      <c r="G37" s="227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187</v>
      </c>
      <c r="D38" s="38" t="str">
        <f t="shared" si="6"/>
        <v>Option 2PV of costs</v>
      </c>
      <c r="E38" s="1"/>
      <c r="F38" s="108">
        <f>SUM(F32:F33)</f>
        <v>-8611547.9555572458</v>
      </c>
      <c r="G38" s="227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188</v>
      </c>
      <c r="D39" s="38" t="str">
        <f t="shared" si="6"/>
        <v>Option 2PV of benefits</v>
      </c>
      <c r="E39" s="1"/>
      <c r="F39" s="108">
        <f>SUM(F34:F35)</f>
        <v>18450380.97513378</v>
      </c>
      <c r="G39" s="227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0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3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3" customFormat="1" x14ac:dyDescent="0.2">
      <c r="A42" s="271" t="str">
        <f>A43</f>
        <v>Option 3</v>
      </c>
      <c r="B42" s="271"/>
      <c r="C42" s="271" t="s">
        <v>124</v>
      </c>
      <c r="D42" s="272" t="str">
        <f>A42&amp;C42</f>
        <v>Option 3Energy at risk value</v>
      </c>
      <c r="F42" s="97">
        <f>SUMPRODUCT($H42:$AG42, $H$5:$AG$5)</f>
        <v>5620287.6052739993</v>
      </c>
      <c r="G42" s="274">
        <f>output_dollars</f>
        <v>46203</v>
      </c>
      <c r="H42" s="275"/>
      <c r="I42" s="31">
        <f>Option3!I$27*conv_2026</f>
        <v>1686073.6346998906</v>
      </c>
      <c r="J42" s="31">
        <f>Option3!J$27*conv_2026</f>
        <v>1348858.9077599123</v>
      </c>
      <c r="K42" s="31">
        <f>Option3!K$27*conv_2026</f>
        <v>1011644.1808199348</v>
      </c>
      <c r="L42" s="31">
        <f>Option3!L$27*conv_2026</f>
        <v>1011644.1808199348</v>
      </c>
      <c r="M42" s="31">
        <f>Option3!M$27*conv_2026</f>
        <v>674429.45387995616</v>
      </c>
      <c r="N42" s="31">
        <f>Option3!N$27*conv_2026</f>
        <v>337214.72693997808</v>
      </c>
      <c r="O42" s="31">
        <f>Option3!O$27*conv_2026</f>
        <v>0</v>
      </c>
      <c r="P42" s="31">
        <f>Option3!P$27*conv_2026</f>
        <v>0</v>
      </c>
      <c r="Q42" s="31">
        <f>Option3!Q$27*conv_2026</f>
        <v>0</v>
      </c>
      <c r="R42" s="31">
        <f>Option3!R$27*conv_2026</f>
        <v>0</v>
      </c>
      <c r="S42" s="31">
        <f>Option3!S$27*conv_2026</f>
        <v>0</v>
      </c>
      <c r="T42" s="31">
        <f>Option3!T$27*conv_2026</f>
        <v>0</v>
      </c>
      <c r="U42" s="31">
        <f>Option3!U$27*conv_2026</f>
        <v>0</v>
      </c>
      <c r="V42" s="31">
        <f>Option3!V$27*conv_2026</f>
        <v>0</v>
      </c>
      <c r="W42" s="31">
        <f>Option3!W$27*conv_2026</f>
        <v>0</v>
      </c>
      <c r="X42" s="31">
        <f>Option3!X$27*conv_2026</f>
        <v>0</v>
      </c>
      <c r="Y42" s="31">
        <f>Option3!Y$27*conv_2026</f>
        <v>0</v>
      </c>
      <c r="Z42" s="31">
        <f>Option3!Z$27*conv_2026</f>
        <v>0</v>
      </c>
      <c r="AA42" s="31">
        <f>Option3!AA$27*conv_2026</f>
        <v>0</v>
      </c>
      <c r="AB42" s="31">
        <f>Option3!AB$27*conv_2026</f>
        <v>0</v>
      </c>
      <c r="AC42" s="31">
        <f>Option3!AC$27*conv_2026</f>
        <v>0</v>
      </c>
      <c r="AD42" s="31">
        <f>Option3!AD$27*conv_2026</f>
        <v>0</v>
      </c>
      <c r="AE42" s="31">
        <f>Option3!AE$27*conv_2026</f>
        <v>0</v>
      </c>
      <c r="AF42" s="31">
        <f>Option3!AF$27*conv_2026</f>
        <v>0</v>
      </c>
      <c r="AG42" s="31">
        <f>Option3!AG$27*conv_2026</f>
        <v>0</v>
      </c>
    </row>
    <row r="43" spans="1:33" s="2" customFormat="1" x14ac:dyDescent="0.2">
      <c r="A43" s="138" t="str">
        <f>Data!B11</f>
        <v>Option 3</v>
      </c>
      <c r="B43" s="138"/>
      <c r="C43" s="58" t="str">
        <f>Option3!C$65</f>
        <v>Capital expenditure</v>
      </c>
      <c r="D43" s="38" t="str">
        <f>A43&amp;C43</f>
        <v>Option 3Capital expenditure</v>
      </c>
      <c r="E43" s="1"/>
      <c r="F43" s="97">
        <f>SUMPRODUCT($H43:$AG43, $H$5:$AG$5)</f>
        <v>-16297872.504807483</v>
      </c>
      <c r="G43" s="227">
        <f>output_dollars</f>
        <v>46203</v>
      </c>
      <c r="H43" s="31"/>
      <c r="I43" s="31">
        <f>SUM(Option3!I$66:I$68)*conv_2026*I$7</f>
        <v>-2977041.3291643965</v>
      </c>
      <c r="J43" s="31">
        <f>SUM(Option3!J$66:J$68)*conv_2026*J$7</f>
        <v>-2915831.1336114835</v>
      </c>
      <c r="K43" s="31">
        <f>SUM(Option3!K$66:K$68)*conv_2026*K$7</f>
        <v>-2854620.938058571</v>
      </c>
      <c r="L43" s="31">
        <f>SUM(Option3!L$66:L$68)*conv_2026*L$7</f>
        <v>-2854620.938058571</v>
      </c>
      <c r="M43" s="31">
        <f>SUM(Option3!M$66:M$68)*conv_2026*M$7</f>
        <v>-2793410.742505658</v>
      </c>
      <c r="N43" s="31">
        <f>SUM(Option3!N$66:N$68)*conv_2026*N$7</f>
        <v>-2732200.5469527454</v>
      </c>
      <c r="O43" s="31">
        <f>SUM(Option3!O$66:O$68)*conv_2026*O$7</f>
        <v>-998282.64383568743</v>
      </c>
      <c r="P43" s="31">
        <f>SUM(Option3!P$66:P$68)*conv_2026*P$7</f>
        <v>0</v>
      </c>
      <c r="Q43" s="31">
        <f>SUM(Option3!Q$66:Q$68)*conv_2026*Q$7</f>
        <v>0</v>
      </c>
      <c r="R43" s="31">
        <f>SUM(Option3!R$66:R$68)*conv_2026*R$7</f>
        <v>0</v>
      </c>
      <c r="S43" s="31">
        <f>SUM(Option3!S$66:S$68)*conv_2026*S$7</f>
        <v>0</v>
      </c>
      <c r="T43" s="31">
        <f>SUM(Option3!T$66:T$68)*conv_2026*T$7</f>
        <v>0</v>
      </c>
      <c r="U43" s="31">
        <f>SUM(Option3!U$66:U$68)*conv_2026*U$7</f>
        <v>0</v>
      </c>
      <c r="V43" s="31">
        <f>SUM(Option3!V$66:V$68)*conv_2026*V$7</f>
        <v>0</v>
      </c>
      <c r="W43" s="31">
        <f>SUM(Option3!W$66:W$68)*conv_2026*W$7</f>
        <v>0</v>
      </c>
      <c r="X43" s="31">
        <f>SUM(Option3!X$66:X$68)*conv_2026*X$7</f>
        <v>0</v>
      </c>
      <c r="Y43" s="31">
        <f>SUM(Option3!Y$66:Y$68)*conv_2026*Y$7</f>
        <v>0</v>
      </c>
      <c r="Z43" s="31">
        <f>SUM(Option3!Z$66:Z$68)*conv_2026*Z$7</f>
        <v>0</v>
      </c>
      <c r="AA43" s="31">
        <f>SUM(Option3!AA$66:AA$68)*conv_2026*AA$7</f>
        <v>0</v>
      </c>
      <c r="AB43" s="31">
        <f>SUM(Option3!AB$66:AB$68)*conv_2026*AB$7</f>
        <v>0</v>
      </c>
      <c r="AC43" s="31">
        <f>SUM(Option3!AC$66:AC$68)*conv_2026*AC$7</f>
        <v>0</v>
      </c>
      <c r="AD43" s="31">
        <f>SUM(Option3!AD$66:AD$68)*conv_2026*AD$7</f>
        <v>0</v>
      </c>
      <c r="AE43" s="31">
        <f>SUM(Option3!AE$66:AE$68)*conv_2026*AE$7</f>
        <v>0</v>
      </c>
      <c r="AF43" s="31">
        <f>SUM(Option3!AF$66:AF$68)*conv_2026*AF$7</f>
        <v>0</v>
      </c>
      <c r="AG43" s="31">
        <f>SUM(Option3!AG$66:AG$68)*conv_2026*AG$7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case)'!C$35</f>
        <v>Total risk cost</v>
      </c>
      <c r="D44" s="38" t="str">
        <f>A44&amp;C44</f>
        <v>Option 3Total risk cost</v>
      </c>
      <c r="E44" s="1"/>
      <c r="F44" s="97">
        <f>SUMPRODUCT($H44:$AG44, $H$5:$AG$5)</f>
        <v>6492817.6646792581</v>
      </c>
      <c r="G44" s="227">
        <f>output_dollars</f>
        <v>46203</v>
      </c>
      <c r="H44" s="31"/>
      <c r="I44" s="31">
        <f>Option3!I$35*conv_2026*I$7</f>
        <v>1947830.6891370744</v>
      </c>
      <c r="J44" s="31">
        <f>Option3!J$35*conv_2026*J$7</f>
        <v>1558264.5513096594</v>
      </c>
      <c r="K44" s="31">
        <f>Option3!K$35*conv_2026*K$7</f>
        <v>1168698.4134822448</v>
      </c>
      <c r="L44" s="31">
        <f>Option3!L$35*conv_2026*L$7</f>
        <v>1168698.4134822448</v>
      </c>
      <c r="M44" s="31">
        <f>Option3!M$35*conv_2026*M$7</f>
        <v>779132.27565482969</v>
      </c>
      <c r="N44" s="31">
        <f>Option3!N$35*conv_2026*N$7</f>
        <v>389566.13782741484</v>
      </c>
      <c r="O44" s="31">
        <f>Option3!O$35*conv_2026*O$7</f>
        <v>0</v>
      </c>
      <c r="P44" s="31">
        <f>Option3!P$35*conv_2026*P$7</f>
        <v>0</v>
      </c>
      <c r="Q44" s="31">
        <f>Option3!Q$35*conv_2026*Q$7</f>
        <v>0</v>
      </c>
      <c r="R44" s="31">
        <f>Option3!R$35*conv_2026*R$7</f>
        <v>0</v>
      </c>
      <c r="S44" s="31">
        <f>Option3!S$35*conv_2026*S$7</f>
        <v>0</v>
      </c>
      <c r="T44" s="31">
        <f>Option3!T$35*conv_2026*T$7</f>
        <v>0</v>
      </c>
      <c r="U44" s="31">
        <f>Option3!U$35*conv_2026*U$7</f>
        <v>0</v>
      </c>
      <c r="V44" s="31">
        <f>Option3!V$35*conv_2026*V$7</f>
        <v>0</v>
      </c>
      <c r="W44" s="31">
        <f>Option3!W$35*conv_2026*W$7</f>
        <v>0</v>
      </c>
      <c r="X44" s="31">
        <f>Option3!X$35*conv_2026*X$7</f>
        <v>0</v>
      </c>
      <c r="Y44" s="31">
        <f>Option3!Y$35*conv_2026*Y$7</f>
        <v>0</v>
      </c>
      <c r="Z44" s="31">
        <f>Option3!Z$35*conv_2026*Z$7</f>
        <v>0</v>
      </c>
      <c r="AA44" s="31">
        <f>Option3!AA$35*conv_2026*AA$7</f>
        <v>0</v>
      </c>
      <c r="AB44" s="31">
        <f>Option3!AB$35*conv_2026*AB$7</f>
        <v>0</v>
      </c>
      <c r="AC44" s="31">
        <f>Option3!AC$35*conv_2026*AC$7</f>
        <v>0</v>
      </c>
      <c r="AD44" s="31">
        <f>Option3!AD$35*conv_2026*AD$7</f>
        <v>0</v>
      </c>
      <c r="AE44" s="31">
        <f>Option3!AE$35*conv_2026*AE$7</f>
        <v>0</v>
      </c>
      <c r="AF44" s="31">
        <f>Option3!AF$35*conv_2026*AF$7</f>
        <v>0</v>
      </c>
      <c r="AG44" s="31">
        <f>Option3!AG$35*conv_2026*AG$7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7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Option3!C$81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-8563667.1481991522</v>
      </c>
      <c r="G46" s="227">
        <f t="shared" ref="G46:G53" si="12">output_dollars</f>
        <v>46203</v>
      </c>
      <c r="H46" s="31"/>
      <c r="I46" s="31">
        <f>Option3!I$81*conv_2026*I$7</f>
        <v>0</v>
      </c>
      <c r="J46" s="31">
        <f>Option3!J$81*conv_2026*J$7</f>
        <v>-126922.31539520485</v>
      </c>
      <c r="K46" s="31">
        <f>Option3!K$81*conv_2026*K$7</f>
        <v>-251235.0130906952</v>
      </c>
      <c r="L46" s="31">
        <f>Option3!L$81*conv_2026*L$7</f>
        <v>-372938.09308647108</v>
      </c>
      <c r="M46" s="31">
        <f>Option3!M$81*conv_2026*M$7</f>
        <v>-494641.17308224691</v>
      </c>
      <c r="N46" s="31">
        <f>Option3!N$81*conv_2026*N$7</f>
        <v>-613734.63537830824</v>
      </c>
      <c r="O46" s="31">
        <f>Option3!O$81*conv_2026*O$7</f>
        <v>-730218.47997465509</v>
      </c>
      <c r="P46" s="31">
        <f>Option3!P$81*conv_2026*P$7</f>
        <v>-772778.97227727156</v>
      </c>
      <c r="Q46" s="31">
        <f>Option3!Q$81*conv_2026*Q$7</f>
        <v>-772778.97227727156</v>
      </c>
      <c r="R46" s="31">
        <f>Option3!R$81*conv_2026*R$7</f>
        <v>-772778.97227727156</v>
      </c>
      <c r="S46" s="31">
        <f>Option3!S$81*conv_2026*S$7</f>
        <v>-772778.97227727156</v>
      </c>
      <c r="T46" s="31">
        <f>Option3!T$81*conv_2026*T$7</f>
        <v>-772778.97227727156</v>
      </c>
      <c r="U46" s="31">
        <f>Option3!U$81*conv_2026*U$7</f>
        <v>-772778.97227727156</v>
      </c>
      <c r="V46" s="31">
        <f>Option3!V$81*conv_2026*V$7</f>
        <v>-772778.97227727156</v>
      </c>
      <c r="W46" s="31">
        <f>Option3!W$81*conv_2026*W$7</f>
        <v>-772778.97227727156</v>
      </c>
      <c r="X46" s="31">
        <f>Option3!X$81*conv_2026*X$7</f>
        <v>-772778.97227727156</v>
      </c>
      <c r="Y46" s="31">
        <f>Option3!Y$81*conv_2026*Y$7</f>
        <v>-772778.97227727156</v>
      </c>
      <c r="Z46" s="31">
        <f>Option3!Z$81*conv_2026*Z$7</f>
        <v>-772778.97227727156</v>
      </c>
      <c r="AA46" s="31">
        <f>Option3!AA$81*conv_2026*AA$7</f>
        <v>-772778.97227727156</v>
      </c>
      <c r="AB46" s="31">
        <f>Option3!AB$81*conv_2026*AB$7</f>
        <v>-772778.97227727156</v>
      </c>
      <c r="AC46" s="31">
        <f>Option3!AC$81*conv_2026*AC$7</f>
        <v>0</v>
      </c>
      <c r="AD46" s="31">
        <f>Option3!AD$81*conv_2026*AD$7</f>
        <v>0</v>
      </c>
      <c r="AE46" s="31">
        <f>Option3!AE$81*conv_2026*AE$7</f>
        <v>0</v>
      </c>
      <c r="AF46" s="31">
        <f>Option3!AF$81*conv_2026*AF$7</f>
        <v>0</v>
      </c>
      <c r="AG46" s="31">
        <f>Option3!AG$81*conv_2026*AG$7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Option3!C$82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7">
        <f t="shared" si="12"/>
        <v>46203</v>
      </c>
      <c r="H47" s="31"/>
      <c r="I47" s="31">
        <f>Option3!I$82*conv_2026*I$7</f>
        <v>0</v>
      </c>
      <c r="J47" s="31">
        <f>Option3!J$82*conv_2026*J$7</f>
        <v>0</v>
      </c>
      <c r="K47" s="31">
        <f>Option3!K$82*conv_2026*K$7</f>
        <v>0</v>
      </c>
      <c r="L47" s="31">
        <f>Option3!L$82*conv_2026*L$7</f>
        <v>0</v>
      </c>
      <c r="M47" s="31">
        <f>Option3!M$82*conv_2026*M$7</f>
        <v>0</v>
      </c>
      <c r="N47" s="31">
        <f>Option3!N$82*conv_2026*N$7</f>
        <v>0</v>
      </c>
      <c r="O47" s="31">
        <f>Option3!O$82*conv_2026*O$7</f>
        <v>0</v>
      </c>
      <c r="P47" s="31">
        <f>Option3!P$82*conv_2026*P$7</f>
        <v>0</v>
      </c>
      <c r="Q47" s="31">
        <f>Option3!Q$82*conv_2026*Q$7</f>
        <v>0</v>
      </c>
      <c r="R47" s="31">
        <f>Option3!R$82*conv_2026*R$7</f>
        <v>0</v>
      </c>
      <c r="S47" s="31">
        <f>Option3!S$82*conv_2026*S$7</f>
        <v>0</v>
      </c>
      <c r="T47" s="31">
        <f>Option3!T$82*conv_2026*T$7</f>
        <v>0</v>
      </c>
      <c r="U47" s="31">
        <f>Option3!U$82*conv_2026*U$7</f>
        <v>0</v>
      </c>
      <c r="V47" s="31">
        <f>Option3!V$82*conv_2026*V$7</f>
        <v>0</v>
      </c>
      <c r="W47" s="31">
        <f>Option3!W$82*conv_2026*W$7</f>
        <v>0</v>
      </c>
      <c r="X47" s="31">
        <f>Option3!X$82*conv_2026*X$7</f>
        <v>0</v>
      </c>
      <c r="Y47" s="31">
        <f>Option3!Y$82*conv_2026*Y$7</f>
        <v>0</v>
      </c>
      <c r="Z47" s="31">
        <f>Option3!Z$82*conv_2026*Z$7</f>
        <v>0</v>
      </c>
      <c r="AA47" s="31">
        <f>Option3!AA$82*conv_2026*AA$7</f>
        <v>0</v>
      </c>
      <c r="AB47" s="31">
        <f>Option3!AB$82*conv_2026*AB$7</f>
        <v>0</v>
      </c>
      <c r="AC47" s="31">
        <f>Option3!AC$82*conv_2026*AC$7</f>
        <v>0</v>
      </c>
      <c r="AD47" s="31">
        <f>Option3!AD$82*conv_2026*AD$7</f>
        <v>0</v>
      </c>
      <c r="AE47" s="31">
        <f>Option3!AE$82*conv_2026*AE$7</f>
        <v>0</v>
      </c>
      <c r="AF47" s="31">
        <f>Option3!AF$82*conv_2026*AF$7</f>
        <v>0</v>
      </c>
      <c r="AG47" s="31">
        <f>Option3!AG$82*conv_2026*AG$7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Option3!C$83</f>
        <v>Risk mitigated</v>
      </c>
      <c r="D48" s="38" t="str">
        <f t="shared" si="11"/>
        <v>Option 3Risk mitigated</v>
      </c>
      <c r="E48" s="1"/>
      <c r="F48" s="97">
        <f>SUMPRODUCT($H48:$AG48, $H$5:$AG$5)</f>
        <v>16278030.605485253</v>
      </c>
      <c r="G48" s="227">
        <f t="shared" si="12"/>
        <v>46203</v>
      </c>
      <c r="H48" s="31"/>
      <c r="I48" s="31">
        <f>Option3!I$83*conv_2026*I$7</f>
        <v>0</v>
      </c>
      <c r="J48" s="31">
        <f>Option3!J$83*conv_2026*J$7</f>
        <v>389566.13782741502</v>
      </c>
      <c r="K48" s="31">
        <f>Option3!K$83*conv_2026*K$7</f>
        <v>779132.27565482946</v>
      </c>
      <c r="L48" s="31">
        <f>Option3!L$83*conv_2026*L$7</f>
        <v>779132.27565482946</v>
      </c>
      <c r="M48" s="31">
        <f>Option3!M$83*conv_2026*M$7</f>
        <v>1168698.4134822448</v>
      </c>
      <c r="N48" s="31">
        <f>Option3!N$83*conv_2026*N$7</f>
        <v>1168698.4134822446</v>
      </c>
      <c r="O48" s="31">
        <f>Option3!O$83*conv_2026*O$7</f>
        <v>1558264.5513096594</v>
      </c>
      <c r="P48" s="31">
        <f>Option3!P$83*conv_2026*P$7</f>
        <v>1558264.5513096594</v>
      </c>
      <c r="Q48" s="31">
        <f>Option3!Q$83*conv_2026*Q$7</f>
        <v>1558264.5513096594</v>
      </c>
      <c r="R48" s="31">
        <f>Option3!R$83*conv_2026*R$7</f>
        <v>1558264.5513096594</v>
      </c>
      <c r="S48" s="31">
        <f>Option3!S$83*conv_2026*S$7</f>
        <v>1558264.5513096594</v>
      </c>
      <c r="T48" s="31">
        <f>Option3!T$83*conv_2026*T$7</f>
        <v>1558264.5513096594</v>
      </c>
      <c r="U48" s="31">
        <f>Option3!U$83*conv_2026*U$7</f>
        <v>1558264.5513096594</v>
      </c>
      <c r="V48" s="31">
        <f>Option3!V$83*conv_2026*V$7</f>
        <v>1168698.4134822448</v>
      </c>
      <c r="W48" s="31">
        <f>Option3!W$83*conv_2026*W$7</f>
        <v>1168698.4134822448</v>
      </c>
      <c r="X48" s="31">
        <f>Option3!X$83*conv_2026*X$7</f>
        <v>1168698.4134822448</v>
      </c>
      <c r="Y48" s="31">
        <f>Option3!Y$83*conv_2026*Y$7</f>
        <v>1168698.4134822448</v>
      </c>
      <c r="Z48" s="31">
        <f>Option3!Z$83*conv_2026*Z$7</f>
        <v>1168698.4134822448</v>
      </c>
      <c r="AA48" s="31">
        <f>Option3!AA$83*conv_2026*AA$7</f>
        <v>1168698.4134822448</v>
      </c>
      <c r="AB48" s="31">
        <f>Option3!AB$83*conv_2026*AB$7</f>
        <v>1168698.4134822448</v>
      </c>
      <c r="AC48" s="31">
        <f>Option3!AC$83*conv_2026*AC$7</f>
        <v>0</v>
      </c>
      <c r="AD48" s="31">
        <f>Option3!AD$83*conv_2026*AD$7</f>
        <v>0</v>
      </c>
      <c r="AE48" s="31">
        <f>Option3!AE$83*conv_2026*AE$7</f>
        <v>0</v>
      </c>
      <c r="AF48" s="31">
        <f>Option3!AF$83*conv_2026*AF$7</f>
        <v>0</v>
      </c>
      <c r="AG48" s="31">
        <f>Option3!AG$83*conv_2026*AG$7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Option3!C$84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7">
        <f t="shared" si="12"/>
        <v>46203</v>
      </c>
      <c r="H49" s="31"/>
      <c r="I49" s="31">
        <f>Option3!I$84*conv_2026*I$7</f>
        <v>0</v>
      </c>
      <c r="J49" s="31">
        <f>Option3!J$84*conv_2026*J$7</f>
        <v>0</v>
      </c>
      <c r="K49" s="31">
        <f>Option3!K$84*conv_2026*K$7</f>
        <v>0</v>
      </c>
      <c r="L49" s="31">
        <f>Option3!L$84*conv_2026*L$7</f>
        <v>0</v>
      </c>
      <c r="M49" s="31">
        <f>Option3!M$84*conv_2026*M$7</f>
        <v>0</v>
      </c>
      <c r="N49" s="31">
        <f>Option3!N$84*conv_2026*N$7</f>
        <v>0</v>
      </c>
      <c r="O49" s="31">
        <f>Option3!O$84*conv_2026*O$7</f>
        <v>0</v>
      </c>
      <c r="P49" s="31">
        <f>Option3!P$84*conv_2026*P$7</f>
        <v>0</v>
      </c>
      <c r="Q49" s="31">
        <f>Option3!Q$84*conv_2026*Q$7</f>
        <v>0</v>
      </c>
      <c r="R49" s="31">
        <f>Option3!R$84*conv_2026*R$7</f>
        <v>0</v>
      </c>
      <c r="S49" s="31">
        <f>Option3!S$84*conv_2026*S$7</f>
        <v>0</v>
      </c>
      <c r="T49" s="31">
        <f>Option3!T$84*conv_2026*T$7</f>
        <v>0</v>
      </c>
      <c r="U49" s="31">
        <f>Option3!U$84*conv_2026*U$7</f>
        <v>0</v>
      </c>
      <c r="V49" s="31">
        <f>Option3!V$84*conv_2026*V$7</f>
        <v>0</v>
      </c>
      <c r="W49" s="31">
        <f>Option3!W$84*conv_2026*W$7</f>
        <v>0</v>
      </c>
      <c r="X49" s="31">
        <f>Option3!X$84*conv_2026*X$7</f>
        <v>0</v>
      </c>
      <c r="Y49" s="31">
        <f>Option3!Y$84*conv_2026*Y$7</f>
        <v>0</v>
      </c>
      <c r="Z49" s="31">
        <f>Option3!Z$84*conv_2026*Z$7</f>
        <v>0</v>
      </c>
      <c r="AA49" s="31">
        <f>Option3!AA$84*conv_2026*AA$7</f>
        <v>0</v>
      </c>
      <c r="AB49" s="31">
        <f>Option3!AB$84*conv_2026*AB$7</f>
        <v>0</v>
      </c>
      <c r="AC49" s="31">
        <f>Option3!AC$84*conv_2026*AC$7</f>
        <v>0</v>
      </c>
      <c r="AD49" s="31">
        <f>Option3!AD$84*conv_2026*AD$7</f>
        <v>0</v>
      </c>
      <c r="AE49" s="31">
        <f>Option3!AE$84*conv_2026*AE$7</f>
        <v>0</v>
      </c>
      <c r="AF49" s="31">
        <f>Option3!AF$84*conv_2026*AF$7</f>
        <v>0</v>
      </c>
      <c r="AG49" s="31">
        <f>Option3!AG$84*conv_2026*AG$7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Option3!C86</f>
        <v>Net benefits</v>
      </c>
      <c r="D50" s="109" t="str">
        <f t="shared" si="11"/>
        <v>Option 3Net benefits</v>
      </c>
      <c r="E50" s="110"/>
      <c r="F50" s="146"/>
      <c r="G50" s="229">
        <f t="shared" si="12"/>
        <v>46203</v>
      </c>
      <c r="H50" s="52"/>
      <c r="I50" s="52">
        <f t="shared" ref="I50:AB50" si="13">SUM(I46:I49)</f>
        <v>0</v>
      </c>
      <c r="J50" s="52">
        <f t="shared" si="13"/>
        <v>262643.8224322102</v>
      </c>
      <c r="K50" s="52">
        <f t="shared" si="13"/>
        <v>527897.26256413432</v>
      </c>
      <c r="L50" s="52">
        <f t="shared" si="13"/>
        <v>406194.18256835837</v>
      </c>
      <c r="M50" s="52">
        <f t="shared" si="13"/>
        <v>674057.24039999791</v>
      </c>
      <c r="N50" s="52">
        <f t="shared" si="13"/>
        <v>554963.77810393635</v>
      </c>
      <c r="O50" s="52">
        <f t="shared" si="13"/>
        <v>828046.07133500429</v>
      </c>
      <c r="P50" s="52">
        <f t="shared" si="13"/>
        <v>785485.57903238782</v>
      </c>
      <c r="Q50" s="52">
        <f t="shared" si="13"/>
        <v>785485.57903238782</v>
      </c>
      <c r="R50" s="52">
        <f t="shared" si="13"/>
        <v>785485.57903238782</v>
      </c>
      <c r="S50" s="52">
        <f t="shared" si="13"/>
        <v>785485.57903238782</v>
      </c>
      <c r="T50" s="52">
        <f t="shared" si="13"/>
        <v>785485.57903238782</v>
      </c>
      <c r="U50" s="52">
        <f t="shared" si="13"/>
        <v>785485.57903238782</v>
      </c>
      <c r="V50" s="52">
        <f t="shared" si="13"/>
        <v>395919.44120497326</v>
      </c>
      <c r="W50" s="52">
        <f t="shared" si="13"/>
        <v>395919.44120497326</v>
      </c>
      <c r="X50" s="52">
        <f t="shared" si="13"/>
        <v>395919.44120497326</v>
      </c>
      <c r="Y50" s="52">
        <f t="shared" si="13"/>
        <v>395919.44120497326</v>
      </c>
      <c r="Z50" s="52">
        <f t="shared" si="13"/>
        <v>395919.44120497326</v>
      </c>
      <c r="AA50" s="52">
        <f t="shared" si="13"/>
        <v>395919.44120497326</v>
      </c>
      <c r="AB50" s="52">
        <f t="shared" si="13"/>
        <v>395919.44120497326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7714363.4572861008</v>
      </c>
      <c r="G51" s="227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187</v>
      </c>
      <c r="D52" s="38" t="str">
        <f t="shared" si="11"/>
        <v>Option 3PV of costs</v>
      </c>
      <c r="E52" s="1"/>
      <c r="F52" s="108">
        <f>SUM(F46:F47)</f>
        <v>-8563667.1481991522</v>
      </c>
      <c r="G52" s="227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188</v>
      </c>
      <c r="D53" s="38" t="str">
        <f t="shared" si="11"/>
        <v>Option 3PV of benefits</v>
      </c>
      <c r="E53" s="1"/>
      <c r="F53" s="108">
        <f>SUM(F48:F49)</f>
        <v>16278030.605485253</v>
      </c>
      <c r="G53" s="227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0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3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3" customFormat="1" x14ac:dyDescent="0.2">
      <c r="A56" s="271" t="str">
        <f>A57</f>
        <v>Option 4</v>
      </c>
      <c r="B56" s="271"/>
      <c r="C56" s="271" t="s">
        <v>124</v>
      </c>
      <c r="D56" s="272" t="str">
        <f>A56&amp;C56</f>
        <v>Option 4Energy at risk value</v>
      </c>
      <c r="F56" s="97">
        <f>SUMPRODUCT($H56:$AG56, $H$5:$AG$5)</f>
        <v>4868316.89653775</v>
      </c>
      <c r="G56" s="274">
        <f>output_dollars</f>
        <v>46203</v>
      </c>
      <c r="H56" s="275"/>
      <c r="I56" s="31">
        <f>Option4!I$27*conv_2026</f>
        <v>1011644.1808199348</v>
      </c>
      <c r="J56" s="31">
        <f>Option4!J$27*conv_2026</f>
        <v>1011644.1808199348</v>
      </c>
      <c r="K56" s="31">
        <f>Option4!K$27*conv_2026</f>
        <v>1011644.1808199348</v>
      </c>
      <c r="L56" s="31">
        <f>Option4!L$27*conv_2026</f>
        <v>674429.45387995616</v>
      </c>
      <c r="M56" s="31">
        <f>Option4!M$27*conv_2026</f>
        <v>674429.45387995616</v>
      </c>
      <c r="N56" s="31">
        <f>Option4!N$27*conv_2026</f>
        <v>337214.72693997808</v>
      </c>
      <c r="O56" s="31">
        <f>Option4!O$27*conv_2026</f>
        <v>337214.72693997808</v>
      </c>
      <c r="P56" s="31">
        <f>Option4!P$27*conv_2026</f>
        <v>337214.72693997808</v>
      </c>
      <c r="Q56" s="31">
        <f>Option4!Q$27*conv_2026</f>
        <v>0</v>
      </c>
      <c r="R56" s="31">
        <f>Option4!R$27*conv_2026</f>
        <v>0</v>
      </c>
      <c r="S56" s="31">
        <f>Option4!S$27*conv_2026</f>
        <v>0</v>
      </c>
      <c r="T56" s="31">
        <f>Option4!T$27*conv_2026</f>
        <v>0</v>
      </c>
      <c r="U56" s="31">
        <f>Option4!U$27*conv_2026</f>
        <v>0</v>
      </c>
      <c r="V56" s="31">
        <f>Option4!V$27*conv_2026</f>
        <v>0</v>
      </c>
      <c r="W56" s="31">
        <f>Option4!W$27*conv_2026</f>
        <v>0</v>
      </c>
      <c r="X56" s="31">
        <f>Option4!X$27*conv_2026</f>
        <v>0</v>
      </c>
      <c r="Y56" s="31">
        <f>Option4!Y$27*conv_2026</f>
        <v>0</v>
      </c>
      <c r="Z56" s="31">
        <f>Option4!Z$27*conv_2026</f>
        <v>0</v>
      </c>
      <c r="AA56" s="31">
        <f>Option4!AA$27*conv_2026</f>
        <v>0</v>
      </c>
      <c r="AB56" s="31">
        <f>Option4!AB$27*conv_2026</f>
        <v>0</v>
      </c>
      <c r="AC56" s="31">
        <f>Option4!AC$27*conv_2026</f>
        <v>0</v>
      </c>
      <c r="AD56" s="31">
        <f>Option4!AD$27*conv_2026</f>
        <v>0</v>
      </c>
      <c r="AE56" s="31">
        <f>Option4!AE$27*conv_2026</f>
        <v>0</v>
      </c>
      <c r="AF56" s="31">
        <f>Option4!AF$27*conv_2026</f>
        <v>0</v>
      </c>
      <c r="AG56" s="31">
        <f>Option4!AG$27*conv_2026</f>
        <v>0</v>
      </c>
    </row>
    <row r="57" spans="1:33" s="2" customFormat="1" x14ac:dyDescent="0.2">
      <c r="A57" s="138" t="str">
        <f>Data!B12</f>
        <v>Option 4</v>
      </c>
      <c r="B57" s="138"/>
      <c r="C57" s="58" t="str">
        <f>Option4!C$65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-15685699.095979938</v>
      </c>
      <c r="G57" s="227">
        <f>output_dollars</f>
        <v>46203</v>
      </c>
      <c r="H57" s="31"/>
      <c r="I57" s="31">
        <f>SUM(Option4!I$66:I$68)*conv_2026*I$7</f>
        <v>-2075582.0855669531</v>
      </c>
      <c r="J57" s="31">
        <f>SUM(Option4!J$66:J$68)*conv_2026*J$7</f>
        <v>-2075582.0855669531</v>
      </c>
      <c r="K57" s="31">
        <f>SUM(Option4!K$66:K$68)*conv_2026*K$7</f>
        <v>-2075582.0855669531</v>
      </c>
      <c r="L57" s="31">
        <f>SUM(Option4!L$66:L$68)*conv_2026*L$7</f>
        <v>-2014371.8900140403</v>
      </c>
      <c r="M57" s="31">
        <f>SUM(Option4!M$66:M$68)*conv_2026*M$7</f>
        <v>-2014371.8900140403</v>
      </c>
      <c r="N57" s="31">
        <f>SUM(Option4!N$66:N$68)*conv_2026*N$7</f>
        <v>-1953161.6944611275</v>
      </c>
      <c r="O57" s="31">
        <f>SUM(Option4!O$66:O$68)*conv_2026*O$7</f>
        <v>-1953161.6944611275</v>
      </c>
      <c r="P57" s="31">
        <f>SUM(Option4!P$66:P$68)*conv_2026*P$7</f>
        <v>-1953161.6944611275</v>
      </c>
      <c r="Q57" s="31">
        <f>SUM(Option4!Q$66:Q$68)*conv_2026*Q$7</f>
        <v>-1891951.4989082145</v>
      </c>
      <c r="R57" s="31">
        <f>SUM(Option4!R$66:R$68)*conv_2026*R$7</f>
        <v>-220356.70399048616</v>
      </c>
      <c r="S57" s="31">
        <f>SUM(Option4!S$66:S$68)*conv_2026*S$7</f>
        <v>0</v>
      </c>
      <c r="T57" s="31">
        <f>SUM(Option4!T$66:T$68)*conv_2026*T$7</f>
        <v>0</v>
      </c>
      <c r="U57" s="31">
        <f>SUM(Option4!U$66:U$68)*conv_2026*U$7</f>
        <v>0</v>
      </c>
      <c r="V57" s="31">
        <f>SUM(Option4!V$66:V$68)*conv_2026*V$7</f>
        <v>0</v>
      </c>
      <c r="W57" s="31">
        <f>SUM(Option4!W$66:W$68)*conv_2026*W$7</f>
        <v>0</v>
      </c>
      <c r="X57" s="31">
        <f>SUM(Option4!X$66:X$68)*conv_2026*X$7</f>
        <v>0</v>
      </c>
      <c r="Y57" s="31">
        <f>SUM(Option4!Y$66:Y$68)*conv_2026*Y$7</f>
        <v>0</v>
      </c>
      <c r="Z57" s="31">
        <f>SUM(Option4!Z$66:Z$68)*conv_2026*Z$7</f>
        <v>0</v>
      </c>
      <c r="AA57" s="31">
        <f>SUM(Option4!AA$66:AA$68)*conv_2026*AA$7</f>
        <v>0</v>
      </c>
      <c r="AB57" s="31">
        <f>SUM(Option4!AB$66:AB$68)*conv_2026*AB$7</f>
        <v>0</v>
      </c>
      <c r="AC57" s="31">
        <f>SUM(Option4!AC$66:AC$68)*conv_2026*AC$7</f>
        <v>0</v>
      </c>
      <c r="AD57" s="31">
        <f>SUM(Option4!AD$66:AD$68)*conv_2026*AD$7</f>
        <v>0</v>
      </c>
      <c r="AE57" s="31">
        <f>SUM(Option4!AE$66:AE$68)*conv_2026*AE$7</f>
        <v>0</v>
      </c>
      <c r="AF57" s="31">
        <f>SUM(Option4!AF$66:AF$68)*conv_2026*AF$7</f>
        <v>0</v>
      </c>
      <c r="AG57" s="31">
        <f>SUM(Option4!AG$66:AG$68)*conv_2026*AG$7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case)'!C$35</f>
        <v>Total risk cost</v>
      </c>
      <c r="D58" s="38" t="str">
        <f t="shared" si="14"/>
        <v>Option 4Total risk cost</v>
      </c>
      <c r="E58" s="1"/>
      <c r="F58" s="97">
        <f>SUMPRODUCT($H58:$AG58, $H$5:$AG$5)</f>
        <v>5624106.1246465882</v>
      </c>
      <c r="G58" s="227">
        <f>output_dollars</f>
        <v>46203</v>
      </c>
      <c r="H58" s="31"/>
      <c r="I58" s="31">
        <f>Option4!I$35*conv_2026*I$7</f>
        <v>1168698.4134822448</v>
      </c>
      <c r="J58" s="31">
        <f>Option4!J$35*conv_2026*J$7</f>
        <v>1168698.4134822448</v>
      </c>
      <c r="K58" s="31">
        <f>Option4!K$35*conv_2026*K$7</f>
        <v>1168698.4134822448</v>
      </c>
      <c r="L58" s="31">
        <f>Option4!L$35*conv_2026*L$7</f>
        <v>779132.27565482969</v>
      </c>
      <c r="M58" s="31">
        <f>Option4!M$35*conv_2026*M$7</f>
        <v>779132.27565482969</v>
      </c>
      <c r="N58" s="31">
        <f>Option4!N$35*conv_2026*N$7</f>
        <v>389566.13782741484</v>
      </c>
      <c r="O58" s="31">
        <f>Option4!O$35*conv_2026*O$7</f>
        <v>389566.13782741484</v>
      </c>
      <c r="P58" s="31">
        <f>Option4!P$35*conv_2026*P$7</f>
        <v>389566.13782741484</v>
      </c>
      <c r="Q58" s="31">
        <f>Option4!Q$35*conv_2026*Q$7</f>
        <v>0</v>
      </c>
      <c r="R58" s="31">
        <f>Option4!R$35*conv_2026*R$7</f>
        <v>0</v>
      </c>
      <c r="S58" s="31">
        <f>Option4!S$35*conv_2026*S$7</f>
        <v>0</v>
      </c>
      <c r="T58" s="31">
        <f>Option4!T$35*conv_2026*T$7</f>
        <v>0</v>
      </c>
      <c r="U58" s="31">
        <f>Option4!U$35*conv_2026*U$7</f>
        <v>0</v>
      </c>
      <c r="V58" s="31">
        <f>Option4!V$35*conv_2026*V$7</f>
        <v>0</v>
      </c>
      <c r="W58" s="31">
        <f>Option4!W$35*conv_2026*W$7</f>
        <v>0</v>
      </c>
      <c r="X58" s="31">
        <f>Option4!X$35*conv_2026*X$7</f>
        <v>0</v>
      </c>
      <c r="Y58" s="31">
        <f>Option4!Y$35*conv_2026*Y$7</f>
        <v>0</v>
      </c>
      <c r="Z58" s="31">
        <f>Option4!Z$35*conv_2026*Z$7</f>
        <v>0</v>
      </c>
      <c r="AA58" s="31">
        <f>Option4!AA$35*conv_2026*AA$7</f>
        <v>0</v>
      </c>
      <c r="AB58" s="31">
        <f>Option4!AB$35*conv_2026*AB$7</f>
        <v>0</v>
      </c>
      <c r="AC58" s="31">
        <f>Option4!AC$35*conv_2026*AC$7</f>
        <v>0</v>
      </c>
      <c r="AD58" s="31">
        <f>Option4!AD$35*conv_2026*AD$7</f>
        <v>0</v>
      </c>
      <c r="AE58" s="31">
        <f>Option4!AE$35*conv_2026*AE$7</f>
        <v>0</v>
      </c>
      <c r="AF58" s="31">
        <f>Option4!AF$35*conv_2026*AF$7</f>
        <v>0</v>
      </c>
      <c r="AG58" s="31">
        <f>Option4!AG$35*conv_2026*AG$7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2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Option4!C$81</f>
        <v>Annualised capex</v>
      </c>
      <c r="D60" s="38" t="str">
        <f t="shared" si="14"/>
        <v>Option 4Annualised capex</v>
      </c>
      <c r="E60" s="1"/>
      <c r="F60" s="97">
        <f>SUMPRODUCT($H60:$AG60, $H$5:$AG$5)</f>
        <v>-7754901.0021724347</v>
      </c>
      <c r="G60" s="227">
        <f t="shared" ref="G60:G67" si="16">output_dollars</f>
        <v>46203</v>
      </c>
      <c r="H60" s="31"/>
      <c r="I60" s="31">
        <f>Option4!I$81*conv_2026*I$7</f>
        <v>0</v>
      </c>
      <c r="J60" s="31">
        <f>Option4!J$81*conv_2026*J$7</f>
        <v>-88489.763817591418</v>
      </c>
      <c r="K60" s="31">
        <f>Option4!K$81*conv_2026*K$7</f>
        <v>-176979.52763518284</v>
      </c>
      <c r="L60" s="31">
        <f>Option4!L$81*conv_2026*L$7</f>
        <v>-265469.29145277425</v>
      </c>
      <c r="M60" s="31">
        <f>Option4!M$81*conv_2026*M$7</f>
        <v>-351349.43757065118</v>
      </c>
      <c r="N60" s="31">
        <f>Option4!N$81*conv_2026*N$7</f>
        <v>-437229.5836885281</v>
      </c>
      <c r="O60" s="31">
        <f>Option4!O$81*conv_2026*O$7</f>
        <v>-520500.11210669059</v>
      </c>
      <c r="P60" s="31">
        <f>Option4!P$81*conv_2026*P$7</f>
        <v>-603770.64052485302</v>
      </c>
      <c r="Q60" s="31">
        <f>Option4!Q$81*conv_2026*Q$7</f>
        <v>-687041.16894301539</v>
      </c>
      <c r="R60" s="31">
        <f>Option4!R$81*conv_2026*R$7</f>
        <v>-767702.07966146327</v>
      </c>
      <c r="S60" s="31">
        <f>Option4!S$81*conv_2026*S$7</f>
        <v>-777096.70338043547</v>
      </c>
      <c r="T60" s="31">
        <f>Option4!T$81*conv_2026*T$7</f>
        <v>-777096.70338043547</v>
      </c>
      <c r="U60" s="31">
        <f>Option4!U$81*conv_2026*U$7</f>
        <v>-777096.70338043547</v>
      </c>
      <c r="V60" s="31">
        <f>Option4!V$81*conv_2026*V$7</f>
        <v>-777096.70338043547</v>
      </c>
      <c r="W60" s="31">
        <f>Option4!W$81*conv_2026*W$7</f>
        <v>-777096.70338043547</v>
      </c>
      <c r="X60" s="31">
        <f>Option4!X$81*conv_2026*X$7</f>
        <v>-777096.70338043547</v>
      </c>
      <c r="Y60" s="31">
        <f>Option4!Y$81*conv_2026*Y$7</f>
        <v>-777096.70338043547</v>
      </c>
      <c r="Z60" s="31">
        <f>Option4!Z$81*conv_2026*Z$7</f>
        <v>-777096.70338043547</v>
      </c>
      <c r="AA60" s="31">
        <f>Option4!AA$81*conv_2026*AA$7</f>
        <v>-777096.70338043547</v>
      </c>
      <c r="AB60" s="31">
        <f>Option4!AB$81*conv_2026*AB$7</f>
        <v>-777096.70338043547</v>
      </c>
      <c r="AC60" s="31">
        <f>Option4!AC$81*conv_2026*AC$7</f>
        <v>0</v>
      </c>
      <c r="AD60" s="31">
        <f>Option4!AD$81*conv_2026*AD$7</f>
        <v>0</v>
      </c>
      <c r="AE60" s="31">
        <f>Option4!AE$81*conv_2026*AE$7</f>
        <v>0</v>
      </c>
      <c r="AF60" s="31">
        <f>Option4!AF$81*conv_2026*AF$7</f>
        <v>0</v>
      </c>
      <c r="AG60" s="31">
        <f>Option4!AG$81*conv_2026*AG$7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Option4!C$82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7">
        <f t="shared" si="16"/>
        <v>46203</v>
      </c>
      <c r="H61" s="31"/>
      <c r="I61" s="31">
        <f>Option4!I$82*conv_2026*I$7</f>
        <v>0</v>
      </c>
      <c r="J61" s="31">
        <f>Option4!J$82*conv_2026*J$7</f>
        <v>0</v>
      </c>
      <c r="K61" s="31">
        <f>Option4!K$82*conv_2026*K$7</f>
        <v>0</v>
      </c>
      <c r="L61" s="31">
        <f>Option4!L$82*conv_2026*L$7</f>
        <v>0</v>
      </c>
      <c r="M61" s="31">
        <f>Option4!M$82*conv_2026*M$7</f>
        <v>0</v>
      </c>
      <c r="N61" s="31">
        <f>Option4!N$82*conv_2026*N$7</f>
        <v>0</v>
      </c>
      <c r="O61" s="31">
        <f>Option4!O$82*conv_2026*O$7</f>
        <v>0</v>
      </c>
      <c r="P61" s="31">
        <f>Option4!P$82*conv_2026*P$7</f>
        <v>0</v>
      </c>
      <c r="Q61" s="31">
        <f>Option4!Q$82*conv_2026*Q$7</f>
        <v>0</v>
      </c>
      <c r="R61" s="31">
        <f>Option4!R$82*conv_2026*R$7</f>
        <v>0</v>
      </c>
      <c r="S61" s="31">
        <f>Option4!S$82*conv_2026*S$7</f>
        <v>0</v>
      </c>
      <c r="T61" s="31">
        <f>Option4!T$82*conv_2026*T$7</f>
        <v>0</v>
      </c>
      <c r="U61" s="31">
        <f>Option4!U$82*conv_2026*U$7</f>
        <v>0</v>
      </c>
      <c r="V61" s="31">
        <f>Option4!V$82*conv_2026*V$7</f>
        <v>0</v>
      </c>
      <c r="W61" s="31">
        <f>Option4!W$82*conv_2026*W$7</f>
        <v>0</v>
      </c>
      <c r="X61" s="31">
        <f>Option4!X$82*conv_2026*X$7</f>
        <v>0</v>
      </c>
      <c r="Y61" s="31">
        <f>Option4!Y$82*conv_2026*Y$7</f>
        <v>0</v>
      </c>
      <c r="Z61" s="31">
        <f>Option4!Z$82*conv_2026*Z$7</f>
        <v>0</v>
      </c>
      <c r="AA61" s="31">
        <f>Option4!AA$82*conv_2026*AA$7</f>
        <v>0</v>
      </c>
      <c r="AB61" s="31">
        <f>Option4!AB$82*conv_2026*AB$7</f>
        <v>0</v>
      </c>
      <c r="AC61" s="31">
        <f>Option4!AC$82*conv_2026*AC$7</f>
        <v>0</v>
      </c>
      <c r="AD61" s="31">
        <f>Option4!AD$82*conv_2026*AD$7</f>
        <v>0</v>
      </c>
      <c r="AE61" s="31">
        <f>Option4!AE$82*conv_2026*AE$7</f>
        <v>0</v>
      </c>
      <c r="AF61" s="31">
        <f>Option4!AF$82*conv_2026*AF$7</f>
        <v>0</v>
      </c>
      <c r="AG61" s="31">
        <f>Option4!AG$82*conv_2026*AG$7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Option4!C$83</f>
        <v>Risk mitigated</v>
      </c>
      <c r="D62" s="38" t="str">
        <f t="shared" si="14"/>
        <v>Option 4Risk mitigated</v>
      </c>
      <c r="E62" s="1"/>
      <c r="F62" s="97">
        <f>SUMPRODUCT($H62:$AG62, $H$5:$AG$5)</f>
        <v>17146742.145517923</v>
      </c>
      <c r="G62" s="227">
        <f t="shared" si="16"/>
        <v>46203</v>
      </c>
      <c r="H62" s="31"/>
      <c r="I62" s="31">
        <f>Option4!I$83*conv_2026*I$7</f>
        <v>779132.27565482946</v>
      </c>
      <c r="J62" s="31">
        <f>Option4!J$83*conv_2026*J$7</f>
        <v>779132.27565482946</v>
      </c>
      <c r="K62" s="31">
        <f>Option4!K$83*conv_2026*K$7</f>
        <v>779132.27565482946</v>
      </c>
      <c r="L62" s="31">
        <f>Option4!L$83*conv_2026*L$7</f>
        <v>1168698.4134822448</v>
      </c>
      <c r="M62" s="31">
        <f>Option4!M$83*conv_2026*M$7</f>
        <v>1168698.4134822448</v>
      </c>
      <c r="N62" s="31">
        <f>Option4!N$83*conv_2026*N$7</f>
        <v>1168698.4134822446</v>
      </c>
      <c r="O62" s="31">
        <f>Option4!O$83*conv_2026*O$7</f>
        <v>1168698.4134822446</v>
      </c>
      <c r="P62" s="31">
        <f>Option4!P$83*conv_2026*P$7</f>
        <v>1168698.4134822446</v>
      </c>
      <c r="Q62" s="31">
        <f>Option4!Q$83*conv_2026*Q$7</f>
        <v>1558264.5513096594</v>
      </c>
      <c r="R62" s="31">
        <f>Option4!R$83*conv_2026*R$7</f>
        <v>1558264.5513096594</v>
      </c>
      <c r="S62" s="31">
        <f>Option4!S$83*conv_2026*S$7</f>
        <v>1558264.5513096594</v>
      </c>
      <c r="T62" s="31">
        <f>Option4!T$83*conv_2026*T$7</f>
        <v>1558264.5513096594</v>
      </c>
      <c r="U62" s="31">
        <f>Option4!U$83*conv_2026*U$7</f>
        <v>1558264.5513096594</v>
      </c>
      <c r="V62" s="31">
        <f>Option4!V$83*conv_2026*V$7</f>
        <v>1168698.4134822448</v>
      </c>
      <c r="W62" s="31">
        <f>Option4!W$83*conv_2026*W$7</f>
        <v>1168698.4134822448</v>
      </c>
      <c r="X62" s="31">
        <f>Option4!X$83*conv_2026*X$7</f>
        <v>1168698.4134822448</v>
      </c>
      <c r="Y62" s="31">
        <f>Option4!Y$83*conv_2026*Y$7</f>
        <v>1168698.4134822448</v>
      </c>
      <c r="Z62" s="31">
        <f>Option4!Z$83*conv_2026*Z$7</f>
        <v>1168698.4134822448</v>
      </c>
      <c r="AA62" s="31">
        <f>Option4!AA$83*conv_2026*AA$7</f>
        <v>1168698.4134822448</v>
      </c>
      <c r="AB62" s="31">
        <f>Option4!AB$83*conv_2026*AB$7</f>
        <v>1168698.4134822448</v>
      </c>
      <c r="AC62" s="31">
        <f>Option4!AC$83*conv_2026*AC$7</f>
        <v>0</v>
      </c>
      <c r="AD62" s="31">
        <f>Option4!AD$83*conv_2026*AD$7</f>
        <v>0</v>
      </c>
      <c r="AE62" s="31">
        <f>Option4!AE$83*conv_2026*AE$7</f>
        <v>0</v>
      </c>
      <c r="AF62" s="31">
        <f>Option4!AF$83*conv_2026*AF$7</f>
        <v>0</v>
      </c>
      <c r="AG62" s="31">
        <f>Option4!AG$83*conv_2026*AG$7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Option4!C$84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7">
        <f t="shared" si="16"/>
        <v>46203</v>
      </c>
      <c r="H63" s="31"/>
      <c r="I63" s="31">
        <f>Option4!I$84*conv_2026*I$7</f>
        <v>0</v>
      </c>
      <c r="J63" s="31">
        <f>Option4!J$84*conv_2026*J$7</f>
        <v>0</v>
      </c>
      <c r="K63" s="31">
        <f>Option4!K$84*conv_2026*K$7</f>
        <v>0</v>
      </c>
      <c r="L63" s="31">
        <f>Option4!L$84*conv_2026*L$7</f>
        <v>0</v>
      </c>
      <c r="M63" s="31">
        <f>Option4!M$84*conv_2026*M$7</f>
        <v>0</v>
      </c>
      <c r="N63" s="31">
        <f>Option4!N$84*conv_2026*N$7</f>
        <v>0</v>
      </c>
      <c r="O63" s="31">
        <f>Option4!O$84*conv_2026*O$7</f>
        <v>0</v>
      </c>
      <c r="P63" s="31">
        <f>Option4!P$84*conv_2026*P$7</f>
        <v>0</v>
      </c>
      <c r="Q63" s="31">
        <f>Option4!Q$84*conv_2026*Q$7</f>
        <v>0</v>
      </c>
      <c r="R63" s="31">
        <f>Option4!R$84*conv_2026*R$7</f>
        <v>0</v>
      </c>
      <c r="S63" s="31">
        <f>Option4!S$84*conv_2026*S$7</f>
        <v>0</v>
      </c>
      <c r="T63" s="31">
        <f>Option4!T$84*conv_2026*T$7</f>
        <v>0</v>
      </c>
      <c r="U63" s="31">
        <f>Option4!U$84*conv_2026*U$7</f>
        <v>0</v>
      </c>
      <c r="V63" s="31">
        <f>Option4!V$84*conv_2026*V$7</f>
        <v>0</v>
      </c>
      <c r="W63" s="31">
        <f>Option4!W$84*conv_2026*W$7</f>
        <v>0</v>
      </c>
      <c r="X63" s="31">
        <f>Option4!X$84*conv_2026*X$7</f>
        <v>0</v>
      </c>
      <c r="Y63" s="31">
        <f>Option4!Y$84*conv_2026*Y$7</f>
        <v>0</v>
      </c>
      <c r="Z63" s="31">
        <f>Option4!Z$84*conv_2026*Z$7</f>
        <v>0</v>
      </c>
      <c r="AA63" s="31">
        <f>Option4!AA$84*conv_2026*AA$7</f>
        <v>0</v>
      </c>
      <c r="AB63" s="31">
        <f>Option4!AB$84*conv_2026*AB$7</f>
        <v>0</v>
      </c>
      <c r="AC63" s="31">
        <f>Option4!AC$84*conv_2026*AC$7</f>
        <v>0</v>
      </c>
      <c r="AD63" s="31">
        <f>Option4!AD$84*conv_2026*AD$7</f>
        <v>0</v>
      </c>
      <c r="AE63" s="31">
        <f>Option4!AE$84*conv_2026*AE$7</f>
        <v>0</v>
      </c>
      <c r="AF63" s="31">
        <f>Option4!AF$84*conv_2026*AF$7</f>
        <v>0</v>
      </c>
      <c r="AG63" s="31">
        <f>Option4!AG$84*conv_2026*AG$7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Option4!C86</f>
        <v>Net benefits</v>
      </c>
      <c r="D64" s="109" t="str">
        <f t="shared" si="14"/>
        <v>Option 4Net benefits</v>
      </c>
      <c r="E64" s="110"/>
      <c r="F64" s="146"/>
      <c r="G64" s="229">
        <f t="shared" si="16"/>
        <v>46203</v>
      </c>
      <c r="H64" s="52"/>
      <c r="I64" s="52">
        <f t="shared" ref="I64:AB64" si="17">SUM(I60:I63)</f>
        <v>779132.27565482946</v>
      </c>
      <c r="J64" s="52">
        <f t="shared" si="17"/>
        <v>690642.51183723798</v>
      </c>
      <c r="K64" s="52">
        <f t="shared" si="17"/>
        <v>602152.74801964662</v>
      </c>
      <c r="L64" s="52">
        <f t="shared" si="17"/>
        <v>903229.12202947051</v>
      </c>
      <c r="M64" s="52">
        <f t="shared" si="17"/>
        <v>817348.97591159365</v>
      </c>
      <c r="N64" s="52">
        <f t="shared" si="17"/>
        <v>731468.82979371655</v>
      </c>
      <c r="O64" s="52">
        <f t="shared" si="17"/>
        <v>648198.30137555394</v>
      </c>
      <c r="P64" s="52">
        <f t="shared" si="17"/>
        <v>564927.77295739157</v>
      </c>
      <c r="Q64" s="52">
        <f t="shared" si="17"/>
        <v>871223.38236664399</v>
      </c>
      <c r="R64" s="52">
        <f t="shared" si="17"/>
        <v>790562.47164819611</v>
      </c>
      <c r="S64" s="52">
        <f t="shared" si="17"/>
        <v>781167.84792922391</v>
      </c>
      <c r="T64" s="52">
        <f t="shared" si="17"/>
        <v>781167.84792922391</v>
      </c>
      <c r="U64" s="52">
        <f t="shared" si="17"/>
        <v>781167.84792922391</v>
      </c>
      <c r="V64" s="52">
        <f t="shared" si="17"/>
        <v>391601.71010180935</v>
      </c>
      <c r="W64" s="52">
        <f t="shared" si="17"/>
        <v>391601.71010180935</v>
      </c>
      <c r="X64" s="52">
        <f t="shared" si="17"/>
        <v>391601.71010180935</v>
      </c>
      <c r="Y64" s="52">
        <f t="shared" si="17"/>
        <v>391601.71010180935</v>
      </c>
      <c r="Z64" s="52">
        <f t="shared" si="17"/>
        <v>391601.71010180935</v>
      </c>
      <c r="AA64" s="52">
        <f t="shared" si="17"/>
        <v>391601.71010180935</v>
      </c>
      <c r="AB64" s="52">
        <f t="shared" si="17"/>
        <v>391601.71010180935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9391841.1433454901</v>
      </c>
      <c r="G65" s="227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187</v>
      </c>
      <c r="D66" s="38" t="str">
        <f t="shared" si="14"/>
        <v>Option 4PV of costs</v>
      </c>
      <c r="E66" s="1"/>
      <c r="F66" s="108">
        <f>SUM(F60:F61)</f>
        <v>-7754901.0021724347</v>
      </c>
      <c r="G66" s="227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188</v>
      </c>
      <c r="D67" s="38" t="str">
        <f t="shared" si="14"/>
        <v>Option 4PV of benefits</v>
      </c>
      <c r="E67" s="1"/>
      <c r="F67" s="108">
        <f>SUM(F62:F63)</f>
        <v>17146742.145517923</v>
      </c>
      <c r="G67" s="227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0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3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3" customFormat="1" x14ac:dyDescent="0.2">
      <c r="A70" s="271" t="str">
        <f>A71</f>
        <v>Option 5</v>
      </c>
      <c r="B70" s="271"/>
      <c r="C70" s="271" t="s">
        <v>124</v>
      </c>
      <c r="D70" s="272" t="str">
        <f t="shared" si="18"/>
        <v>Option 5Energy at risk value</v>
      </c>
      <c r="F70" s="97">
        <f>SUMPRODUCT($H70:$AG70, $H$5:$AG$5)</f>
        <v>7027822.1730038859</v>
      </c>
      <c r="G70" s="274">
        <f>output_dollars</f>
        <v>46203</v>
      </c>
      <c r="H70" s="275"/>
      <c r="I70" s="31">
        <f>Option5!I$27*conv_2026</f>
        <v>1686073.6346998906</v>
      </c>
      <c r="J70" s="31">
        <f>Option5!J$27*conv_2026</f>
        <v>1348858.9077599123</v>
      </c>
      <c r="K70" s="31">
        <f>Option5!K$27*conv_2026</f>
        <v>1348858.9077599123</v>
      </c>
      <c r="L70" s="31">
        <f>Option5!L$27*conv_2026</f>
        <v>1011644.1808199348</v>
      </c>
      <c r="M70" s="31">
        <f>Option5!M$27*conv_2026</f>
        <v>1011644.1808199348</v>
      </c>
      <c r="N70" s="31">
        <f>Option5!N$27*conv_2026</f>
        <v>674429.45387995616</v>
      </c>
      <c r="O70" s="31">
        <f>Option5!O$27*conv_2026</f>
        <v>337214.72693997808</v>
      </c>
      <c r="P70" s="31">
        <f>Option5!P$27*conv_2026</f>
        <v>337214.72693997808</v>
      </c>
      <c r="Q70" s="31">
        <f>Option5!Q$27*conv_2026</f>
        <v>0</v>
      </c>
      <c r="R70" s="31">
        <f>Option5!R$27*conv_2026</f>
        <v>0</v>
      </c>
      <c r="S70" s="31">
        <f>Option5!S$27*conv_2026</f>
        <v>0</v>
      </c>
      <c r="T70" s="31">
        <f>Option5!T$27*conv_2026</f>
        <v>0</v>
      </c>
      <c r="U70" s="31">
        <f>Option5!U$27*conv_2026</f>
        <v>0</v>
      </c>
      <c r="V70" s="31">
        <f>Option5!V$27*conv_2026</f>
        <v>0</v>
      </c>
      <c r="W70" s="31">
        <f>Option5!W$27*conv_2026</f>
        <v>0</v>
      </c>
      <c r="X70" s="31">
        <f>Option5!X$27*conv_2026</f>
        <v>0</v>
      </c>
      <c r="Y70" s="31">
        <f>Option5!Y$27*conv_2026</f>
        <v>0</v>
      </c>
      <c r="Z70" s="31">
        <f>Option5!Z$27*conv_2026</f>
        <v>0</v>
      </c>
      <c r="AA70" s="31">
        <f>Option5!AA$27*conv_2026</f>
        <v>0</v>
      </c>
      <c r="AB70" s="31">
        <f>Option5!AB$27*conv_2026</f>
        <v>0</v>
      </c>
      <c r="AC70" s="31">
        <f>Option5!AC$27*conv_2026</f>
        <v>0</v>
      </c>
      <c r="AD70" s="31">
        <f>Option5!AD$27*conv_2026</f>
        <v>0</v>
      </c>
      <c r="AE70" s="31">
        <f>Option5!AE$27*conv_2026</f>
        <v>0</v>
      </c>
      <c r="AF70" s="31">
        <f>Option5!AF$27*conv_2026</f>
        <v>0</v>
      </c>
      <c r="AG70" s="31">
        <f>Option5!AG$27*conv_2026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Option5!C$65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-15500895.596569547</v>
      </c>
      <c r="G71" s="227">
        <f>output_dollars</f>
        <v>46203</v>
      </c>
      <c r="H71" s="31"/>
      <c r="I71" s="31">
        <f>SUM(Option5!I$66:I$68)*conv_2026*I$7</f>
        <v>-2198002.4766727788</v>
      </c>
      <c r="J71" s="31">
        <f>SUM(Option5!J$66:J$68)*conv_2026*J$7</f>
        <v>-2136792.2811198658</v>
      </c>
      <c r="K71" s="31">
        <f>SUM(Option5!K$66:K$68)*conv_2026*K$7</f>
        <v>-2136792.2811198658</v>
      </c>
      <c r="L71" s="31">
        <f>SUM(Option5!L$66:L$68)*conv_2026*L$7</f>
        <v>-2075582.0855669531</v>
      </c>
      <c r="M71" s="31">
        <f>SUM(Option5!M$66:M$68)*conv_2026*M$7</f>
        <v>-2075582.0855669531</v>
      </c>
      <c r="N71" s="31">
        <f>SUM(Option5!N$66:N$68)*conv_2026*N$7</f>
        <v>-2014371.8900140403</v>
      </c>
      <c r="O71" s="31">
        <f>SUM(Option5!O$66:O$68)*conv_2026*O$7</f>
        <v>-1953161.6944611275</v>
      </c>
      <c r="P71" s="31">
        <f>SUM(Option5!P$66:P$68)*conv_2026*P$7</f>
        <v>-1953161.6944611275</v>
      </c>
      <c r="Q71" s="31">
        <f>SUM(Option5!Q$66:Q$68)*conv_2026*Q$7</f>
        <v>-1332156.4377606665</v>
      </c>
      <c r="R71" s="31">
        <f>SUM(Option5!R$66:R$68)*conv_2026*R$7</f>
        <v>0</v>
      </c>
      <c r="S71" s="31">
        <f>SUM(Option5!S$66:S$68)*conv_2026*S$7</f>
        <v>0</v>
      </c>
      <c r="T71" s="31">
        <f>SUM(Option5!T$66:T$68)*conv_2026*T$7</f>
        <v>0</v>
      </c>
      <c r="U71" s="31">
        <f>SUM(Option5!U$66:U$68)*conv_2026*U$7</f>
        <v>0</v>
      </c>
      <c r="V71" s="31">
        <f>SUM(Option5!V$66:V$68)*conv_2026*V$7</f>
        <v>0</v>
      </c>
      <c r="W71" s="31">
        <f>SUM(Option5!W$66:W$68)*conv_2026*W$7</f>
        <v>0</v>
      </c>
      <c r="X71" s="31">
        <f>SUM(Option5!X$66:X$68)*conv_2026*X$7</f>
        <v>0</v>
      </c>
      <c r="Y71" s="31">
        <f>SUM(Option5!Y$66:Y$68)*conv_2026*Y$7</f>
        <v>0</v>
      </c>
      <c r="Z71" s="31">
        <f>SUM(Option5!Z$66:Z$68)*conv_2026*Z$7</f>
        <v>0</v>
      </c>
      <c r="AA71" s="31">
        <f>SUM(Option5!AA$66:AA$68)*conv_2026*AA$7</f>
        <v>0</v>
      </c>
      <c r="AB71" s="31">
        <f>SUM(Option5!AB$66:AB$68)*conv_2026*AB$7</f>
        <v>0</v>
      </c>
      <c r="AC71" s="31">
        <f>SUM(Option5!AC$66:AC$68)*conv_2026*AC$7</f>
        <v>0</v>
      </c>
      <c r="AD71" s="31">
        <f>SUM(Option5!AD$66:AD$68)*conv_2026*AD$7</f>
        <v>0</v>
      </c>
      <c r="AE71" s="31">
        <f>SUM(Option5!AE$66:AE$68)*conv_2026*AE$7</f>
        <v>0</v>
      </c>
      <c r="AF71" s="31">
        <f>SUM(Option5!AF$66:AF$68)*conv_2026*AF$7</f>
        <v>0</v>
      </c>
      <c r="AG71" s="31">
        <f>SUM(Option5!AG$66:AG$68)*conv_2026*AG$7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case)'!C$35</f>
        <v>Total risk cost</v>
      </c>
      <c r="D72" s="38" t="str">
        <f t="shared" si="18"/>
        <v>Option 5Total risk cost</v>
      </c>
      <c r="E72" s="1"/>
      <c r="F72" s="97">
        <f>SUMPRODUCT($H72:$AG72, $H$5:$AG$5)</f>
        <v>8118867.0676364144</v>
      </c>
      <c r="G72" s="227">
        <f>output_dollars</f>
        <v>46203</v>
      </c>
      <c r="H72" s="31"/>
      <c r="I72" s="31">
        <f>Option5!I$35*conv_2026*I$7</f>
        <v>1947830.6891370744</v>
      </c>
      <c r="J72" s="31">
        <f>Option5!J$35*conv_2026*J$7</f>
        <v>1558264.5513096594</v>
      </c>
      <c r="K72" s="31">
        <f>Option5!K$35*conv_2026*K$7</f>
        <v>1558264.5513096594</v>
      </c>
      <c r="L72" s="31">
        <f>Option5!L$35*conv_2026*L$7</f>
        <v>1168698.4134822448</v>
      </c>
      <c r="M72" s="31">
        <f>Option5!M$35*conv_2026*M$7</f>
        <v>1168698.4134822448</v>
      </c>
      <c r="N72" s="31">
        <f>Option5!N$35*conv_2026*N$7</f>
        <v>779132.27565482969</v>
      </c>
      <c r="O72" s="31">
        <f>Option5!O$35*conv_2026*O$7</f>
        <v>389566.13782741484</v>
      </c>
      <c r="P72" s="31">
        <f>Option5!P$35*conv_2026*P$7</f>
        <v>389566.13782741484</v>
      </c>
      <c r="Q72" s="31">
        <f>Option5!Q$35*conv_2026*Q$7</f>
        <v>0</v>
      </c>
      <c r="R72" s="31">
        <f>Option5!R$35*conv_2026*R$7</f>
        <v>0</v>
      </c>
      <c r="S72" s="31">
        <f>Option5!S$35*conv_2026*S$7</f>
        <v>0</v>
      </c>
      <c r="T72" s="31">
        <f>Option5!T$35*conv_2026*T$7</f>
        <v>0</v>
      </c>
      <c r="U72" s="31">
        <f>Option5!U$35*conv_2026*U$7</f>
        <v>0</v>
      </c>
      <c r="V72" s="31">
        <f>Option5!V$35*conv_2026*V$7</f>
        <v>0</v>
      </c>
      <c r="W72" s="31">
        <f>Option5!W$35*conv_2026*W$7</f>
        <v>0</v>
      </c>
      <c r="X72" s="31">
        <f>Option5!X$35*conv_2026*X$7</f>
        <v>0</v>
      </c>
      <c r="Y72" s="31">
        <f>Option5!Y$35*conv_2026*Y$7</f>
        <v>0</v>
      </c>
      <c r="Z72" s="31">
        <f>Option5!Z$35*conv_2026*Z$7</f>
        <v>0</v>
      </c>
      <c r="AA72" s="31">
        <f>Option5!AA$35*conv_2026*AA$7</f>
        <v>0</v>
      </c>
      <c r="AB72" s="31">
        <f>Option5!AB$35*conv_2026*AB$7</f>
        <v>0</v>
      </c>
      <c r="AC72" s="31">
        <f>Option5!AC$35*conv_2026*AC$7</f>
        <v>0</v>
      </c>
      <c r="AD72" s="31">
        <f>Option5!AD$35*conv_2026*AD$7</f>
        <v>0</v>
      </c>
      <c r="AE72" s="31">
        <f>Option5!AE$35*conv_2026*AE$7</f>
        <v>0</v>
      </c>
      <c r="AF72" s="31">
        <f>Option5!AF$35*conv_2026*AF$7</f>
        <v>0</v>
      </c>
      <c r="AG72" s="31">
        <f>Option5!AG$35*conv_2026*AG$7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28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Option5!C$81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-7748817.1288636504</v>
      </c>
      <c r="G74" s="227">
        <f t="shared" ref="G74:G81" si="20">output_dollars</f>
        <v>46203</v>
      </c>
      <c r="H74" s="31"/>
      <c r="I74" s="31">
        <f>Option5!I$81*conv_2026*I$7</f>
        <v>0</v>
      </c>
      <c r="J74" s="31">
        <f>Option5!J$81*conv_2026*J$7</f>
        <v>-93708.999217020406</v>
      </c>
      <c r="K74" s="31">
        <f>Option5!K$81*conv_2026*K$7</f>
        <v>-184808.38073432632</v>
      </c>
      <c r="L74" s="31">
        <f>Option5!L$81*conv_2026*L$7</f>
        <v>-275907.76225163229</v>
      </c>
      <c r="M74" s="31">
        <f>Option5!M$81*conv_2026*M$7</f>
        <v>-364397.52606922359</v>
      </c>
      <c r="N74" s="31">
        <f>Option5!N$81*conv_2026*N$7</f>
        <v>-452887.28988681507</v>
      </c>
      <c r="O74" s="31">
        <f>Option5!O$81*conv_2026*O$7</f>
        <v>-538767.43600469199</v>
      </c>
      <c r="P74" s="31">
        <f>Option5!P$81*conv_2026*P$7</f>
        <v>-622037.96442285448</v>
      </c>
      <c r="Q74" s="31">
        <f>Option5!Q$81*conv_2026*Q$7</f>
        <v>-705308.49284101685</v>
      </c>
      <c r="R74" s="31">
        <f>Option5!R$81*conv_2026*R$7</f>
        <v>-762103.26350571215</v>
      </c>
      <c r="S74" s="31">
        <f>Option5!S$81*conv_2026*S$7</f>
        <v>-762103.26350571215</v>
      </c>
      <c r="T74" s="31">
        <f>Option5!T$81*conv_2026*T$7</f>
        <v>-762103.26350571215</v>
      </c>
      <c r="U74" s="31">
        <f>Option5!U$81*conv_2026*U$7</f>
        <v>-762103.26350571215</v>
      </c>
      <c r="V74" s="31">
        <f>Option5!V$81*conv_2026*V$7</f>
        <v>-762103.26350571215</v>
      </c>
      <c r="W74" s="31">
        <f>Option5!W$81*conv_2026*W$7</f>
        <v>-762103.26350571215</v>
      </c>
      <c r="X74" s="31">
        <f>Option5!X$81*conv_2026*X$7</f>
        <v>-762103.26350571215</v>
      </c>
      <c r="Y74" s="31">
        <f>Option5!Y$81*conv_2026*Y$7</f>
        <v>-762103.26350571215</v>
      </c>
      <c r="Z74" s="31">
        <f>Option5!Z$81*conv_2026*Z$7</f>
        <v>-762103.26350571215</v>
      </c>
      <c r="AA74" s="31">
        <f>Option5!AA$81*conv_2026*AA$7</f>
        <v>-762103.26350571215</v>
      </c>
      <c r="AB74" s="31">
        <f>Option5!AB$81*conv_2026*AB$7</f>
        <v>-762103.26350571215</v>
      </c>
      <c r="AC74" s="31">
        <f>Option5!AC$81*conv_2026*AC$7</f>
        <v>0</v>
      </c>
      <c r="AD74" s="31">
        <f>Option5!AD$81*conv_2026*AD$7</f>
        <v>0</v>
      </c>
      <c r="AE74" s="31">
        <f>Option5!AE$81*conv_2026*AE$7</f>
        <v>0</v>
      </c>
      <c r="AF74" s="31">
        <f>Option5!AF$81*conv_2026*AF$7</f>
        <v>0</v>
      </c>
      <c r="AG74" s="31">
        <f>Option5!AG$81*conv_2026*AG$7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Option5!C$82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7">
        <f t="shared" si="20"/>
        <v>46203</v>
      </c>
      <c r="H75" s="31"/>
      <c r="I75" s="31">
        <f>Option5!I$82*conv_2026*I$7</f>
        <v>0</v>
      </c>
      <c r="J75" s="31">
        <f>Option5!J$82*conv_2026*J$7</f>
        <v>0</v>
      </c>
      <c r="K75" s="31">
        <f>Option5!K$82*conv_2026*K$7</f>
        <v>0</v>
      </c>
      <c r="L75" s="31">
        <f>Option5!L$82*conv_2026*L$7</f>
        <v>0</v>
      </c>
      <c r="M75" s="31">
        <f>Option5!M$82*conv_2026*M$7</f>
        <v>0</v>
      </c>
      <c r="N75" s="31">
        <f>Option5!N$82*conv_2026*N$7</f>
        <v>0</v>
      </c>
      <c r="O75" s="31">
        <f>Option5!O$82*conv_2026*O$7</f>
        <v>0</v>
      </c>
      <c r="P75" s="31">
        <f>Option5!P$82*conv_2026*P$7</f>
        <v>0</v>
      </c>
      <c r="Q75" s="31">
        <f>Option5!Q$82*conv_2026*Q$7</f>
        <v>0</v>
      </c>
      <c r="R75" s="31">
        <f>Option5!R$82*conv_2026*R$7</f>
        <v>0</v>
      </c>
      <c r="S75" s="31">
        <f>Option5!S$82*conv_2026*S$7</f>
        <v>0</v>
      </c>
      <c r="T75" s="31">
        <f>Option5!T$82*conv_2026*T$7</f>
        <v>0</v>
      </c>
      <c r="U75" s="31">
        <f>Option5!U$82*conv_2026*U$7</f>
        <v>0</v>
      </c>
      <c r="V75" s="31">
        <f>Option5!V$82*conv_2026*V$7</f>
        <v>0</v>
      </c>
      <c r="W75" s="31">
        <f>Option5!W$82*conv_2026*W$7</f>
        <v>0</v>
      </c>
      <c r="X75" s="31">
        <f>Option5!X$82*conv_2026*X$7</f>
        <v>0</v>
      </c>
      <c r="Y75" s="31">
        <f>Option5!Y$82*conv_2026*Y$7</f>
        <v>0</v>
      </c>
      <c r="Z75" s="31">
        <f>Option5!Z$82*conv_2026*Z$7</f>
        <v>0</v>
      </c>
      <c r="AA75" s="31">
        <f>Option5!AA$82*conv_2026*AA$7</f>
        <v>0</v>
      </c>
      <c r="AB75" s="31">
        <f>Option5!AB$82*conv_2026*AB$7</f>
        <v>0</v>
      </c>
      <c r="AC75" s="31">
        <f>Option5!AC$82*conv_2026*AC$7</f>
        <v>0</v>
      </c>
      <c r="AD75" s="31">
        <f>Option5!AD$82*conv_2026*AD$7</f>
        <v>0</v>
      </c>
      <c r="AE75" s="31">
        <f>Option5!AE$82*conv_2026*AE$7</f>
        <v>0</v>
      </c>
      <c r="AF75" s="31">
        <f>Option5!AF$82*conv_2026*AF$7</f>
        <v>0</v>
      </c>
      <c r="AG75" s="31">
        <f>Option5!AG$82*conv_2026*AG$7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Option5!C$83</f>
        <v>Risk mitigated</v>
      </c>
      <c r="D76" s="38" t="str">
        <f t="shared" si="18"/>
        <v>Option 5Risk mitigated</v>
      </c>
      <c r="E76" s="1"/>
      <c r="F76" s="97">
        <f>SUMPRODUCT($H76:$AG76, $H$5:$AG$5)</f>
        <v>14651981.202528097</v>
      </c>
      <c r="G76" s="227">
        <f t="shared" si="20"/>
        <v>46203</v>
      </c>
      <c r="H76" s="31"/>
      <c r="I76" s="31">
        <f>Option5!I$83*conv_2026*I$7</f>
        <v>0</v>
      </c>
      <c r="J76" s="31">
        <f>Option5!J$83*conv_2026*J$7</f>
        <v>389566.13782741502</v>
      </c>
      <c r="K76" s="31">
        <f>Option5!K$83*conv_2026*K$7</f>
        <v>389566.13782741502</v>
      </c>
      <c r="L76" s="31">
        <f>Option5!L$83*conv_2026*L$7</f>
        <v>779132.27565482946</v>
      </c>
      <c r="M76" s="31">
        <f>Option5!M$83*conv_2026*M$7</f>
        <v>779132.27565482946</v>
      </c>
      <c r="N76" s="31">
        <f>Option5!N$83*conv_2026*N$7</f>
        <v>779132.27565482969</v>
      </c>
      <c r="O76" s="31">
        <f>Option5!O$83*conv_2026*O$7</f>
        <v>1168698.4134822446</v>
      </c>
      <c r="P76" s="31">
        <f>Option5!P$83*conv_2026*P$7</f>
        <v>1168698.4134822446</v>
      </c>
      <c r="Q76" s="31">
        <f>Option5!Q$83*conv_2026*Q$7</f>
        <v>1558264.5513096594</v>
      </c>
      <c r="R76" s="31">
        <f>Option5!R$83*conv_2026*R$7</f>
        <v>1558264.5513096594</v>
      </c>
      <c r="S76" s="31">
        <f>Option5!S$83*conv_2026*S$7</f>
        <v>1558264.5513096594</v>
      </c>
      <c r="T76" s="31">
        <f>Option5!T$83*conv_2026*T$7</f>
        <v>1558264.5513096594</v>
      </c>
      <c r="U76" s="31">
        <f>Option5!U$83*conv_2026*U$7</f>
        <v>1558264.5513096594</v>
      </c>
      <c r="V76" s="31">
        <f>Option5!V$83*conv_2026*V$7</f>
        <v>1168698.4134822448</v>
      </c>
      <c r="W76" s="31">
        <f>Option5!W$83*conv_2026*W$7</f>
        <v>1168698.4134822448</v>
      </c>
      <c r="X76" s="31">
        <f>Option5!X$83*conv_2026*X$7</f>
        <v>1168698.4134822448</v>
      </c>
      <c r="Y76" s="31">
        <f>Option5!Y$83*conv_2026*Y$7</f>
        <v>1168698.4134822448</v>
      </c>
      <c r="Z76" s="31">
        <f>Option5!Z$83*conv_2026*Z$7</f>
        <v>1168698.4134822448</v>
      </c>
      <c r="AA76" s="31">
        <f>Option5!AA$83*conv_2026*AA$7</f>
        <v>1168698.4134822448</v>
      </c>
      <c r="AB76" s="31">
        <f>Option5!AB$83*conv_2026*AB$7</f>
        <v>1168698.4134822448</v>
      </c>
      <c r="AC76" s="31">
        <f>Option5!AC$83*conv_2026*AC$7</f>
        <v>0</v>
      </c>
      <c r="AD76" s="31">
        <f>Option5!AD$83*conv_2026*AD$7</f>
        <v>0</v>
      </c>
      <c r="AE76" s="31">
        <f>Option5!AE$83*conv_2026*AE$7</f>
        <v>0</v>
      </c>
      <c r="AF76" s="31">
        <f>Option5!AF$83*conv_2026*AF$7</f>
        <v>0</v>
      </c>
      <c r="AG76" s="31">
        <f>Option5!AG$83*conv_2026*AG$7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Option5!C$84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7">
        <f t="shared" si="20"/>
        <v>46203</v>
      </c>
      <c r="H77" s="31"/>
      <c r="I77" s="31">
        <f>Option5!I$84*conv_2026*I$7</f>
        <v>0</v>
      </c>
      <c r="J77" s="31">
        <f>Option5!J$84*conv_2026*J$7</f>
        <v>0</v>
      </c>
      <c r="K77" s="31">
        <f>Option5!K$84*conv_2026*K$7</f>
        <v>0</v>
      </c>
      <c r="L77" s="31">
        <f>Option5!L$84*conv_2026*L$7</f>
        <v>0</v>
      </c>
      <c r="M77" s="31">
        <f>Option5!M$84*conv_2026*M$7</f>
        <v>0</v>
      </c>
      <c r="N77" s="31">
        <f>Option5!N$84*conv_2026*N$7</f>
        <v>0</v>
      </c>
      <c r="O77" s="31">
        <f>Option5!O$84*conv_2026*O$7</f>
        <v>0</v>
      </c>
      <c r="P77" s="31">
        <f>Option5!P$84*conv_2026*P$7</f>
        <v>0</v>
      </c>
      <c r="Q77" s="31">
        <f>Option5!Q$84*conv_2026*Q$7</f>
        <v>0</v>
      </c>
      <c r="R77" s="31">
        <f>Option5!R$84*conv_2026*R$7</f>
        <v>0</v>
      </c>
      <c r="S77" s="31">
        <f>Option5!S$84*conv_2026*S$7</f>
        <v>0</v>
      </c>
      <c r="T77" s="31">
        <f>Option5!T$84*conv_2026*T$7</f>
        <v>0</v>
      </c>
      <c r="U77" s="31">
        <f>Option5!U$84*conv_2026*U$7</f>
        <v>0</v>
      </c>
      <c r="V77" s="31">
        <f>Option5!V$84*conv_2026*V$7</f>
        <v>0</v>
      </c>
      <c r="W77" s="31">
        <f>Option5!W$84*conv_2026*W$7</f>
        <v>0</v>
      </c>
      <c r="X77" s="31">
        <f>Option5!X$84*conv_2026*X$7</f>
        <v>0</v>
      </c>
      <c r="Y77" s="31">
        <f>Option5!Y$84*conv_2026*Y$7</f>
        <v>0</v>
      </c>
      <c r="Z77" s="31">
        <f>Option5!Z$84*conv_2026*Z$7</f>
        <v>0</v>
      </c>
      <c r="AA77" s="31">
        <f>Option5!AA$84*conv_2026*AA$7</f>
        <v>0</v>
      </c>
      <c r="AB77" s="31">
        <f>Option5!AB$84*conv_2026*AB$7</f>
        <v>0</v>
      </c>
      <c r="AC77" s="31">
        <f>Option5!AC$84*conv_2026*AC$7</f>
        <v>0</v>
      </c>
      <c r="AD77" s="31">
        <f>Option5!AD$84*conv_2026*AD$7</f>
        <v>0</v>
      </c>
      <c r="AE77" s="31">
        <f>Option5!AE$84*conv_2026*AE$7</f>
        <v>0</v>
      </c>
      <c r="AF77" s="31">
        <f>Option5!AF$84*conv_2026*AF$7</f>
        <v>0</v>
      </c>
      <c r="AG77" s="31">
        <f>Option5!AG$84*conv_2026*AG$7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Option5!C86</f>
        <v>Net benefits</v>
      </c>
      <c r="D78" s="109" t="str">
        <f t="shared" si="18"/>
        <v>Option 5Net benefits</v>
      </c>
      <c r="E78" s="110"/>
      <c r="F78" s="146"/>
      <c r="G78" s="229">
        <f t="shared" si="20"/>
        <v>46203</v>
      </c>
      <c r="H78" s="52"/>
      <c r="I78" s="52">
        <f t="shared" ref="I78:AB78" si="21">SUM(I74:I77)</f>
        <v>0</v>
      </c>
      <c r="J78" s="52">
        <f t="shared" si="21"/>
        <v>295857.13861039461</v>
      </c>
      <c r="K78" s="52">
        <f t="shared" si="21"/>
        <v>204757.7570930887</v>
      </c>
      <c r="L78" s="52">
        <f t="shared" si="21"/>
        <v>503224.51340319717</v>
      </c>
      <c r="M78" s="52">
        <f t="shared" si="21"/>
        <v>414734.74958560587</v>
      </c>
      <c r="N78" s="52">
        <f t="shared" si="21"/>
        <v>326244.98576801462</v>
      </c>
      <c r="O78" s="52">
        <f t="shared" si="21"/>
        <v>629930.9774775526</v>
      </c>
      <c r="P78" s="52">
        <f t="shared" si="21"/>
        <v>546660.44905939011</v>
      </c>
      <c r="Q78" s="52">
        <f t="shared" si="21"/>
        <v>852956.05846864253</v>
      </c>
      <c r="R78" s="52">
        <f t="shared" si="21"/>
        <v>796161.28780394723</v>
      </c>
      <c r="S78" s="52">
        <f t="shared" si="21"/>
        <v>796161.28780394723</v>
      </c>
      <c r="T78" s="52">
        <f t="shared" si="21"/>
        <v>796161.28780394723</v>
      </c>
      <c r="U78" s="52">
        <f t="shared" si="21"/>
        <v>796161.28780394723</v>
      </c>
      <c r="V78" s="52">
        <f t="shared" si="21"/>
        <v>406595.14997653267</v>
      </c>
      <c r="W78" s="52">
        <f t="shared" si="21"/>
        <v>406595.14997653267</v>
      </c>
      <c r="X78" s="52">
        <f t="shared" si="21"/>
        <v>406595.14997653267</v>
      </c>
      <c r="Y78" s="52">
        <f t="shared" si="21"/>
        <v>406595.14997653267</v>
      </c>
      <c r="Z78" s="52">
        <f t="shared" si="21"/>
        <v>406595.14997653267</v>
      </c>
      <c r="AA78" s="52">
        <f t="shared" si="21"/>
        <v>406595.14997653267</v>
      </c>
      <c r="AB78" s="52">
        <f t="shared" si="21"/>
        <v>406595.14997653267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6903164.073664451</v>
      </c>
      <c r="G79" s="227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187</v>
      </c>
      <c r="D80" s="38" t="str">
        <f t="shared" si="18"/>
        <v>Option 5PV of costs</v>
      </c>
      <c r="E80" s="1"/>
      <c r="F80" s="108">
        <f>SUM(F74:F75)</f>
        <v>-7748817.1288636504</v>
      </c>
      <c r="G80" s="227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188</v>
      </c>
      <c r="D81" s="38" t="str">
        <f t="shared" si="18"/>
        <v>Option 5PV of benefits</v>
      </c>
      <c r="E81" s="1"/>
      <c r="F81" s="108">
        <f>SUM(F76:F77)</f>
        <v>14651981.202528097</v>
      </c>
      <c r="G81" s="227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3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1"/>
    </row>
    <row r="84" spans="1:33" ht="12" x14ac:dyDescent="0.2">
      <c r="E84" s="84"/>
      <c r="G84" s="231"/>
    </row>
    <row r="85" spans="1:33" ht="12" x14ac:dyDescent="0.2">
      <c r="E85" s="84"/>
      <c r="G85" s="231"/>
    </row>
    <row r="86" spans="1:33" ht="12" x14ac:dyDescent="0.2">
      <c r="E86" s="84"/>
      <c r="G86" s="231"/>
    </row>
    <row r="87" spans="1:33" ht="12" x14ac:dyDescent="0.2">
      <c r="E87" s="10"/>
      <c r="G87" s="231"/>
    </row>
    <row r="88" spans="1:33" ht="15" x14ac:dyDescent="0.25">
      <c r="A88" s="204" t="s">
        <v>200</v>
      </c>
      <c r="B88" s="54"/>
      <c r="C88" s="19"/>
      <c r="D88" s="19"/>
      <c r="E88" s="83"/>
      <c r="F88" s="19"/>
      <c r="G88" s="225"/>
      <c r="H88" s="225"/>
      <c r="I88" s="201" t="str">
        <f>"FY"&amp;RIGHT(I$9,2)</f>
        <v>FY27</v>
      </c>
      <c r="J88" s="201" t="str">
        <f t="shared" ref="J88:AG88" si="22">"FY"&amp;RIGHT(J$9,2)</f>
        <v>FY28</v>
      </c>
      <c r="K88" s="201" t="str">
        <f t="shared" si="22"/>
        <v>FY29</v>
      </c>
      <c r="L88" s="201" t="str">
        <f t="shared" si="22"/>
        <v>FY30</v>
      </c>
      <c r="M88" s="201" t="str">
        <f t="shared" si="22"/>
        <v>FY31</v>
      </c>
      <c r="N88" s="201" t="str">
        <f t="shared" si="22"/>
        <v>FY32</v>
      </c>
      <c r="O88" s="201" t="str">
        <f t="shared" si="22"/>
        <v>FY33</v>
      </c>
      <c r="P88" s="201" t="str">
        <f t="shared" si="22"/>
        <v>FY34</v>
      </c>
      <c r="Q88" s="201" t="str">
        <f t="shared" si="22"/>
        <v>FY35</v>
      </c>
      <c r="R88" s="201" t="str">
        <f t="shared" si="22"/>
        <v>FY36</v>
      </c>
      <c r="S88" s="201" t="str">
        <f t="shared" si="22"/>
        <v>FY37</v>
      </c>
      <c r="T88" s="201" t="str">
        <f t="shared" si="22"/>
        <v>FY38</v>
      </c>
      <c r="U88" s="201" t="str">
        <f t="shared" si="22"/>
        <v>FY39</v>
      </c>
      <c r="V88" s="201" t="str">
        <f t="shared" si="22"/>
        <v>FY40</v>
      </c>
      <c r="W88" s="201" t="str">
        <f t="shared" si="22"/>
        <v>FY41</v>
      </c>
      <c r="X88" s="201" t="str">
        <f t="shared" si="22"/>
        <v>FY42</v>
      </c>
      <c r="Y88" s="201" t="str">
        <f t="shared" si="22"/>
        <v>FY43</v>
      </c>
      <c r="Z88" s="201" t="str">
        <f t="shared" si="22"/>
        <v>FY44</v>
      </c>
      <c r="AA88" s="201" t="str">
        <f t="shared" si="22"/>
        <v>FY45</v>
      </c>
      <c r="AB88" s="201" t="str">
        <f t="shared" si="22"/>
        <v>FY46</v>
      </c>
      <c r="AC88" s="201" t="str">
        <f t="shared" si="22"/>
        <v>FY47</v>
      </c>
      <c r="AD88" s="201" t="str">
        <f t="shared" si="22"/>
        <v>FY48</v>
      </c>
      <c r="AE88" s="201" t="str">
        <f t="shared" si="22"/>
        <v>FY49</v>
      </c>
      <c r="AF88" s="201" t="str">
        <f t="shared" si="22"/>
        <v>FY50</v>
      </c>
      <c r="AG88" s="201" t="str">
        <f t="shared" si="22"/>
        <v>FY51</v>
      </c>
    </row>
    <row r="89" spans="1:33" ht="12" x14ac:dyDescent="0.2">
      <c r="E89" s="84"/>
      <c r="G89" s="231"/>
    </row>
    <row r="90" spans="1:33" ht="12" x14ac:dyDescent="0.2">
      <c r="E90" s="84"/>
    </row>
    <row r="91" spans="1:33" x14ac:dyDescent="0.2">
      <c r="A91" s="200" t="str">
        <f>Summary!$C$26</f>
        <v>Option 2</v>
      </c>
      <c r="B91" s="142"/>
      <c r="C91" s="198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0" cm="1">
        <f t="array" ref="I91">MAX($D91*INDEX(I$15:W$81, MATCH($A91&amp;$C91, $D$15:$D$81,0),))/mill_conv</f>
        <v>0.78563727039768294</v>
      </c>
      <c r="J91" s="300" cm="1">
        <f t="array" ref="J91">MAX($D91*INDEX(J$15:X$81, MATCH($A91&amp;$C91, $D$15:$D$81,0),))/mill_conv</f>
        <v>0.78563727039768294</v>
      </c>
      <c r="K91" s="300" cm="1">
        <f t="array" ref="K91">MAX($D91*INDEX(K$15:Y$81, MATCH($A91&amp;$C91, $D$15:$D$81,0),))/mill_conv</f>
        <v>0.78563727039768294</v>
      </c>
      <c r="L91" s="300" cm="1">
        <f t="array" ref="L91">MAX($D91*INDEX(L$15:Z$81, MATCH($A91&amp;$C91, $D$15:$D$81,0),))/mill_conv</f>
        <v>0.78563727039768294</v>
      </c>
      <c r="M91" s="300" cm="1">
        <f t="array" ref="M91">MAX($D91*INDEX(M$15:AA$81, MATCH($A91&amp;$C91, $D$15:$D$81,0),))/mill_conv</f>
        <v>0.78563727039768294</v>
      </c>
      <c r="N91" s="300" cm="1">
        <f t="array" ref="N91">MAX($D91*INDEX(N$15:AB$81, MATCH($A91&amp;$C91, $D$15:$D$81,0),))/mill_conv</f>
        <v>0.78563727039768294</v>
      </c>
      <c r="O91" s="300" cm="1">
        <f t="array" ref="O91">MAX($D91*INDEX(O$15:AC$81, MATCH($A91&amp;$C91, $D$15:$D$81,0),))/mill_conv</f>
        <v>0.78563727039768294</v>
      </c>
      <c r="P91" s="300" cm="1">
        <f t="array" ref="P91">MAX($D91*INDEX(P$15:AD$81, MATCH($A91&amp;$C91, $D$15:$D$81,0),))/mill_conv</f>
        <v>0.78563727039768294</v>
      </c>
      <c r="Q91" s="300" cm="1">
        <f t="array" ref="Q91">MAX($D91*INDEX(Q$15:AE$81, MATCH($A91&amp;$C91, $D$15:$D$81,0),))/mill_conv</f>
        <v>0.78563727039768294</v>
      </c>
      <c r="R91" s="300" cm="1">
        <f t="array" ref="R91">MAX($D91*INDEX(R$15:AF$81, MATCH($A91&amp;$C91, $D$15:$D$81,0),))/mill_conv</f>
        <v>0.78563727039768294</v>
      </c>
      <c r="S91" s="300" cm="1">
        <f t="array" ref="S91">MAX($D91*INDEX(S$15:AG$81, MATCH($A91&amp;$C91, $D$15:$D$81,0),))/mill_conv</f>
        <v>0.78563727039768294</v>
      </c>
      <c r="T91" s="300" cm="1">
        <f t="array" ref="T91">MAX($D91*INDEX(T$15:AH$81, MATCH($A91&amp;$C91, $D$15:$D$81,0),))/mill_conv</f>
        <v>0.78563727039768294</v>
      </c>
      <c r="U91" s="300" cm="1">
        <f t="array" ref="U91">MAX($D91*INDEX(U$15:AI$81, MATCH($A91&amp;$C91, $D$15:$D$81,0),))/mill_conv</f>
        <v>0.78563727039768294</v>
      </c>
      <c r="V91" s="300" cm="1">
        <f t="array" ref="V91">MAX($D91*INDEX(V$15:AJ$81, MATCH($A91&amp;$C91, $D$15:$D$81,0),))/mill_conv</f>
        <v>0.78563727039768294</v>
      </c>
      <c r="W91" s="300" cm="1">
        <f t="array" ref="W91">MAX($D91*INDEX(W$15:AK$81, MATCH($A91&amp;$C91, $D$15:$D$81,0),))/mill_conv</f>
        <v>0.78563727039768294</v>
      </c>
      <c r="X91" s="300" cm="1">
        <f t="array" ref="X91">MAX($D91*INDEX(X$15:AL$81, MATCH($A91&amp;$C91, $D$15:$D$81,0),))/mill_conv</f>
        <v>0.78563727039768294</v>
      </c>
      <c r="Y91" s="300" cm="1">
        <f t="array" ref="Y91">MAX($D91*INDEX(Y$15:AM$81, MATCH($A91&amp;$C91, $D$15:$D$81,0),))/mill_conv</f>
        <v>0.78563727039768294</v>
      </c>
      <c r="Z91" s="300" cm="1">
        <f t="array" ref="Z91">MAX($D91*INDEX(Z$15:AN$81, MATCH($A91&amp;$C91, $D$15:$D$81,0),))/mill_conv</f>
        <v>0.78563727039768294</v>
      </c>
      <c r="AA91" s="300" cm="1">
        <f t="array" ref="AA91">MAX($D91*INDEX(AA$15:AO$81, MATCH($A91&amp;$C91, $D$15:$D$81,0),))/mill_conv</f>
        <v>0.78563727039768294</v>
      </c>
      <c r="AB91" s="300" cm="1">
        <f t="array" ref="AB91">MAX($D91*INDEX(AB$15:AP$81, MATCH($A91&amp;$C91, $D$15:$D$81,0),))/mill_conv</f>
        <v>0.78563727039768294</v>
      </c>
      <c r="AC91" s="300" cm="1">
        <f t="array" ref="AC91">MAX($D91*INDEX(AC$15:AQ$81, MATCH($A91&amp;$C91, $D$15:$D$81,0),))/mill_conv</f>
        <v>0</v>
      </c>
      <c r="AD91" s="300" cm="1">
        <f t="array" ref="AD91">MAX($D91*INDEX(AD$15:AR$81, MATCH($A91&amp;$C91, $D$15:$D$81,0),))/mill_conv</f>
        <v>0</v>
      </c>
      <c r="AE91" s="300" cm="1">
        <f t="array" ref="AE91">MAX($D91*INDEX(AE$15:AS$81, MATCH($A91&amp;$C91, $D$15:$D$81,0),))/mill_conv</f>
        <v>0</v>
      </c>
      <c r="AF91" s="300" cm="1">
        <f t="array" ref="AF91">MAX($D91*INDEX(AF$15:AT$81, MATCH($A91&amp;$C91, $D$15:$D$81,0),))/mill_conv</f>
        <v>0</v>
      </c>
      <c r="AG91" s="300" cm="1">
        <f t="array" ref="AG91">MAX($D91*INDEX(AG$15:AU$81, MATCH($A91&amp;$C91, $D$15:$D$81,0),))/mill_conv</f>
        <v>0</v>
      </c>
    </row>
    <row r="92" spans="1:33" x14ac:dyDescent="0.2">
      <c r="A92" s="199" t="str">
        <f>A16</f>
        <v>Option 1 (base case)</v>
      </c>
      <c r="B92" s="142"/>
      <c r="C92" s="199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0">
        <f t="shared" ref="I92:R92" si="23">$D92*INDEX(I$15:I$81, MATCH($A92&amp;$C92, $D$15:$D$81,0))/mill_conv</f>
        <v>1.9478306891370745</v>
      </c>
      <c r="J92" s="300">
        <f t="shared" si="23"/>
        <v>1.9478306891370745</v>
      </c>
      <c r="K92" s="300">
        <f t="shared" si="23"/>
        <v>1.9478306891370745</v>
      </c>
      <c r="L92" s="300">
        <f t="shared" si="23"/>
        <v>1.9478306891370745</v>
      </c>
      <c r="M92" s="300">
        <f t="shared" si="23"/>
        <v>1.9478306891370745</v>
      </c>
      <c r="N92" s="300">
        <f t="shared" si="23"/>
        <v>1.5582645513096594</v>
      </c>
      <c r="O92" s="300">
        <f t="shared" si="23"/>
        <v>1.5582645513096594</v>
      </c>
      <c r="P92" s="300">
        <f t="shared" si="23"/>
        <v>1.5582645513096594</v>
      </c>
      <c r="Q92" s="300">
        <f t="shared" si="23"/>
        <v>1.5582645513096594</v>
      </c>
      <c r="R92" s="300">
        <f t="shared" si="23"/>
        <v>1.5582645513096594</v>
      </c>
      <c r="S92" s="300">
        <f t="shared" ref="S92:AG92" si="24">$D92*INDEX(S$15:S$81, MATCH($A92&amp;$C92, $D$15:$D$81,0))/mill_conv</f>
        <v>1.5582645513096594</v>
      </c>
      <c r="T92" s="300">
        <f t="shared" si="24"/>
        <v>1.5582645513096594</v>
      </c>
      <c r="U92" s="300">
        <f t="shared" si="24"/>
        <v>1.5582645513096594</v>
      </c>
      <c r="V92" s="300">
        <f t="shared" si="24"/>
        <v>1.1686984134822449</v>
      </c>
      <c r="W92" s="300">
        <f t="shared" si="24"/>
        <v>1.1686984134822449</v>
      </c>
      <c r="X92" s="300">
        <f t="shared" si="24"/>
        <v>1.1686984134822449</v>
      </c>
      <c r="Y92" s="300">
        <f t="shared" si="24"/>
        <v>1.1686984134822449</v>
      </c>
      <c r="Z92" s="300">
        <f t="shared" si="24"/>
        <v>1.1686984134822449</v>
      </c>
      <c r="AA92" s="300">
        <f t="shared" si="24"/>
        <v>1.1686984134822449</v>
      </c>
      <c r="AB92" s="300">
        <f t="shared" si="24"/>
        <v>1.1686984134822449</v>
      </c>
      <c r="AC92" s="300">
        <f t="shared" si="24"/>
        <v>1.1686984134822449</v>
      </c>
      <c r="AD92" s="300">
        <f t="shared" si="24"/>
        <v>1.1686984134822449</v>
      </c>
      <c r="AE92" s="300">
        <f t="shared" si="24"/>
        <v>1.1686984134822449</v>
      </c>
      <c r="AF92" s="300">
        <f t="shared" si="24"/>
        <v>1.1686984134822449</v>
      </c>
      <c r="AG92" s="300">
        <f t="shared" si="24"/>
        <v>0.77913227565482968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7" t="str">
        <f>I88</f>
        <v>FY27</v>
      </c>
      <c r="J97" s="297" t="str">
        <f t="shared" ref="J97:AG97" si="25">J88</f>
        <v>FY28</v>
      </c>
      <c r="K97" s="297" t="str">
        <f t="shared" si="25"/>
        <v>FY29</v>
      </c>
      <c r="L97" s="297" t="str">
        <f t="shared" si="25"/>
        <v>FY30</v>
      </c>
      <c r="M97" s="297" t="str">
        <f t="shared" si="25"/>
        <v>FY31</v>
      </c>
      <c r="N97" s="297" t="str">
        <f t="shared" si="25"/>
        <v>FY32</v>
      </c>
      <c r="O97" s="297" t="str">
        <f t="shared" si="25"/>
        <v>FY33</v>
      </c>
      <c r="P97" s="297" t="str">
        <f t="shared" si="25"/>
        <v>FY34</v>
      </c>
      <c r="Q97" s="297" t="str">
        <f t="shared" si="25"/>
        <v>FY35</v>
      </c>
      <c r="R97" s="297" t="str">
        <f t="shared" si="25"/>
        <v>FY36</v>
      </c>
      <c r="S97" s="297" t="str">
        <f t="shared" si="25"/>
        <v>FY37</v>
      </c>
      <c r="T97" s="297" t="str">
        <f t="shared" si="25"/>
        <v>FY38</v>
      </c>
      <c r="U97" s="297" t="str">
        <f t="shared" si="25"/>
        <v>FY39</v>
      </c>
      <c r="V97" s="297" t="str">
        <f t="shared" si="25"/>
        <v>FY40</v>
      </c>
      <c r="W97" s="297" t="str">
        <f t="shared" si="25"/>
        <v>FY41</v>
      </c>
      <c r="X97" s="297" t="str">
        <f t="shared" si="25"/>
        <v>FY42</v>
      </c>
      <c r="Y97" s="297" t="str">
        <f t="shared" si="25"/>
        <v>FY43</v>
      </c>
      <c r="Z97" s="297" t="str">
        <f t="shared" si="25"/>
        <v>FY44</v>
      </c>
      <c r="AA97" s="297" t="str">
        <f t="shared" si="25"/>
        <v>FY45</v>
      </c>
      <c r="AB97" s="297" t="str">
        <f t="shared" si="25"/>
        <v>FY46</v>
      </c>
      <c r="AC97" s="297" t="str">
        <f t="shared" si="25"/>
        <v>FY47</v>
      </c>
      <c r="AD97" s="297" t="str">
        <f t="shared" si="25"/>
        <v>FY48</v>
      </c>
      <c r="AE97" s="297" t="str">
        <f t="shared" si="25"/>
        <v>FY49</v>
      </c>
      <c r="AF97" s="297" t="str">
        <f t="shared" si="25"/>
        <v>FY50</v>
      </c>
      <c r="AG97" s="297" t="str">
        <f t="shared" si="25"/>
        <v>FY51</v>
      </c>
    </row>
    <row r="98" spans="1:33" x14ac:dyDescent="0.2">
      <c r="A98" s="200" t="s">
        <v>233</v>
      </c>
      <c r="B98" s="142"/>
      <c r="C98" s="198" t="s">
        <v>123</v>
      </c>
      <c r="D98" s="192">
        <f>MAX(H98:AG98)</f>
        <v>22.154999999999998</v>
      </c>
      <c r="E98" s="296"/>
      <c r="F98" s="118"/>
      <c r="G98" s="119"/>
      <c r="H98" s="119" t="str">
        <f>A98&amp;" "&amp;LOWER(C98)</f>
        <v>Energy at risk energy at risk (weighted)</v>
      </c>
      <c r="I98" s="119">
        <f>INDEX('Option1 (base case)'!I$14:I$86, MATCH($C98, 'Option1 (base case)'!$C$14:$C$86,0))</f>
        <v>22.154999999999998</v>
      </c>
      <c r="J98" s="119">
        <f>INDEX('Option1 (base case)'!J$14:J$86, MATCH($C98, 'Option1 (base case)'!$C$14:$C$86,0))</f>
        <v>22.154999999999998</v>
      </c>
      <c r="K98" s="119">
        <f>INDEX('Option1 (base case)'!K$14:K$86, MATCH($C98, 'Option1 (base case)'!$C$14:$C$86,0))</f>
        <v>22.154999999999998</v>
      </c>
      <c r="L98" s="119">
        <f>INDEX('Option1 (base case)'!L$14:L$86, MATCH($C98, 'Option1 (base case)'!$C$14:$C$86,0))</f>
        <v>22.154999999999998</v>
      </c>
      <c r="M98" s="119">
        <f>INDEX('Option1 (base case)'!M$14:M$86, MATCH($C98, 'Option1 (base case)'!$C$14:$C$86,0))</f>
        <v>22.154999999999998</v>
      </c>
      <c r="N98" s="119">
        <f>INDEX('Option1 (base case)'!N$14:N$86, MATCH($C98, 'Option1 (base case)'!$C$14:$C$86,0))</f>
        <v>17.723999999999997</v>
      </c>
      <c r="O98" s="119">
        <f>INDEX('Option1 (base case)'!O$14:O$86, MATCH($C98, 'Option1 (base case)'!$C$14:$C$86,0))</f>
        <v>17.723999999999997</v>
      </c>
      <c r="P98" s="119">
        <f>INDEX('Option1 (base case)'!P$14:P$86, MATCH($C98, 'Option1 (base case)'!$C$14:$C$86,0))</f>
        <v>17.723999999999997</v>
      </c>
      <c r="Q98" s="119">
        <f>INDEX('Option1 (base case)'!Q$14:Q$86, MATCH($C98, 'Option1 (base case)'!$C$14:$C$86,0))</f>
        <v>17.723999999999997</v>
      </c>
      <c r="R98" s="119">
        <f>INDEX('Option1 (base case)'!R$14:R$86, MATCH($C98, 'Option1 (base case)'!$C$14:$C$86,0))</f>
        <v>17.723999999999997</v>
      </c>
      <c r="S98" s="119">
        <f>INDEX('Option1 (base case)'!S$14:S$86, MATCH($C98, 'Option1 (base case)'!$C$14:$C$86,0))</f>
        <v>17.723999999999997</v>
      </c>
      <c r="T98" s="119">
        <f>INDEX('Option1 (base case)'!T$14:T$86, MATCH($C98, 'Option1 (base case)'!$C$14:$C$86,0))</f>
        <v>17.723999999999997</v>
      </c>
      <c r="U98" s="119">
        <f>INDEX('Option1 (base case)'!U$14:U$86, MATCH($C98, 'Option1 (base case)'!$C$14:$C$86,0))</f>
        <v>17.723999999999997</v>
      </c>
      <c r="V98" s="119">
        <f>INDEX('Option1 (base case)'!V$14:V$86, MATCH($C98, 'Option1 (base case)'!$C$14:$C$86,0))</f>
        <v>13.293000000000001</v>
      </c>
      <c r="W98" s="119">
        <f>INDEX('Option1 (base case)'!W$14:W$86, MATCH($C98, 'Option1 (base case)'!$C$14:$C$86,0))</f>
        <v>13.293000000000001</v>
      </c>
      <c r="X98" s="119">
        <f>INDEX('Option1 (base case)'!X$14:X$86, MATCH($C98, 'Option1 (base case)'!$C$14:$C$86,0))</f>
        <v>13.293000000000001</v>
      </c>
      <c r="Y98" s="119">
        <f>INDEX('Option1 (base case)'!Y$14:Y$86, MATCH($C98, 'Option1 (base case)'!$C$14:$C$86,0))</f>
        <v>13.293000000000001</v>
      </c>
      <c r="Z98" s="119">
        <f>INDEX('Option1 (base case)'!Z$14:Z$86, MATCH($C98, 'Option1 (base case)'!$C$14:$C$86,0))</f>
        <v>13.293000000000001</v>
      </c>
      <c r="AA98" s="119">
        <f>INDEX('Option1 (base case)'!AA$14:AA$86, MATCH($C98, 'Option1 (base case)'!$C$14:$C$86,0))</f>
        <v>13.293000000000001</v>
      </c>
      <c r="AB98" s="119">
        <f>INDEX('Option1 (base case)'!AB$14:AB$86, MATCH($C98, 'Option1 (base case)'!$C$14:$C$86,0))</f>
        <v>13.293000000000001</v>
      </c>
      <c r="AC98" s="119">
        <f>INDEX('Option1 (base case)'!AC$14:AC$86, MATCH($C98, 'Option1 (base case)'!$C$14:$C$86,0))</f>
        <v>13.293000000000001</v>
      </c>
      <c r="AD98" s="119">
        <f>INDEX('Option1 (base case)'!AD$14:AD$86, MATCH($C98, 'Option1 (base case)'!$C$14:$C$86,0))</f>
        <v>13.293000000000001</v>
      </c>
      <c r="AE98" s="119">
        <f>INDEX('Option1 (base case)'!AE$14:AE$86, MATCH($C98, 'Option1 (base case)'!$C$14:$C$86,0))</f>
        <v>13.293000000000001</v>
      </c>
      <c r="AF98" s="119">
        <f>INDEX('Option1 (base case)'!AF$14:AF$86, MATCH($C98, 'Option1 (base case)'!$C$14:$C$86,0))</f>
        <v>13.293000000000001</v>
      </c>
      <c r="AG98" s="119">
        <f>INDEX('Option1 (base case)'!AG$14:AG$86, MATCH($C98, 'Option1 (base case)'!$C$14:$C$86,0))</f>
        <v>8.8619999999999983</v>
      </c>
    </row>
    <row r="99" spans="1:33" x14ac:dyDescent="0.2">
      <c r="A99" s="199" t="str">
        <f>A23</f>
        <v>Option 1 (base case)</v>
      </c>
      <c r="B99" s="142"/>
      <c r="C99" s="199" t="s">
        <v>124</v>
      </c>
      <c r="D99" s="192">
        <f>MAX(H99:AG99)</f>
        <v>1.5150098618510464</v>
      </c>
      <c r="E99" s="296"/>
      <c r="H99" s="119" t="str">
        <f>A99&amp;" risk cost"</f>
        <v>Option 1 (base case) risk cost</v>
      </c>
      <c r="I99" s="119">
        <f>INDEX('Option1 (base case)'!I$14:I$86, MATCH($C99, 'Option1 (base case)'!$C$14:$C$86,0))/10^6</f>
        <v>1.5150098618510464</v>
      </c>
      <c r="J99" s="119">
        <f>INDEX('Option1 (base case)'!J$14:J$86, MATCH($C99, 'Option1 (base case)'!$C$14:$C$86,0))/10^6</f>
        <v>1.5150098618510464</v>
      </c>
      <c r="K99" s="119">
        <f>INDEX('Option1 (base case)'!K$14:K$86, MATCH($C99, 'Option1 (base case)'!$C$14:$C$86,0))/10^6</f>
        <v>1.5150098618510464</v>
      </c>
      <c r="L99" s="119">
        <f>INDEX('Option1 (base case)'!L$14:L$86, MATCH($C99, 'Option1 (base case)'!$C$14:$C$86,0))/10^6</f>
        <v>1.5150098618510464</v>
      </c>
      <c r="M99" s="119">
        <f>INDEX('Option1 (base case)'!M$14:M$86, MATCH($C99, 'Option1 (base case)'!$C$14:$C$86,0))/10^6</f>
        <v>1.5150098618510464</v>
      </c>
      <c r="N99" s="119">
        <f>INDEX('Option1 (base case)'!N$14:N$86, MATCH($C99, 'Option1 (base case)'!$C$14:$C$86,0))/10^6</f>
        <v>1.2120078894808368</v>
      </c>
      <c r="O99" s="119">
        <f>INDEX('Option1 (base case)'!O$14:O$86, MATCH($C99, 'Option1 (base case)'!$C$14:$C$86,0))/10^6</f>
        <v>1.2120078894808368</v>
      </c>
      <c r="P99" s="119">
        <f>INDEX('Option1 (base case)'!P$14:P$86, MATCH($C99, 'Option1 (base case)'!$C$14:$C$86,0))/10^6</f>
        <v>1.2120078894808368</v>
      </c>
      <c r="Q99" s="119">
        <f>INDEX('Option1 (base case)'!Q$14:Q$86, MATCH($C99, 'Option1 (base case)'!$C$14:$C$86,0))/10^6</f>
        <v>1.2120078894808368</v>
      </c>
      <c r="R99" s="119">
        <f>INDEX('Option1 (base case)'!R$14:R$86, MATCH($C99, 'Option1 (base case)'!$C$14:$C$86,0))/10^6</f>
        <v>1.2120078894808368</v>
      </c>
      <c r="S99" s="119">
        <f>INDEX('Option1 (base case)'!S$14:S$86, MATCH($C99, 'Option1 (base case)'!$C$14:$C$86,0))/10^6</f>
        <v>1.2120078894808368</v>
      </c>
      <c r="T99" s="119">
        <f>INDEX('Option1 (base case)'!T$14:T$86, MATCH($C99, 'Option1 (base case)'!$C$14:$C$86,0))/10^6</f>
        <v>1.2120078894808368</v>
      </c>
      <c r="U99" s="119">
        <f>INDEX('Option1 (base case)'!U$14:U$86, MATCH($C99, 'Option1 (base case)'!$C$14:$C$86,0))/10^6</f>
        <v>1.2120078894808368</v>
      </c>
      <c r="V99" s="119">
        <f>INDEX('Option1 (base case)'!V$14:V$86, MATCH($C99, 'Option1 (base case)'!$C$14:$C$86,0))/10^6</f>
        <v>0.90900591711062806</v>
      </c>
      <c r="W99" s="119">
        <f>INDEX('Option1 (base case)'!W$14:W$86, MATCH($C99, 'Option1 (base case)'!$C$14:$C$86,0))/10^6</f>
        <v>0.90900591711062806</v>
      </c>
      <c r="X99" s="119">
        <f>INDEX('Option1 (base case)'!X$14:X$86, MATCH($C99, 'Option1 (base case)'!$C$14:$C$86,0))/10^6</f>
        <v>0.90900591711062806</v>
      </c>
      <c r="Y99" s="119">
        <f>INDEX('Option1 (base case)'!Y$14:Y$86, MATCH($C99, 'Option1 (base case)'!$C$14:$C$86,0))/10^6</f>
        <v>0.90900591711062806</v>
      </c>
      <c r="Z99" s="119">
        <f>INDEX('Option1 (base case)'!Z$14:Z$86, MATCH($C99, 'Option1 (base case)'!$C$14:$C$86,0))/10^6</f>
        <v>0.90900591711062806</v>
      </c>
      <c r="AA99" s="119">
        <f>INDEX('Option1 (base case)'!AA$14:AA$86, MATCH($C99, 'Option1 (base case)'!$C$14:$C$86,0))/10^6</f>
        <v>0.90900591711062806</v>
      </c>
      <c r="AB99" s="119">
        <f>INDEX('Option1 (base case)'!AB$14:AB$86, MATCH($C99, 'Option1 (base case)'!$C$14:$C$86,0))/10^6</f>
        <v>0.90900591711062806</v>
      </c>
      <c r="AC99" s="119">
        <f>INDEX('Option1 (base case)'!AC$14:AC$86, MATCH($C99, 'Option1 (base case)'!$C$14:$C$86,0))/10^6</f>
        <v>0.90900591711062806</v>
      </c>
      <c r="AD99" s="119">
        <f>INDEX('Option1 (base case)'!AD$14:AD$86, MATCH($C99, 'Option1 (base case)'!$C$14:$C$86,0))/10^6</f>
        <v>0.90900591711062806</v>
      </c>
      <c r="AE99" s="119">
        <f>INDEX('Option1 (base case)'!AE$14:AE$86, MATCH($C99, 'Option1 (base case)'!$C$14:$C$86,0))/10^6</f>
        <v>0.90900591711062806</v>
      </c>
      <c r="AF99" s="119">
        <f>INDEX('Option1 (base case)'!AF$14:AF$86, MATCH($C99, 'Option1 (base case)'!$C$14:$C$86,0))/10^6</f>
        <v>0.90900591711062806</v>
      </c>
      <c r="AG99" s="119">
        <f>INDEX('Option1 (base case)'!AG$14:AG$86, MATCH($C99, 'Option1 (base case)'!$C$14:$C$86,0))/10^6</f>
        <v>0.60600394474041841</v>
      </c>
    </row>
    <row r="100" spans="1:33" ht="12" x14ac:dyDescent="0.2">
      <c r="E100" s="10"/>
    </row>
    <row r="101" spans="1:33" s="298" customFormat="1" ht="12" x14ac:dyDescent="0.2"/>
    <row r="102" spans="1:33" ht="12" x14ac:dyDescent="0.2">
      <c r="E102" s="10"/>
    </row>
    <row r="103" spans="1:33" ht="12" x14ac:dyDescent="0.2">
      <c r="E103" s="10"/>
      <c r="I103" s="298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2"/>
      <c r="E106" s="10"/>
    </row>
    <row r="107" spans="1:33" ht="12" x14ac:dyDescent="0.2">
      <c r="D107" s="192"/>
      <c r="E107" s="10"/>
    </row>
    <row r="108" spans="1:33" ht="12" x14ac:dyDescent="0.2">
      <c r="D108" s="192"/>
      <c r="E108" s="84"/>
    </row>
    <row r="109" spans="1:33" ht="12" x14ac:dyDescent="0.2">
      <c r="C109" s="124"/>
      <c r="D109" s="192"/>
      <c r="E109" s="192"/>
    </row>
    <row r="110" spans="1:33" ht="12" x14ac:dyDescent="0.2">
      <c r="D110" s="192"/>
      <c r="E110" s="84"/>
    </row>
    <row r="111" spans="1:33" ht="12" x14ac:dyDescent="0.2">
      <c r="D111" s="192"/>
      <c r="E111" s="84"/>
    </row>
    <row r="112" spans="1:33" ht="12" x14ac:dyDescent="0.2">
      <c r="D112" s="192"/>
      <c r="E112" s="84"/>
    </row>
    <row r="113" spans="4:5" ht="12" x14ac:dyDescent="0.2">
      <c r="D113" s="192"/>
      <c r="E113" s="84"/>
    </row>
    <row r="114" spans="4:5" ht="12" x14ac:dyDescent="0.2">
      <c r="D114" s="192"/>
      <c r="E114" s="84"/>
    </row>
    <row r="115" spans="4:5" ht="12" x14ac:dyDescent="0.2">
      <c r="D115" s="192"/>
      <c r="E115" s="84"/>
    </row>
    <row r="116" spans="4:5" ht="12" x14ac:dyDescent="0.2">
      <c r="D116" s="192"/>
      <c r="E116" s="84"/>
    </row>
    <row r="117" spans="4:5" ht="12" x14ac:dyDescent="0.2">
      <c r="D117" s="192"/>
      <c r="E117" s="84"/>
    </row>
    <row r="118" spans="4:5" ht="12" x14ac:dyDescent="0.2">
      <c r="D118" s="192"/>
      <c r="E118" s="84"/>
    </row>
    <row r="119" spans="4:5" ht="12" x14ac:dyDescent="0.2">
      <c r="D119" s="192"/>
      <c r="E119" s="84"/>
    </row>
    <row r="120" spans="4:5" ht="12" x14ac:dyDescent="0.2">
      <c r="D120" s="192"/>
      <c r="E120" s="84"/>
    </row>
    <row r="121" spans="4:5" ht="12" x14ac:dyDescent="0.2">
      <c r="D121" s="192"/>
      <c r="E121" s="84"/>
    </row>
    <row r="122" spans="4:5" ht="12" x14ac:dyDescent="0.2">
      <c r="D122" s="192"/>
      <c r="E122" s="84"/>
    </row>
    <row r="123" spans="4:5" ht="12" x14ac:dyDescent="0.2">
      <c r="D123" s="192"/>
      <c r="E123" s="84"/>
    </row>
    <row r="124" spans="4:5" ht="12" x14ac:dyDescent="0.2">
      <c r="D124" s="192"/>
      <c r="E124" s="84"/>
    </row>
    <row r="125" spans="4:5" ht="12" x14ac:dyDescent="0.2">
      <c r="D125" s="192"/>
      <c r="E125" s="84"/>
    </row>
    <row r="126" spans="4:5" ht="12" x14ac:dyDescent="0.2">
      <c r="D126" s="192"/>
      <c r="E126" s="84"/>
    </row>
    <row r="127" spans="4:5" ht="12" x14ac:dyDescent="0.2">
      <c r="D127" s="192"/>
      <c r="E127" s="84"/>
    </row>
    <row r="128" spans="4:5" ht="12" x14ac:dyDescent="0.2">
      <c r="D128" s="192"/>
      <c r="E128" s="84"/>
    </row>
    <row r="129" spans="4:5" ht="12" x14ac:dyDescent="0.2">
      <c r="D129" s="192"/>
      <c r="E129" s="84"/>
    </row>
    <row r="130" spans="4:5" ht="12" x14ac:dyDescent="0.2">
      <c r="D130" s="192"/>
      <c r="E130" s="84"/>
    </row>
    <row r="131" spans="4:5" ht="12" x14ac:dyDescent="0.2">
      <c r="D131" s="192"/>
      <c r="E131" s="84"/>
    </row>
    <row r="132" spans="4:5" ht="12" x14ac:dyDescent="0.2">
      <c r="D132" s="192"/>
      <c r="E132" s="84"/>
    </row>
    <row r="133" spans="4:5" ht="12" x14ac:dyDescent="0.2">
      <c r="D133" s="192"/>
      <c r="E133" s="84"/>
    </row>
    <row r="134" spans="4:5" ht="12" x14ac:dyDescent="0.2">
      <c r="D134" s="192"/>
      <c r="E134" s="84"/>
    </row>
    <row r="135" spans="4:5" ht="12" x14ac:dyDescent="0.2">
      <c r="D135" s="192"/>
      <c r="E135" s="84"/>
    </row>
    <row r="136" spans="4:5" ht="12" x14ac:dyDescent="0.2">
      <c r="D136" s="192"/>
      <c r="E136" s="84"/>
    </row>
    <row r="137" spans="4:5" ht="12" x14ac:dyDescent="0.2">
      <c r="D137" s="192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Replace compound filled cable terminations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5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90">
        <f>Consol!H5</f>
        <v>0</v>
      </c>
      <c r="I5" s="190">
        <f>Consol!I5</f>
        <v>0.98294637436598087</v>
      </c>
      <c r="J5" s="190">
        <f>Consol!J5</f>
        <v>0.94970664189949849</v>
      </c>
      <c r="K5" s="190">
        <f>Consol!K5</f>
        <v>0.91759095835700344</v>
      </c>
      <c r="L5" s="190">
        <f>Consol!L5</f>
        <v>0.88656131242222558</v>
      </c>
      <c r="M5" s="190">
        <f>Consol!M5</f>
        <v>0.85658097818572532</v>
      </c>
      <c r="N5" s="190">
        <f>Consol!N5</f>
        <v>0.8276144716770294</v>
      </c>
      <c r="O5" s="190">
        <f>Consol!O5</f>
        <v>0.79962750886669509</v>
      </c>
      <c r="P5" s="190">
        <f>Consol!P5</f>
        <v>0.77258696508859437</v>
      </c>
      <c r="Q5" s="190">
        <f>Consol!Q5</f>
        <v>0.74646083583439071</v>
      </c>
      <c r="R5" s="190">
        <f>Consol!R5</f>
        <v>0.72121819887380756</v>
      </c>
      <c r="S5" s="190">
        <f>Consol!S5</f>
        <v>0.69682917765585273</v>
      </c>
      <c r="T5" s="190">
        <f>Consol!T5</f>
        <v>0.67326490594768384</v>
      </c>
      <c r="U5" s="190">
        <f>Consol!U5</f>
        <v>0.6504974936692598</v>
      </c>
      <c r="V5" s="190">
        <f>Consol!V5</f>
        <v>0.62849999388334288</v>
      </c>
      <c r="W5" s="190">
        <f>Consol!W5</f>
        <v>0.60724637090178057</v>
      </c>
      <c r="X5" s="190">
        <f>Consol!X5</f>
        <v>0.58671146947031949</v>
      </c>
      <c r="Y5" s="190">
        <f>Consol!Y5</f>
        <v>0.56687098499547783</v>
      </c>
      <c r="Z5" s="190">
        <f>Consol!Z5</f>
        <v>0.54770143477823952</v>
      </c>
      <c r="AA5" s="190">
        <f>Consol!AA5</f>
        <v>0.52918013022052135</v>
      </c>
      <c r="AB5" s="190">
        <f>Consol!AB5</f>
        <v>0.5112851499715183</v>
      </c>
      <c r="AC5" s="190">
        <f>Consol!AC5</f>
        <v>0.4939953139821433</v>
      </c>
      <c r="AD5" s="190">
        <f>Consol!AD5</f>
        <v>0.47729015843685346</v>
      </c>
      <c r="AE5" s="190">
        <f>Consol!AE5</f>
        <v>0.46114991153319179</v>
      </c>
      <c r="AF5" s="190">
        <f>Consol!AF5</f>
        <v>0.4455554700803786</v>
      </c>
      <c r="AG5" s="190">
        <f>Consol!AG5</f>
        <v>0.43048837688925473</v>
      </c>
    </row>
    <row r="6" spans="1:33" s="2" customFormat="1" hidden="1" outlineLevel="1" x14ac:dyDescent="0.2">
      <c r="A6" s="191" t="str">
        <f>'Option1 (base case)'!A6</f>
        <v>Count</v>
      </c>
      <c r="B6" s="116"/>
      <c r="D6" s="117"/>
      <c r="E6" s="116"/>
      <c r="F6" s="116"/>
      <c r="G6" s="101"/>
      <c r="H6" s="191">
        <f>Consol!H6</f>
        <v>0</v>
      </c>
      <c r="I6" s="191">
        <f>Consol!I6</f>
        <v>1</v>
      </c>
      <c r="J6" s="191">
        <f>Consol!J6</f>
        <v>2</v>
      </c>
      <c r="K6" s="191">
        <f>Consol!K6</f>
        <v>3</v>
      </c>
      <c r="L6" s="191">
        <f>Consol!L6</f>
        <v>4</v>
      </c>
      <c r="M6" s="191">
        <f>Consol!M6</f>
        <v>5</v>
      </c>
      <c r="N6" s="191">
        <f>Consol!N6</f>
        <v>6</v>
      </c>
      <c r="O6" s="191">
        <f>Consol!O6</f>
        <v>7</v>
      </c>
      <c r="P6" s="191">
        <f>Consol!P6</f>
        <v>8</v>
      </c>
      <c r="Q6" s="191">
        <f>Consol!Q6</f>
        <v>9</v>
      </c>
      <c r="R6" s="191">
        <f>Consol!R6</f>
        <v>10</v>
      </c>
      <c r="S6" s="191">
        <f>Consol!S6</f>
        <v>11</v>
      </c>
      <c r="T6" s="191">
        <f>Consol!T6</f>
        <v>12</v>
      </c>
      <c r="U6" s="191">
        <f>Consol!U6</f>
        <v>13</v>
      </c>
      <c r="V6" s="191">
        <f>Consol!V6</f>
        <v>14</v>
      </c>
      <c r="W6" s="191">
        <f>Consol!W6</f>
        <v>15</v>
      </c>
      <c r="X6" s="191">
        <f>Consol!X6</f>
        <v>16</v>
      </c>
      <c r="Y6" s="191">
        <f>Consol!Y6</f>
        <v>17</v>
      </c>
      <c r="Z6" s="191">
        <f>Consol!Z6</f>
        <v>18</v>
      </c>
      <c r="AA6" s="191">
        <f>Consol!AA6</f>
        <v>19</v>
      </c>
      <c r="AB6" s="191">
        <f>Consol!AB6</f>
        <v>20</v>
      </c>
      <c r="AC6" s="191">
        <f>Consol!AC6</f>
        <v>21</v>
      </c>
      <c r="AD6" s="191">
        <f>Consol!AD6</f>
        <v>22</v>
      </c>
      <c r="AE6" s="191">
        <f>Consol!AE6</f>
        <v>23</v>
      </c>
      <c r="AF6" s="191">
        <f>Consol!AF6</f>
        <v>24</v>
      </c>
      <c r="AG6" s="191">
        <f>Consol!AG6</f>
        <v>25</v>
      </c>
    </row>
    <row r="7" spans="1:33" s="2" customFormat="1" collapsed="1" x14ac:dyDescent="0.2">
      <c r="A7" s="116" t="s">
        <v>193</v>
      </c>
      <c r="B7" s="116"/>
      <c r="D7" s="117"/>
      <c r="E7" s="116"/>
      <c r="F7" s="116"/>
      <c r="G7" s="101"/>
      <c r="H7" s="258" t="b">
        <f>Consol!H7</f>
        <v>1</v>
      </c>
      <c r="I7" s="258" t="b">
        <f>Consol!I7</f>
        <v>1</v>
      </c>
      <c r="J7" s="258" t="b">
        <f>Consol!J7</f>
        <v>1</v>
      </c>
      <c r="K7" s="258" t="b">
        <f>Consol!K7</f>
        <v>1</v>
      </c>
      <c r="L7" s="258" t="b">
        <f>Consol!L7</f>
        <v>1</v>
      </c>
      <c r="M7" s="258" t="b">
        <f>Consol!M7</f>
        <v>1</v>
      </c>
      <c r="N7" s="258" t="b">
        <f>Consol!N7</f>
        <v>1</v>
      </c>
      <c r="O7" s="258" t="b">
        <f>Consol!O7</f>
        <v>1</v>
      </c>
      <c r="P7" s="258" t="b">
        <f>Consol!P7</f>
        <v>1</v>
      </c>
      <c r="Q7" s="258" t="b">
        <f>Consol!Q7</f>
        <v>1</v>
      </c>
      <c r="R7" s="258" t="b">
        <f>Consol!R7</f>
        <v>1</v>
      </c>
      <c r="S7" s="258" t="b">
        <f>Consol!S7</f>
        <v>1</v>
      </c>
      <c r="T7" s="258" t="b">
        <f>Consol!T7</f>
        <v>1</v>
      </c>
      <c r="U7" s="258" t="b">
        <f>Consol!U7</f>
        <v>1</v>
      </c>
      <c r="V7" s="258" t="b">
        <f>Consol!V7</f>
        <v>1</v>
      </c>
      <c r="W7" s="258" t="b">
        <f>Consol!W7</f>
        <v>1</v>
      </c>
      <c r="X7" s="258" t="b">
        <f>Consol!X7</f>
        <v>1</v>
      </c>
      <c r="Y7" s="258" t="b">
        <f>Consol!Y7</f>
        <v>1</v>
      </c>
      <c r="Z7" s="258" t="b">
        <f>Consol!Z7</f>
        <v>1</v>
      </c>
      <c r="AA7" s="258" t="b">
        <f>Consol!AA7</f>
        <v>1</v>
      </c>
      <c r="AB7" s="258" t="b">
        <f>Consol!AB7</f>
        <v>1</v>
      </c>
      <c r="AC7" s="258" t="b">
        <f>Consol!AC7</f>
        <v>0</v>
      </c>
      <c r="AD7" s="258" t="b">
        <f>Consol!AD7</f>
        <v>0</v>
      </c>
      <c r="AE7" s="258" t="b">
        <f>Consol!AE7</f>
        <v>0</v>
      </c>
      <c r="AF7" s="258" t="b">
        <f>Consol!AF7</f>
        <v>0</v>
      </c>
      <c r="AG7" s="258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3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3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4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8"/>
      <c r="B12" s="248"/>
      <c r="C12" s="248"/>
      <c r="D12" s="248"/>
      <c r="E12" s="248"/>
      <c r="F12" s="248"/>
      <c r="G12" s="249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383061.14308456192</v>
      </c>
      <c r="AA12" s="31">
        <f>Consol!AB36</f>
        <v>383061.14308456192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9"/>
    </row>
    <row r="13" spans="1:33" s="7" customFormat="1" x14ac:dyDescent="0.2">
      <c r="A13" s="248"/>
      <c r="B13" s="248"/>
      <c r="C13" s="248"/>
      <c r="D13" s="248"/>
      <c r="E13" s="248"/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</row>
    <row r="14" spans="1:33" s="7" customFormat="1" x14ac:dyDescent="0.2">
      <c r="A14" s="256" t="s">
        <v>143</v>
      </c>
      <c r="B14" s="256" t="s">
        <v>119</v>
      </c>
      <c r="C14" s="256" t="s">
        <v>186</v>
      </c>
      <c r="D14" s="256" t="str">
        <f>A14&amp;B14</f>
        <v>OPTION 1 (base case)NPV</v>
      </c>
      <c r="E14" s="257"/>
      <c r="F14" s="31">
        <f>SUMPRODUCT($H14:$AG14, $H$5:$AG$5)</f>
        <v>-1955632.5189494174</v>
      </c>
      <c r="G14" s="249"/>
      <c r="H14" s="31">
        <f>'Option1 (base case)'!I86*conv_2026</f>
        <v>0</v>
      </c>
      <c r="I14" s="31">
        <f>'Option1 (base case)'!J86*conv_2026</f>
        <v>-13048.088498572461</v>
      </c>
      <c r="J14" s="31">
        <f>'Option1 (base case)'!K86*conv_2026</f>
        <v>-26096.176997144921</v>
      </c>
      <c r="K14" s="31">
        <f>'Option1 (base case)'!L86*conv_2026</f>
        <v>-39144.26549571738</v>
      </c>
      <c r="L14" s="31">
        <f>'Option1 (base case)'!M86*conv_2026</f>
        <v>-52192.353994289842</v>
      </c>
      <c r="M14" s="31">
        <f>'Option1 (base case)'!N86*conv_2026</f>
        <v>-65240.442492862305</v>
      </c>
      <c r="N14" s="31">
        <f>'Option1 (base case)'!O86*conv_2026</f>
        <v>-75678.913291720281</v>
      </c>
      <c r="O14" s="31">
        <f>'Option1 (base case)'!P86*conv_2026</f>
        <v>-86117.384090578242</v>
      </c>
      <c r="P14" s="31">
        <f>'Option1 (base case)'!Q86*conv_2026</f>
        <v>-96555.854889436203</v>
      </c>
      <c r="Q14" s="31">
        <f>'Option1 (base case)'!R86*conv_2026</f>
        <v>-106994.32568829416</v>
      </c>
      <c r="R14" s="31">
        <f>'Option1 (base case)'!S86*conv_2026</f>
        <v>-117432.79648715214</v>
      </c>
      <c r="S14" s="31">
        <f>'Option1 (base case)'!T86*conv_2026</f>
        <v>-127871.26728601013</v>
      </c>
      <c r="T14" s="31">
        <f>'Option1 (base case)'!U86*conv_2026</f>
        <v>-138309.73808486809</v>
      </c>
      <c r="U14" s="31">
        <f>'Option1 (base case)'!V86*conv_2026</f>
        <v>-148748.20888372607</v>
      </c>
      <c r="V14" s="31">
        <f>'Option1 (base case)'!W86*conv_2026</f>
        <v>-156577.06198286952</v>
      </c>
      <c r="W14" s="31">
        <f>'Option1 (base case)'!X86*conv_2026</f>
        <v>-164405.91508201303</v>
      </c>
      <c r="X14" s="31">
        <f>'Option1 (base case)'!Y86*conv_2026</f>
        <v>-172234.76818115648</v>
      </c>
      <c r="Y14" s="31">
        <f>'Option1 (base case)'!Z86*conv_2026</f>
        <v>-180063.62128029994</v>
      </c>
      <c r="Z14" s="31">
        <f>'Option1 (base case)'!AA86*conv_2026</f>
        <v>-187892.47437944342</v>
      </c>
      <c r="AA14" s="31">
        <f>'Option1 (base case)'!AB86*conv_2026</f>
        <v>-195721.3274785869</v>
      </c>
      <c r="AB14" s="31">
        <f>'Option1 (base case)'!AC86*conv_2026</f>
        <v>-203550.18057773041</v>
      </c>
      <c r="AC14" s="31">
        <f>'Option1 (base case)'!AD86*conv_2026</f>
        <v>-211379.03367687386</v>
      </c>
      <c r="AD14" s="31">
        <f>'Option1 (base case)'!AE86*conv_2026</f>
        <v>-219207.88677601737</v>
      </c>
      <c r="AE14" s="31">
        <f>'Option1 (base case)'!AF86*conv_2026</f>
        <v>-227036.7398751608</v>
      </c>
      <c r="AF14" s="31">
        <f>'Option1 (base case)'!AG86*conv_2026</f>
        <v>-234865.59297430428</v>
      </c>
      <c r="AG14" s="31">
        <f>'Option1 (base case)'!AH86*conv_2026</f>
        <v>0</v>
      </c>
    </row>
    <row r="15" spans="1:33" s="7" customFormat="1" x14ac:dyDescent="0.2">
      <c r="A15" s="248"/>
      <c r="B15" s="248"/>
      <c r="C15" s="248"/>
      <c r="D15" s="248"/>
      <c r="E15" s="248"/>
      <c r="F15" s="248"/>
      <c r="G15" s="249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6" t="s">
        <v>143</v>
      </c>
      <c r="B16" s="256" t="str">
        <f>'Option1 (base case)'!A109</f>
        <v>sens1</v>
      </c>
      <c r="C16" s="256" t="str">
        <f>'Option1 (base case)'!C109</f>
        <v>Capex 10% higher</v>
      </c>
      <c r="D16" s="256" t="str">
        <f t="shared" ref="D16:D23" si="0">A16&amp;B16</f>
        <v>OPTION 1 (base case)sens1</v>
      </c>
      <c r="E16" s="257"/>
      <c r="F16" s="31">
        <f>SUMPRODUCT($H16:$AG16, $H$5:$AG$5)</f>
        <v>-1523176.5819685371</v>
      </c>
      <c r="G16" s="249"/>
      <c r="H16" s="31">
        <f>(INDEX('Option1 (base case)'!H$105:H$116, MATCH($D16, 'Option1 (base case)'!$G$105:$G$116,0)))*conv_2026*H$7</f>
        <v>0</v>
      </c>
      <c r="I16" s="31">
        <f>(INDEX('Option1 (base case)'!I$105:I$116, MATCH($D16, 'Option1 (base case)'!$G$105:$G$116,0)))*conv_2026*I$7</f>
        <v>0</v>
      </c>
      <c r="J16" s="31">
        <f>(INDEX('Option1 (base case)'!J$105:J$116, MATCH($D16, 'Option1 (base case)'!$G$105:$G$116,0)))*conv_2026*J$7</f>
        <v>-14352.897348429706</v>
      </c>
      <c r="K16" s="31">
        <f>(INDEX('Option1 (base case)'!K$105:K$116, MATCH($D16, 'Option1 (base case)'!$G$105:$G$116,0)))*conv_2026*K$7</f>
        <v>-28705.794696859411</v>
      </c>
      <c r="L16" s="31">
        <f>(INDEX('Option1 (base case)'!L$105:L$116, MATCH($D16, 'Option1 (base case)'!$G$105:$G$116,0)))*conv_2026*L$7</f>
        <v>-43058.692045289121</v>
      </c>
      <c r="M16" s="31">
        <f>(INDEX('Option1 (base case)'!M$105:M$116, MATCH($D16, 'Option1 (base case)'!$G$105:$G$116,0)))*conv_2026*M$7</f>
        <v>-57411.589393718823</v>
      </c>
      <c r="N16" s="31">
        <f>(INDEX('Option1 (base case)'!N$105:N$116, MATCH($D16, 'Option1 (base case)'!$G$105:$G$116,0)))*conv_2026*N$7</f>
        <v>-71764.48674214854</v>
      </c>
      <c r="O16" s="31">
        <f>(INDEX('Option1 (base case)'!O$105:O$116, MATCH($D16, 'Option1 (base case)'!$G$105:$G$116,0)))*conv_2026*O$7</f>
        <v>-83246.804620892304</v>
      </c>
      <c r="P16" s="31">
        <f>(INDEX('Option1 (base case)'!P$105:P$116, MATCH($D16, 'Option1 (base case)'!$G$105:$G$116,0)))*conv_2026*P$7</f>
        <v>-94729.122499636069</v>
      </c>
      <c r="Q16" s="31">
        <f>(INDEX('Option1 (base case)'!Q$105:Q$116, MATCH($D16, 'Option1 (base case)'!$G$105:$G$116,0)))*conv_2026*Q$7</f>
        <v>-106211.44037837982</v>
      </c>
      <c r="R16" s="31">
        <f>(INDEX('Option1 (base case)'!R$105:R$116, MATCH($D16, 'Option1 (base case)'!$G$105:$G$116,0)))*conv_2026*R$7</f>
        <v>-117693.75825712358</v>
      </c>
      <c r="S16" s="31">
        <f>(INDEX('Option1 (base case)'!S$105:S$116, MATCH($D16, 'Option1 (base case)'!$G$105:$G$116,0)))*conv_2026*S$7</f>
        <v>-129176.07613586736</v>
      </c>
      <c r="T16" s="31">
        <f>(INDEX('Option1 (base case)'!T$105:T$116, MATCH($D16, 'Option1 (base case)'!$G$105:$G$116,0)))*conv_2026*T$7</f>
        <v>-140658.39401461114</v>
      </c>
      <c r="U16" s="31">
        <f>(INDEX('Option1 (base case)'!U$105:U$116, MATCH($D16, 'Option1 (base case)'!$G$105:$G$116,0)))*conv_2026*U$7</f>
        <v>-152140.71189335489</v>
      </c>
      <c r="V16" s="31">
        <f>(INDEX('Option1 (base case)'!V$105:V$116, MATCH($D16, 'Option1 (base case)'!$G$105:$G$116,0)))*conv_2026*V$7</f>
        <v>-163623.02977209867</v>
      </c>
      <c r="W16" s="31">
        <f>(INDEX('Option1 (base case)'!W$105:W$116, MATCH($D16, 'Option1 (base case)'!$G$105:$G$116,0)))*conv_2026*W$7</f>
        <v>-172234.76818115648</v>
      </c>
      <c r="X16" s="31">
        <f>(INDEX('Option1 (base case)'!X$105:X$116, MATCH($D16, 'Option1 (base case)'!$G$105:$G$116,0)))*conv_2026*X$7</f>
        <v>-180846.50659021433</v>
      </c>
      <c r="Y16" s="31">
        <f>(INDEX('Option1 (base case)'!Y$105:Y$116, MATCH($D16, 'Option1 (base case)'!$G$105:$G$116,0)))*conv_2026*Y$7</f>
        <v>-189458.24499927214</v>
      </c>
      <c r="Z16" s="31">
        <f>(INDEX('Option1 (base case)'!Z$105:Z$116, MATCH($D16, 'Option1 (base case)'!$G$105:$G$116,0)))*conv_2026*Z$7</f>
        <v>-198069.98340832995</v>
      </c>
      <c r="AA16" s="31">
        <f>(INDEX('Option1 (base case)'!AA$105:AA$116, MATCH($D16, 'Option1 (base case)'!$G$105:$G$116,0)))*conv_2026*AA$7</f>
        <v>-206681.72181738773</v>
      </c>
      <c r="AB16" s="31">
        <f>(INDEX('Option1 (base case)'!AB$105:AB$116, MATCH($D16, 'Option1 (base case)'!$G$105:$G$116,0)))*conv_2026*AB$7</f>
        <v>-215293.46022644558</v>
      </c>
      <c r="AC16" s="31">
        <f>(INDEX('Option1 (base case)'!AC$105:AC$116, MATCH($D16, 'Option1 (base case)'!$G$105:$G$116,0)))*conv_2026*AC$7</f>
        <v>0</v>
      </c>
      <c r="AD16" s="31">
        <f>(INDEX('Option1 (base case)'!AD$105:AD$116, MATCH($D16, 'Option1 (base case)'!$G$105:$G$116,0)))*conv_2026*AD$7</f>
        <v>0</v>
      </c>
      <c r="AE16" s="31">
        <f>(INDEX('Option1 (base case)'!AE$105:AE$116, MATCH($D16, 'Option1 (base case)'!$G$105:$G$116,0)))*conv_2026*AE$7</f>
        <v>0</v>
      </c>
      <c r="AF16" s="31">
        <f>(INDEX('Option1 (base case)'!AF$105:AF$116, MATCH($D16, 'Option1 (base case)'!$G$105:$G$116,0)))*conv_2026*AF$7</f>
        <v>0</v>
      </c>
      <c r="AG16" s="31">
        <f>(INDEX('Option1 (base case)'!AG$105:AG$116, MATCH($D16, 'Option1 (base case)'!$G$105:$G$116,0)))*conv_2026*AG$7</f>
        <v>0</v>
      </c>
    </row>
    <row r="17" spans="1:35" s="7" customFormat="1" x14ac:dyDescent="0.2">
      <c r="A17" s="256" t="s">
        <v>143</v>
      </c>
      <c r="B17" s="256" t="str">
        <f>'Option1 (base case)'!A110</f>
        <v>sens2</v>
      </c>
      <c r="C17" s="256" t="str">
        <f>'Option1 (base case)'!C110</f>
        <v>Capex 10% lower</v>
      </c>
      <c r="D17" s="256" t="str">
        <f t="shared" si="0"/>
        <v>OPTION 1 (base case)sens2</v>
      </c>
      <c r="E17" s="257"/>
      <c r="F17" s="31">
        <f t="shared" ref="F17:F23" si="1">SUMPRODUCT($H17:$AG17, $H$5:$AG$5)</f>
        <v>-1246235.3852469849</v>
      </c>
      <c r="G17" s="256"/>
      <c r="H17" s="31">
        <f>(INDEX('Option1 (base case)'!H$105:H$116, MATCH($D17, 'Option1 (base case)'!$G$105:$G$116,0)))*conv_2026*H$7</f>
        <v>0</v>
      </c>
      <c r="I17" s="31">
        <f>(INDEX('Option1 (base case)'!I$105:I$116, MATCH($D17, 'Option1 (base case)'!$G$105:$G$116,0)))*conv_2026*I$7</f>
        <v>0</v>
      </c>
      <c r="J17" s="31">
        <f>(INDEX('Option1 (base case)'!J$105:J$116, MATCH($D17, 'Option1 (base case)'!$G$105:$G$116,0)))*conv_2026*J$7</f>
        <v>-11743.279648715215</v>
      </c>
      <c r="K17" s="31">
        <f>(INDEX('Option1 (base case)'!K$105:K$116, MATCH($D17, 'Option1 (base case)'!$G$105:$G$116,0)))*conv_2026*K$7</f>
        <v>-23486.559297430431</v>
      </c>
      <c r="L17" s="31">
        <f>(INDEX('Option1 (base case)'!L$105:L$116, MATCH($D17, 'Option1 (base case)'!$G$105:$G$116,0)))*conv_2026*L$7</f>
        <v>-35229.838946145639</v>
      </c>
      <c r="M17" s="31">
        <f>(INDEX('Option1 (base case)'!M$105:M$116, MATCH($D17, 'Option1 (base case)'!$G$105:$G$116,0)))*conv_2026*M$7</f>
        <v>-46973.118594860862</v>
      </c>
      <c r="N17" s="31">
        <f>(INDEX('Option1 (base case)'!N$105:N$116, MATCH($D17, 'Option1 (base case)'!$G$105:$G$116,0)))*conv_2026*N$7</f>
        <v>-58716.39824357607</v>
      </c>
      <c r="O17" s="31">
        <f>(INDEX('Option1 (base case)'!O$105:O$116, MATCH($D17, 'Option1 (base case)'!$G$105:$G$116,0)))*conv_2026*O$7</f>
        <v>-68111.021962548257</v>
      </c>
      <c r="P17" s="31">
        <f>(INDEX('Option1 (base case)'!P$105:P$116, MATCH($D17, 'Option1 (base case)'!$G$105:$G$116,0)))*conv_2026*P$7</f>
        <v>-77505.645681520415</v>
      </c>
      <c r="Q17" s="31">
        <f>(INDEX('Option1 (base case)'!Q$105:Q$116, MATCH($D17, 'Option1 (base case)'!$G$105:$G$116,0)))*conv_2026*Q$7</f>
        <v>-86900.269400492587</v>
      </c>
      <c r="R17" s="31">
        <f>(INDEX('Option1 (base case)'!R$105:R$116, MATCH($D17, 'Option1 (base case)'!$G$105:$G$116,0)))*conv_2026*R$7</f>
        <v>-96294.893119464759</v>
      </c>
      <c r="S17" s="31">
        <f>(INDEX('Option1 (base case)'!S$105:S$116, MATCH($D17, 'Option1 (base case)'!$G$105:$G$116,0)))*conv_2026*S$7</f>
        <v>-105689.51683843693</v>
      </c>
      <c r="T17" s="31">
        <f>(INDEX('Option1 (base case)'!T$105:T$116, MATCH($D17, 'Option1 (base case)'!$G$105:$G$116,0)))*conv_2026*T$7</f>
        <v>-115084.14055740912</v>
      </c>
      <c r="U17" s="31">
        <f>(INDEX('Option1 (base case)'!U$105:U$116, MATCH($D17, 'Option1 (base case)'!$G$105:$G$116,0)))*conv_2026*U$7</f>
        <v>-124478.76427638128</v>
      </c>
      <c r="V17" s="31">
        <f>(INDEX('Option1 (base case)'!V$105:V$116, MATCH($D17, 'Option1 (base case)'!$G$105:$G$116,0)))*conv_2026*V$7</f>
        <v>-133873.38799535343</v>
      </c>
      <c r="W17" s="31">
        <f>(INDEX('Option1 (base case)'!W$105:W$116, MATCH($D17, 'Option1 (base case)'!$G$105:$G$116,0)))*conv_2026*W$7</f>
        <v>-140919.35578458256</v>
      </c>
      <c r="X17" s="31">
        <f>(INDEX('Option1 (base case)'!X$105:X$116, MATCH($D17, 'Option1 (base case)'!$G$105:$G$116,0)))*conv_2026*X$7</f>
        <v>-147965.32357381171</v>
      </c>
      <c r="Y17" s="31">
        <f>(INDEX('Option1 (base case)'!Y$105:Y$116, MATCH($D17, 'Option1 (base case)'!$G$105:$G$116,0)))*conv_2026*Y$7</f>
        <v>-155011.29136304083</v>
      </c>
      <c r="Z17" s="31">
        <f>(INDEX('Option1 (base case)'!Z$105:Z$116, MATCH($D17, 'Option1 (base case)'!$G$105:$G$116,0)))*conv_2026*Z$7</f>
        <v>-162057.25915226995</v>
      </c>
      <c r="AA17" s="31">
        <f>(INDEX('Option1 (base case)'!AA$105:AA$116, MATCH($D17, 'Option1 (base case)'!$G$105:$G$116,0)))*conv_2026*AA$7</f>
        <v>-169103.22694149907</v>
      </c>
      <c r="AB17" s="31">
        <f>(INDEX('Option1 (base case)'!AB$105:AB$116, MATCH($D17, 'Option1 (base case)'!$G$105:$G$116,0)))*conv_2026*AB$7</f>
        <v>-176149.19473072822</v>
      </c>
      <c r="AC17" s="31">
        <f>(INDEX('Option1 (base case)'!AC$105:AC$116, MATCH($D17, 'Option1 (base case)'!$G$105:$G$116,0)))*conv_2026*AC$7</f>
        <v>0</v>
      </c>
      <c r="AD17" s="31">
        <f>(INDEX('Option1 (base case)'!AD$105:AD$116, MATCH($D17, 'Option1 (base case)'!$G$105:$G$116,0)))*conv_2026*AD$7</f>
        <v>0</v>
      </c>
      <c r="AE17" s="31">
        <f>(INDEX('Option1 (base case)'!AE$105:AE$116, MATCH($D17, 'Option1 (base case)'!$G$105:$G$116,0)))*conv_2026*AE$7</f>
        <v>0</v>
      </c>
      <c r="AF17" s="31">
        <f>(INDEX('Option1 (base case)'!AF$105:AF$116, MATCH($D17, 'Option1 (base case)'!$G$105:$G$116,0)))*conv_2026*AF$7</f>
        <v>0</v>
      </c>
      <c r="AG17" s="31">
        <f>(INDEX('Option1 (base case)'!AG$105:AG$116, MATCH($D17, 'Option1 (base case)'!$G$105:$G$116,0)))*conv_2026*AG$7</f>
        <v>0</v>
      </c>
      <c r="AH17" s="8"/>
      <c r="AI17" s="8"/>
    </row>
    <row r="18" spans="1:35" s="7" customFormat="1" x14ac:dyDescent="0.2">
      <c r="A18" s="256" t="s">
        <v>143</v>
      </c>
      <c r="B18" s="256" t="str">
        <f>'Option1 (base case)'!A111</f>
        <v>sens3</v>
      </c>
      <c r="C18" s="256" t="str">
        <f>'Option1 (base case)'!C111</f>
        <v>Total benefits 10% higher</v>
      </c>
      <c r="D18" s="256" t="str">
        <f t="shared" si="0"/>
        <v>OPTION 1 (base case)sens3</v>
      </c>
      <c r="E18" s="257"/>
      <c r="F18" s="31">
        <f t="shared" si="1"/>
        <v>-1384705.9836077611</v>
      </c>
      <c r="G18" s="8"/>
      <c r="H18" s="31">
        <f>(INDEX('Option1 (base case)'!H$105:H$116, MATCH($D18, 'Option1 (base case)'!$G$105:$G$116,0)))*conv_2026*H$7</f>
        <v>0</v>
      </c>
      <c r="I18" s="31">
        <f>(INDEX('Option1 (base case)'!I$105:I$116, MATCH($D18, 'Option1 (base case)'!$G$105:$G$116,0)))*conv_2026*I$7</f>
        <v>0</v>
      </c>
      <c r="J18" s="31">
        <f>(INDEX('Option1 (base case)'!J$105:J$116, MATCH($D18, 'Option1 (base case)'!$G$105:$G$116,0)))*conv_2026*J$7</f>
        <v>-13048.088498572461</v>
      </c>
      <c r="K18" s="31">
        <f>(INDEX('Option1 (base case)'!K$105:K$116, MATCH($D18, 'Option1 (base case)'!$G$105:$G$116,0)))*conv_2026*K$7</f>
        <v>-26096.176997144921</v>
      </c>
      <c r="L18" s="31">
        <f>(INDEX('Option1 (base case)'!L$105:L$116, MATCH($D18, 'Option1 (base case)'!$G$105:$G$116,0)))*conv_2026*L$7</f>
        <v>-39144.26549571738</v>
      </c>
      <c r="M18" s="31">
        <f>(INDEX('Option1 (base case)'!M$105:M$116, MATCH($D18, 'Option1 (base case)'!$G$105:$G$116,0)))*conv_2026*M$7</f>
        <v>-52192.353994289842</v>
      </c>
      <c r="N18" s="31">
        <f>(INDEX('Option1 (base case)'!N$105:N$116, MATCH($D18, 'Option1 (base case)'!$G$105:$G$116,0)))*conv_2026*N$7</f>
        <v>-65240.442492862305</v>
      </c>
      <c r="O18" s="31">
        <f>(INDEX('Option1 (base case)'!O$105:O$116, MATCH($D18, 'Option1 (base case)'!$G$105:$G$116,0)))*conv_2026*O$7</f>
        <v>-75678.913291720281</v>
      </c>
      <c r="P18" s="31">
        <f>(INDEX('Option1 (base case)'!P$105:P$116, MATCH($D18, 'Option1 (base case)'!$G$105:$G$116,0)))*conv_2026*P$7</f>
        <v>-86117.384090578242</v>
      </c>
      <c r="Q18" s="31">
        <f>(INDEX('Option1 (base case)'!Q$105:Q$116, MATCH($D18, 'Option1 (base case)'!$G$105:$G$116,0)))*conv_2026*Q$7</f>
        <v>-96555.854889436203</v>
      </c>
      <c r="R18" s="31">
        <f>(INDEX('Option1 (base case)'!R$105:R$116, MATCH($D18, 'Option1 (base case)'!$G$105:$G$116,0)))*conv_2026*R$7</f>
        <v>-106994.32568829416</v>
      </c>
      <c r="S18" s="31">
        <f>(INDEX('Option1 (base case)'!S$105:S$116, MATCH($D18, 'Option1 (base case)'!$G$105:$G$116,0)))*conv_2026*S$7</f>
        <v>-117432.79648715214</v>
      </c>
      <c r="T18" s="31">
        <f>(INDEX('Option1 (base case)'!T$105:T$116, MATCH($D18, 'Option1 (base case)'!$G$105:$G$116,0)))*conv_2026*T$7</f>
        <v>-127871.26728601013</v>
      </c>
      <c r="U18" s="31">
        <f>(INDEX('Option1 (base case)'!U$105:U$116, MATCH($D18, 'Option1 (base case)'!$G$105:$G$116,0)))*conv_2026*U$7</f>
        <v>-138309.73808486809</v>
      </c>
      <c r="V18" s="31">
        <f>(INDEX('Option1 (base case)'!V$105:V$116, MATCH($D18, 'Option1 (base case)'!$G$105:$G$116,0)))*conv_2026*V$7</f>
        <v>-148748.20888372607</v>
      </c>
      <c r="W18" s="31">
        <f>(INDEX('Option1 (base case)'!W$105:W$116, MATCH($D18, 'Option1 (base case)'!$G$105:$G$116,0)))*conv_2026*W$7</f>
        <v>-156577.06198286952</v>
      </c>
      <c r="X18" s="31">
        <f>(INDEX('Option1 (base case)'!X$105:X$116, MATCH($D18, 'Option1 (base case)'!$G$105:$G$116,0)))*conv_2026*X$7</f>
        <v>-164405.91508201303</v>
      </c>
      <c r="Y18" s="31">
        <f>(INDEX('Option1 (base case)'!Y$105:Y$116, MATCH($D18, 'Option1 (base case)'!$G$105:$G$116,0)))*conv_2026*Y$7</f>
        <v>-172234.76818115648</v>
      </c>
      <c r="Z18" s="31">
        <f>(INDEX('Option1 (base case)'!Z$105:Z$116, MATCH($D18, 'Option1 (base case)'!$G$105:$G$116,0)))*conv_2026*Z$7</f>
        <v>-180063.62128029994</v>
      </c>
      <c r="AA18" s="31">
        <f>(INDEX('Option1 (base case)'!AA$105:AA$116, MATCH($D18, 'Option1 (base case)'!$G$105:$G$116,0)))*conv_2026*AA$7</f>
        <v>-187892.47437944342</v>
      </c>
      <c r="AB18" s="31">
        <f>(INDEX('Option1 (base case)'!AB$105:AB$116, MATCH($D18, 'Option1 (base case)'!$G$105:$G$116,0)))*conv_2026*AB$7</f>
        <v>-195721.3274785869</v>
      </c>
      <c r="AC18" s="31">
        <f>(INDEX('Option1 (base case)'!AC$105:AC$116, MATCH($D18, 'Option1 (base case)'!$G$105:$G$116,0)))*conv_2026*AC$7</f>
        <v>0</v>
      </c>
      <c r="AD18" s="31">
        <f>(INDEX('Option1 (base case)'!AD$105:AD$116, MATCH($D18, 'Option1 (base case)'!$G$105:$G$116,0)))*conv_2026*AD$7</f>
        <v>0</v>
      </c>
      <c r="AE18" s="31">
        <f>(INDEX('Option1 (base case)'!AE$105:AE$116, MATCH($D18, 'Option1 (base case)'!$G$105:$G$116,0)))*conv_2026*AE$7</f>
        <v>0</v>
      </c>
      <c r="AF18" s="31">
        <f>(INDEX('Option1 (base case)'!AF$105:AF$116, MATCH($D18, 'Option1 (base case)'!$G$105:$G$116,0)))*conv_2026*AF$7</f>
        <v>0</v>
      </c>
      <c r="AG18" s="31">
        <f>(INDEX('Option1 (base case)'!AG$105:AG$116, MATCH($D18, 'Option1 (base case)'!$G$105:$G$116,0)))*conv_2026*AG$7</f>
        <v>0</v>
      </c>
      <c r="AH18" s="8"/>
      <c r="AI18" s="8"/>
    </row>
    <row r="19" spans="1:35" s="7" customFormat="1" x14ac:dyDescent="0.2">
      <c r="A19" s="256" t="s">
        <v>143</v>
      </c>
      <c r="B19" s="256" t="str">
        <f>'Option1 (base case)'!A112</f>
        <v>sens4</v>
      </c>
      <c r="C19" s="256" t="str">
        <f>'Option1 (base case)'!C112</f>
        <v>Total benefits 10% lower</v>
      </c>
      <c r="D19" s="256" t="str">
        <f t="shared" si="0"/>
        <v>OPTION 1 (base case)sens4</v>
      </c>
      <c r="E19" s="257"/>
      <c r="F19" s="31">
        <f t="shared" si="1"/>
        <v>-1384705.9836077611</v>
      </c>
      <c r="G19" s="8"/>
      <c r="H19" s="31">
        <f>(INDEX('Option1 (base case)'!H$105:H$116, MATCH($D19, 'Option1 (base case)'!$G$105:$G$116,0)))*conv_2026*H$7</f>
        <v>0</v>
      </c>
      <c r="I19" s="31">
        <f>(INDEX('Option1 (base case)'!I$105:I$116, MATCH($D19, 'Option1 (base case)'!$G$105:$G$116,0)))*conv_2026*I$7</f>
        <v>0</v>
      </c>
      <c r="J19" s="31">
        <f>(INDEX('Option1 (base case)'!J$105:J$116, MATCH($D19, 'Option1 (base case)'!$G$105:$G$116,0)))*conv_2026*J$7</f>
        <v>-13048.088498572461</v>
      </c>
      <c r="K19" s="31">
        <f>(INDEX('Option1 (base case)'!K$105:K$116, MATCH($D19, 'Option1 (base case)'!$G$105:$G$116,0)))*conv_2026*K$7</f>
        <v>-26096.176997144921</v>
      </c>
      <c r="L19" s="31">
        <f>(INDEX('Option1 (base case)'!L$105:L$116, MATCH($D19, 'Option1 (base case)'!$G$105:$G$116,0)))*conv_2026*L$7</f>
        <v>-39144.26549571738</v>
      </c>
      <c r="M19" s="31">
        <f>(INDEX('Option1 (base case)'!M$105:M$116, MATCH($D19, 'Option1 (base case)'!$G$105:$G$116,0)))*conv_2026*M$7</f>
        <v>-52192.353994289842</v>
      </c>
      <c r="N19" s="31">
        <f>(INDEX('Option1 (base case)'!N$105:N$116, MATCH($D19, 'Option1 (base case)'!$G$105:$G$116,0)))*conv_2026*N$7</f>
        <v>-65240.442492862305</v>
      </c>
      <c r="O19" s="31">
        <f>(INDEX('Option1 (base case)'!O$105:O$116, MATCH($D19, 'Option1 (base case)'!$G$105:$G$116,0)))*conv_2026*O$7</f>
        <v>-75678.913291720281</v>
      </c>
      <c r="P19" s="31">
        <f>(INDEX('Option1 (base case)'!P$105:P$116, MATCH($D19, 'Option1 (base case)'!$G$105:$G$116,0)))*conv_2026*P$7</f>
        <v>-86117.384090578242</v>
      </c>
      <c r="Q19" s="31">
        <f>(INDEX('Option1 (base case)'!Q$105:Q$116, MATCH($D19, 'Option1 (base case)'!$G$105:$G$116,0)))*conv_2026*Q$7</f>
        <v>-96555.854889436203</v>
      </c>
      <c r="R19" s="31">
        <f>(INDEX('Option1 (base case)'!R$105:R$116, MATCH($D19, 'Option1 (base case)'!$G$105:$G$116,0)))*conv_2026*R$7</f>
        <v>-106994.32568829416</v>
      </c>
      <c r="S19" s="31">
        <f>(INDEX('Option1 (base case)'!S$105:S$116, MATCH($D19, 'Option1 (base case)'!$G$105:$G$116,0)))*conv_2026*S$7</f>
        <v>-117432.79648715214</v>
      </c>
      <c r="T19" s="31">
        <f>(INDEX('Option1 (base case)'!T$105:T$116, MATCH($D19, 'Option1 (base case)'!$G$105:$G$116,0)))*conv_2026*T$7</f>
        <v>-127871.26728601013</v>
      </c>
      <c r="U19" s="31">
        <f>(INDEX('Option1 (base case)'!U$105:U$116, MATCH($D19, 'Option1 (base case)'!$G$105:$G$116,0)))*conv_2026*U$7</f>
        <v>-138309.73808486809</v>
      </c>
      <c r="V19" s="31">
        <f>(INDEX('Option1 (base case)'!V$105:V$116, MATCH($D19, 'Option1 (base case)'!$G$105:$G$116,0)))*conv_2026*V$7</f>
        <v>-148748.20888372607</v>
      </c>
      <c r="W19" s="31">
        <f>(INDEX('Option1 (base case)'!W$105:W$116, MATCH($D19, 'Option1 (base case)'!$G$105:$G$116,0)))*conv_2026*W$7</f>
        <v>-156577.06198286952</v>
      </c>
      <c r="X19" s="31">
        <f>(INDEX('Option1 (base case)'!X$105:X$116, MATCH($D19, 'Option1 (base case)'!$G$105:$G$116,0)))*conv_2026*X$7</f>
        <v>-164405.91508201303</v>
      </c>
      <c r="Y19" s="31">
        <f>(INDEX('Option1 (base case)'!Y$105:Y$116, MATCH($D19, 'Option1 (base case)'!$G$105:$G$116,0)))*conv_2026*Y$7</f>
        <v>-172234.76818115648</v>
      </c>
      <c r="Z19" s="31">
        <f>(INDEX('Option1 (base case)'!Z$105:Z$116, MATCH($D19, 'Option1 (base case)'!$G$105:$G$116,0)))*conv_2026*Z$7</f>
        <v>-180063.62128029994</v>
      </c>
      <c r="AA19" s="31">
        <f>(INDEX('Option1 (base case)'!AA$105:AA$116, MATCH($D19, 'Option1 (base case)'!$G$105:$G$116,0)))*conv_2026*AA$7</f>
        <v>-187892.47437944342</v>
      </c>
      <c r="AB19" s="31">
        <f>(INDEX('Option1 (base case)'!AB$105:AB$116, MATCH($D19, 'Option1 (base case)'!$G$105:$G$116,0)))*conv_2026*AB$7</f>
        <v>-195721.3274785869</v>
      </c>
      <c r="AC19" s="31">
        <f>(INDEX('Option1 (base case)'!AC$105:AC$116, MATCH($D19, 'Option1 (base case)'!$G$105:$G$116,0)))*conv_2026*AC$7</f>
        <v>0</v>
      </c>
      <c r="AD19" s="31">
        <f>(INDEX('Option1 (base case)'!AD$105:AD$116, MATCH($D19, 'Option1 (base case)'!$G$105:$G$116,0)))*conv_2026*AD$7</f>
        <v>0</v>
      </c>
      <c r="AE19" s="31">
        <f>(INDEX('Option1 (base case)'!AE$105:AE$116, MATCH($D19, 'Option1 (base case)'!$G$105:$G$116,0)))*conv_2026*AE$7</f>
        <v>0</v>
      </c>
      <c r="AF19" s="31">
        <f>(INDEX('Option1 (base case)'!AF$105:AF$116, MATCH($D19, 'Option1 (base case)'!$G$105:$G$116,0)))*conv_2026*AF$7</f>
        <v>0</v>
      </c>
      <c r="AG19" s="31">
        <f>(INDEX('Option1 (base case)'!AG$105:AG$116, MATCH($D19, 'Option1 (base case)'!$G$105:$G$116,0)))*conv_2026*AG$7</f>
        <v>0</v>
      </c>
      <c r="AH19" s="8"/>
      <c r="AI19" s="8"/>
    </row>
    <row r="20" spans="1:35" s="7" customFormat="1" x14ac:dyDescent="0.2">
      <c r="A20" s="256" t="s">
        <v>143</v>
      </c>
      <c r="B20" s="256" t="str">
        <f>'Option1 (base case)'!A113</f>
        <v>sens5</v>
      </c>
      <c r="C20" s="256" t="str">
        <f>'Option1 (base case)'!C113</f>
        <v>Capex 10% higher &amp; Total benefits 10% lower</v>
      </c>
      <c r="D20" s="256" t="str">
        <f t="shared" si="0"/>
        <v>OPTION 1 (base case)sens5</v>
      </c>
      <c r="E20" s="257"/>
      <c r="F20" s="31">
        <f t="shared" si="1"/>
        <v>-1523176.5819685371</v>
      </c>
      <c r="G20" s="8"/>
      <c r="H20" s="31">
        <f>(INDEX('Option1 (base case)'!H$105:H$116, MATCH($D20, 'Option1 (base case)'!$G$105:$G$116,0)))*conv_2026*H$7</f>
        <v>0</v>
      </c>
      <c r="I20" s="31">
        <f>(INDEX('Option1 (base case)'!I$105:I$116, MATCH($D20, 'Option1 (base case)'!$G$105:$G$116,0)))*conv_2026*I$7</f>
        <v>0</v>
      </c>
      <c r="J20" s="31">
        <f>(INDEX('Option1 (base case)'!J$105:J$116, MATCH($D20, 'Option1 (base case)'!$G$105:$G$116,0)))*conv_2026*J$7</f>
        <v>-14352.897348429706</v>
      </c>
      <c r="K20" s="31">
        <f>(INDEX('Option1 (base case)'!K$105:K$116, MATCH($D20, 'Option1 (base case)'!$G$105:$G$116,0)))*conv_2026*K$7</f>
        <v>-28705.794696859411</v>
      </c>
      <c r="L20" s="31">
        <f>(INDEX('Option1 (base case)'!L$105:L$116, MATCH($D20, 'Option1 (base case)'!$G$105:$G$116,0)))*conv_2026*L$7</f>
        <v>-43058.692045289121</v>
      </c>
      <c r="M20" s="31">
        <f>(INDEX('Option1 (base case)'!M$105:M$116, MATCH($D20, 'Option1 (base case)'!$G$105:$G$116,0)))*conv_2026*M$7</f>
        <v>-57411.589393718823</v>
      </c>
      <c r="N20" s="31">
        <f>(INDEX('Option1 (base case)'!N$105:N$116, MATCH($D20, 'Option1 (base case)'!$G$105:$G$116,0)))*conv_2026*N$7</f>
        <v>-71764.48674214854</v>
      </c>
      <c r="O20" s="31">
        <f>(INDEX('Option1 (base case)'!O$105:O$116, MATCH($D20, 'Option1 (base case)'!$G$105:$G$116,0)))*conv_2026*O$7</f>
        <v>-83246.804620892304</v>
      </c>
      <c r="P20" s="31">
        <f>(INDEX('Option1 (base case)'!P$105:P$116, MATCH($D20, 'Option1 (base case)'!$G$105:$G$116,0)))*conv_2026*P$7</f>
        <v>-94729.122499636069</v>
      </c>
      <c r="Q20" s="31">
        <f>(INDEX('Option1 (base case)'!Q$105:Q$116, MATCH($D20, 'Option1 (base case)'!$G$105:$G$116,0)))*conv_2026*Q$7</f>
        <v>-106211.44037837982</v>
      </c>
      <c r="R20" s="31">
        <f>(INDEX('Option1 (base case)'!R$105:R$116, MATCH($D20, 'Option1 (base case)'!$G$105:$G$116,0)))*conv_2026*R$7</f>
        <v>-117693.75825712358</v>
      </c>
      <c r="S20" s="31">
        <f>(INDEX('Option1 (base case)'!S$105:S$116, MATCH($D20, 'Option1 (base case)'!$G$105:$G$116,0)))*conv_2026*S$7</f>
        <v>-129176.07613586736</v>
      </c>
      <c r="T20" s="31">
        <f>(INDEX('Option1 (base case)'!T$105:T$116, MATCH($D20, 'Option1 (base case)'!$G$105:$G$116,0)))*conv_2026*T$7</f>
        <v>-140658.39401461114</v>
      </c>
      <c r="U20" s="31">
        <f>(INDEX('Option1 (base case)'!U$105:U$116, MATCH($D20, 'Option1 (base case)'!$G$105:$G$116,0)))*conv_2026*U$7</f>
        <v>-152140.71189335489</v>
      </c>
      <c r="V20" s="31">
        <f>(INDEX('Option1 (base case)'!V$105:V$116, MATCH($D20, 'Option1 (base case)'!$G$105:$G$116,0)))*conv_2026*V$7</f>
        <v>-163623.02977209867</v>
      </c>
      <c r="W20" s="31">
        <f>(INDEX('Option1 (base case)'!W$105:W$116, MATCH($D20, 'Option1 (base case)'!$G$105:$G$116,0)))*conv_2026*W$7</f>
        <v>-172234.76818115648</v>
      </c>
      <c r="X20" s="31">
        <f>(INDEX('Option1 (base case)'!X$105:X$116, MATCH($D20, 'Option1 (base case)'!$G$105:$G$116,0)))*conv_2026*X$7</f>
        <v>-180846.50659021433</v>
      </c>
      <c r="Y20" s="31">
        <f>(INDEX('Option1 (base case)'!Y$105:Y$116, MATCH($D20, 'Option1 (base case)'!$G$105:$G$116,0)))*conv_2026*Y$7</f>
        <v>-189458.24499927214</v>
      </c>
      <c r="Z20" s="31">
        <f>(INDEX('Option1 (base case)'!Z$105:Z$116, MATCH($D20, 'Option1 (base case)'!$G$105:$G$116,0)))*conv_2026*Z$7</f>
        <v>-198069.98340832995</v>
      </c>
      <c r="AA20" s="31">
        <f>(INDEX('Option1 (base case)'!AA$105:AA$116, MATCH($D20, 'Option1 (base case)'!$G$105:$G$116,0)))*conv_2026*AA$7</f>
        <v>-206681.72181738773</v>
      </c>
      <c r="AB20" s="31">
        <f>(INDEX('Option1 (base case)'!AB$105:AB$116, MATCH($D20, 'Option1 (base case)'!$G$105:$G$116,0)))*conv_2026*AB$7</f>
        <v>-215293.46022644558</v>
      </c>
      <c r="AC20" s="31">
        <f>(INDEX('Option1 (base case)'!AC$105:AC$116, MATCH($D20, 'Option1 (base case)'!$G$105:$G$116,0)))*conv_2026*AC$7</f>
        <v>0</v>
      </c>
      <c r="AD20" s="31">
        <f>(INDEX('Option1 (base case)'!AD$105:AD$116, MATCH($D20, 'Option1 (base case)'!$G$105:$G$116,0)))*conv_2026*AD$7</f>
        <v>0</v>
      </c>
      <c r="AE20" s="31">
        <f>(INDEX('Option1 (base case)'!AE$105:AE$116, MATCH($D20, 'Option1 (base case)'!$G$105:$G$116,0)))*conv_2026*AE$7</f>
        <v>0</v>
      </c>
      <c r="AF20" s="31">
        <f>(INDEX('Option1 (base case)'!AF$105:AF$116, MATCH($D20, 'Option1 (base case)'!$G$105:$G$116,0)))*conv_2026*AF$7</f>
        <v>0</v>
      </c>
      <c r="AG20" s="31">
        <f>(INDEX('Option1 (base case)'!AG$105:AG$116, MATCH($D20, 'Option1 (base case)'!$G$105:$G$116,0)))*conv_2026*AG$7</f>
        <v>0</v>
      </c>
      <c r="AH20" s="8"/>
      <c r="AI20" s="8"/>
    </row>
    <row r="21" spans="1:35" s="7" customFormat="1" x14ac:dyDescent="0.2">
      <c r="A21" s="256" t="s">
        <v>143</v>
      </c>
      <c r="B21" s="256" t="str">
        <f>'Option1 (base case)'!A114</f>
        <v>sens</v>
      </c>
      <c r="C21" s="256">
        <f>'Option1 (base case)'!C114</f>
        <v>0</v>
      </c>
      <c r="D21" s="256" t="str">
        <f t="shared" si="0"/>
        <v>OPTION 1 (base case)sens</v>
      </c>
      <c r="E21" s="257"/>
      <c r="F21" s="31">
        <f t="shared" si="1"/>
        <v>-1384705.9836077611</v>
      </c>
      <c r="G21" s="8"/>
      <c r="H21" s="31">
        <f>(INDEX('Option1 (base case)'!H$105:H$116, MATCH($D21, 'Option1 (base case)'!$G$105:$G$116,0)))*conv_2026*H$7</f>
        <v>0</v>
      </c>
      <c r="I21" s="31">
        <f>(INDEX('Option1 (base case)'!I$105:I$116, MATCH($D21, 'Option1 (base case)'!$G$105:$G$116,0)))*conv_2026*I$7</f>
        <v>0</v>
      </c>
      <c r="J21" s="31">
        <f>(INDEX('Option1 (base case)'!J$105:J$116, MATCH($D21, 'Option1 (base case)'!$G$105:$G$116,0)))*conv_2026*J$7</f>
        <v>-13048.088498572461</v>
      </c>
      <c r="K21" s="31">
        <f>(INDEX('Option1 (base case)'!K$105:K$116, MATCH($D21, 'Option1 (base case)'!$G$105:$G$116,0)))*conv_2026*K$7</f>
        <v>-26096.176997144921</v>
      </c>
      <c r="L21" s="31">
        <f>(INDEX('Option1 (base case)'!L$105:L$116, MATCH($D21, 'Option1 (base case)'!$G$105:$G$116,0)))*conv_2026*L$7</f>
        <v>-39144.26549571738</v>
      </c>
      <c r="M21" s="31">
        <f>(INDEX('Option1 (base case)'!M$105:M$116, MATCH($D21, 'Option1 (base case)'!$G$105:$G$116,0)))*conv_2026*M$7</f>
        <v>-52192.353994289842</v>
      </c>
      <c r="N21" s="31">
        <f>(INDEX('Option1 (base case)'!N$105:N$116, MATCH($D21, 'Option1 (base case)'!$G$105:$G$116,0)))*conv_2026*N$7</f>
        <v>-65240.442492862305</v>
      </c>
      <c r="O21" s="31">
        <f>(INDEX('Option1 (base case)'!O$105:O$116, MATCH($D21, 'Option1 (base case)'!$G$105:$G$116,0)))*conv_2026*O$7</f>
        <v>-75678.913291720281</v>
      </c>
      <c r="P21" s="31">
        <f>(INDEX('Option1 (base case)'!P$105:P$116, MATCH($D21, 'Option1 (base case)'!$G$105:$G$116,0)))*conv_2026*P$7</f>
        <v>-86117.384090578242</v>
      </c>
      <c r="Q21" s="31">
        <f>(INDEX('Option1 (base case)'!Q$105:Q$116, MATCH($D21, 'Option1 (base case)'!$G$105:$G$116,0)))*conv_2026*Q$7</f>
        <v>-96555.854889436203</v>
      </c>
      <c r="R21" s="31">
        <f>(INDEX('Option1 (base case)'!R$105:R$116, MATCH($D21, 'Option1 (base case)'!$G$105:$G$116,0)))*conv_2026*R$7</f>
        <v>-106994.32568829416</v>
      </c>
      <c r="S21" s="31">
        <f>(INDEX('Option1 (base case)'!S$105:S$116, MATCH($D21, 'Option1 (base case)'!$G$105:$G$116,0)))*conv_2026*S$7</f>
        <v>-117432.79648715214</v>
      </c>
      <c r="T21" s="31">
        <f>(INDEX('Option1 (base case)'!T$105:T$116, MATCH($D21, 'Option1 (base case)'!$G$105:$G$116,0)))*conv_2026*T$7</f>
        <v>-127871.26728601013</v>
      </c>
      <c r="U21" s="31">
        <f>(INDEX('Option1 (base case)'!U$105:U$116, MATCH($D21, 'Option1 (base case)'!$G$105:$G$116,0)))*conv_2026*U$7</f>
        <v>-138309.73808486809</v>
      </c>
      <c r="V21" s="31">
        <f>(INDEX('Option1 (base case)'!V$105:V$116, MATCH($D21, 'Option1 (base case)'!$G$105:$G$116,0)))*conv_2026*V$7</f>
        <v>-148748.20888372607</v>
      </c>
      <c r="W21" s="31">
        <f>(INDEX('Option1 (base case)'!W$105:W$116, MATCH($D21, 'Option1 (base case)'!$G$105:$G$116,0)))*conv_2026*W$7</f>
        <v>-156577.06198286952</v>
      </c>
      <c r="X21" s="31">
        <f>(INDEX('Option1 (base case)'!X$105:X$116, MATCH($D21, 'Option1 (base case)'!$G$105:$G$116,0)))*conv_2026*X$7</f>
        <v>-164405.91508201303</v>
      </c>
      <c r="Y21" s="31">
        <f>(INDEX('Option1 (base case)'!Y$105:Y$116, MATCH($D21, 'Option1 (base case)'!$G$105:$G$116,0)))*conv_2026*Y$7</f>
        <v>-172234.76818115648</v>
      </c>
      <c r="Z21" s="31">
        <f>(INDEX('Option1 (base case)'!Z$105:Z$116, MATCH($D21, 'Option1 (base case)'!$G$105:$G$116,0)))*conv_2026*Z$7</f>
        <v>-180063.62128029994</v>
      </c>
      <c r="AA21" s="31">
        <f>(INDEX('Option1 (base case)'!AA$105:AA$116, MATCH($D21, 'Option1 (base case)'!$G$105:$G$116,0)))*conv_2026*AA$7</f>
        <v>-187892.47437944342</v>
      </c>
      <c r="AB21" s="31">
        <f>(INDEX('Option1 (base case)'!AB$105:AB$116, MATCH($D21, 'Option1 (base case)'!$G$105:$G$116,0)))*conv_2026*AB$7</f>
        <v>-195721.3274785869</v>
      </c>
      <c r="AC21" s="31">
        <f>(INDEX('Option1 (base case)'!AC$105:AC$116, MATCH($D21, 'Option1 (base case)'!$G$105:$G$116,0)))*conv_2026*AC$7</f>
        <v>0</v>
      </c>
      <c r="AD21" s="31">
        <f>(INDEX('Option1 (base case)'!AD$105:AD$116, MATCH($D21, 'Option1 (base case)'!$G$105:$G$116,0)))*conv_2026*AD$7</f>
        <v>0</v>
      </c>
      <c r="AE21" s="31">
        <f>(INDEX('Option1 (base case)'!AE$105:AE$116, MATCH($D21, 'Option1 (base case)'!$G$105:$G$116,0)))*conv_2026*AE$7</f>
        <v>0</v>
      </c>
      <c r="AF21" s="31">
        <f>(INDEX('Option1 (base case)'!AF$105:AF$116, MATCH($D21, 'Option1 (base case)'!$G$105:$G$116,0)))*conv_2026*AF$7</f>
        <v>0</v>
      </c>
      <c r="AG21" s="31">
        <f>(INDEX('Option1 (base case)'!AG$105:AG$116, MATCH($D21, 'Option1 (base case)'!$G$105:$G$116,0)))*conv_2026*AG$7</f>
        <v>0</v>
      </c>
      <c r="AH21" s="8"/>
      <c r="AI21" s="8"/>
    </row>
    <row r="22" spans="1:35" s="7" customFormat="1" x14ac:dyDescent="0.2">
      <c r="A22" s="256" t="s">
        <v>143</v>
      </c>
      <c r="B22" s="256" t="str">
        <f>'Option1 (base case)'!A115</f>
        <v>sens</v>
      </c>
      <c r="C22" s="256">
        <f>'Option1 (base case)'!C115</f>
        <v>0</v>
      </c>
      <c r="D22" s="256" t="str">
        <f t="shared" si="0"/>
        <v>OPTION 1 (base case)sens</v>
      </c>
      <c r="E22" s="257"/>
      <c r="F22" s="31">
        <f t="shared" si="1"/>
        <v>-1384705.9836077611</v>
      </c>
      <c r="G22" s="8"/>
      <c r="H22" s="31">
        <f>(INDEX('Option1 (base case)'!H$105:H$116, MATCH($D22, 'Option1 (base case)'!$G$105:$G$116,0)))*conv_2026*H$7</f>
        <v>0</v>
      </c>
      <c r="I22" s="31">
        <f>(INDEX('Option1 (base case)'!I$105:I$116, MATCH($D22, 'Option1 (base case)'!$G$105:$G$116,0)))*conv_2026*I$7</f>
        <v>0</v>
      </c>
      <c r="J22" s="31">
        <f>(INDEX('Option1 (base case)'!J$105:J$116, MATCH($D22, 'Option1 (base case)'!$G$105:$G$116,0)))*conv_2026*J$7</f>
        <v>-13048.088498572461</v>
      </c>
      <c r="K22" s="31">
        <f>(INDEX('Option1 (base case)'!K$105:K$116, MATCH($D22, 'Option1 (base case)'!$G$105:$G$116,0)))*conv_2026*K$7</f>
        <v>-26096.176997144921</v>
      </c>
      <c r="L22" s="31">
        <f>(INDEX('Option1 (base case)'!L$105:L$116, MATCH($D22, 'Option1 (base case)'!$G$105:$G$116,0)))*conv_2026*L$7</f>
        <v>-39144.26549571738</v>
      </c>
      <c r="M22" s="31">
        <f>(INDEX('Option1 (base case)'!M$105:M$116, MATCH($D22, 'Option1 (base case)'!$G$105:$G$116,0)))*conv_2026*M$7</f>
        <v>-52192.353994289842</v>
      </c>
      <c r="N22" s="31">
        <f>(INDEX('Option1 (base case)'!N$105:N$116, MATCH($D22, 'Option1 (base case)'!$G$105:$G$116,0)))*conv_2026*N$7</f>
        <v>-65240.442492862305</v>
      </c>
      <c r="O22" s="31">
        <f>(INDEX('Option1 (base case)'!O$105:O$116, MATCH($D22, 'Option1 (base case)'!$G$105:$G$116,0)))*conv_2026*O$7</f>
        <v>-75678.913291720281</v>
      </c>
      <c r="P22" s="31">
        <f>(INDEX('Option1 (base case)'!P$105:P$116, MATCH($D22, 'Option1 (base case)'!$G$105:$G$116,0)))*conv_2026*P$7</f>
        <v>-86117.384090578242</v>
      </c>
      <c r="Q22" s="31">
        <f>(INDEX('Option1 (base case)'!Q$105:Q$116, MATCH($D22, 'Option1 (base case)'!$G$105:$G$116,0)))*conv_2026*Q$7</f>
        <v>-96555.854889436203</v>
      </c>
      <c r="R22" s="31">
        <f>(INDEX('Option1 (base case)'!R$105:R$116, MATCH($D22, 'Option1 (base case)'!$G$105:$G$116,0)))*conv_2026*R$7</f>
        <v>-106994.32568829416</v>
      </c>
      <c r="S22" s="31">
        <f>(INDEX('Option1 (base case)'!S$105:S$116, MATCH($D22, 'Option1 (base case)'!$G$105:$G$116,0)))*conv_2026*S$7</f>
        <v>-117432.79648715214</v>
      </c>
      <c r="T22" s="31">
        <f>(INDEX('Option1 (base case)'!T$105:T$116, MATCH($D22, 'Option1 (base case)'!$G$105:$G$116,0)))*conv_2026*T$7</f>
        <v>-127871.26728601013</v>
      </c>
      <c r="U22" s="31">
        <f>(INDEX('Option1 (base case)'!U$105:U$116, MATCH($D22, 'Option1 (base case)'!$G$105:$G$116,0)))*conv_2026*U$7</f>
        <v>-138309.73808486809</v>
      </c>
      <c r="V22" s="31">
        <f>(INDEX('Option1 (base case)'!V$105:V$116, MATCH($D22, 'Option1 (base case)'!$G$105:$G$116,0)))*conv_2026*V$7</f>
        <v>-148748.20888372607</v>
      </c>
      <c r="W22" s="31">
        <f>(INDEX('Option1 (base case)'!W$105:W$116, MATCH($D22, 'Option1 (base case)'!$G$105:$G$116,0)))*conv_2026*W$7</f>
        <v>-156577.06198286952</v>
      </c>
      <c r="X22" s="31">
        <f>(INDEX('Option1 (base case)'!X$105:X$116, MATCH($D22, 'Option1 (base case)'!$G$105:$G$116,0)))*conv_2026*X$7</f>
        <v>-164405.91508201303</v>
      </c>
      <c r="Y22" s="31">
        <f>(INDEX('Option1 (base case)'!Y$105:Y$116, MATCH($D22, 'Option1 (base case)'!$G$105:$G$116,0)))*conv_2026*Y$7</f>
        <v>-172234.76818115648</v>
      </c>
      <c r="Z22" s="31">
        <f>(INDEX('Option1 (base case)'!Z$105:Z$116, MATCH($D22, 'Option1 (base case)'!$G$105:$G$116,0)))*conv_2026*Z$7</f>
        <v>-180063.62128029994</v>
      </c>
      <c r="AA22" s="31">
        <f>(INDEX('Option1 (base case)'!AA$105:AA$116, MATCH($D22, 'Option1 (base case)'!$G$105:$G$116,0)))*conv_2026*AA$7</f>
        <v>-187892.47437944342</v>
      </c>
      <c r="AB22" s="31">
        <f>(INDEX('Option1 (base case)'!AB$105:AB$116, MATCH($D22, 'Option1 (base case)'!$G$105:$G$116,0)))*conv_2026*AB$7</f>
        <v>-195721.3274785869</v>
      </c>
      <c r="AC22" s="31">
        <f>(INDEX('Option1 (base case)'!AC$105:AC$116, MATCH($D22, 'Option1 (base case)'!$G$105:$G$116,0)))*conv_2026*AC$7</f>
        <v>0</v>
      </c>
      <c r="AD22" s="31">
        <f>(INDEX('Option1 (base case)'!AD$105:AD$116, MATCH($D22, 'Option1 (base case)'!$G$105:$G$116,0)))*conv_2026*AD$7</f>
        <v>0</v>
      </c>
      <c r="AE22" s="31">
        <f>(INDEX('Option1 (base case)'!AE$105:AE$116, MATCH($D22, 'Option1 (base case)'!$G$105:$G$116,0)))*conv_2026*AE$7</f>
        <v>0</v>
      </c>
      <c r="AF22" s="31">
        <f>(INDEX('Option1 (base case)'!AF$105:AF$116, MATCH($D22, 'Option1 (base case)'!$G$105:$G$116,0)))*conv_2026*AF$7</f>
        <v>0</v>
      </c>
      <c r="AG22" s="31">
        <f>(INDEX('Option1 (base case)'!AG$105:AG$116, MATCH($D22, 'Option1 (base case)'!$G$105:$G$116,0)))*conv_2026*AG$7</f>
        <v>0</v>
      </c>
      <c r="AH22" s="8"/>
      <c r="AI22" s="8"/>
    </row>
    <row r="23" spans="1:35" s="7" customFormat="1" x14ac:dyDescent="0.2">
      <c r="A23" s="256" t="s">
        <v>143</v>
      </c>
      <c r="B23" s="256" t="str">
        <f>'Option1 (base case)'!A116</f>
        <v>sens</v>
      </c>
      <c r="C23" s="256">
        <f>'Option1 (base case)'!C116</f>
        <v>0</v>
      </c>
      <c r="D23" s="256" t="str">
        <f t="shared" si="0"/>
        <v>OPTION 1 (base case)sens</v>
      </c>
      <c r="E23" s="257"/>
      <c r="F23" s="31">
        <f t="shared" si="1"/>
        <v>-1384705.9836077611</v>
      </c>
      <c r="G23" s="8"/>
      <c r="H23" s="31">
        <f>(INDEX('Option1 (base case)'!H$105:H$116, MATCH($D23, 'Option1 (base case)'!$G$105:$G$116,0)))*conv_2026*H$7</f>
        <v>0</v>
      </c>
      <c r="I23" s="31">
        <f>(INDEX('Option1 (base case)'!I$105:I$116, MATCH($D23, 'Option1 (base case)'!$G$105:$G$116,0)))*conv_2026*I$7</f>
        <v>0</v>
      </c>
      <c r="J23" s="31">
        <f>(INDEX('Option1 (base case)'!J$105:J$116, MATCH($D23, 'Option1 (base case)'!$G$105:$G$116,0)))*conv_2026*J$7</f>
        <v>-13048.088498572461</v>
      </c>
      <c r="K23" s="31">
        <f>(INDEX('Option1 (base case)'!K$105:K$116, MATCH($D23, 'Option1 (base case)'!$G$105:$G$116,0)))*conv_2026*K$7</f>
        <v>-26096.176997144921</v>
      </c>
      <c r="L23" s="31">
        <f>(INDEX('Option1 (base case)'!L$105:L$116, MATCH($D23, 'Option1 (base case)'!$G$105:$G$116,0)))*conv_2026*L$7</f>
        <v>-39144.26549571738</v>
      </c>
      <c r="M23" s="31">
        <f>(INDEX('Option1 (base case)'!M$105:M$116, MATCH($D23, 'Option1 (base case)'!$G$105:$G$116,0)))*conv_2026*M$7</f>
        <v>-52192.353994289842</v>
      </c>
      <c r="N23" s="31">
        <f>(INDEX('Option1 (base case)'!N$105:N$116, MATCH($D23, 'Option1 (base case)'!$G$105:$G$116,0)))*conv_2026*N$7</f>
        <v>-65240.442492862305</v>
      </c>
      <c r="O23" s="31">
        <f>(INDEX('Option1 (base case)'!O$105:O$116, MATCH($D23, 'Option1 (base case)'!$G$105:$G$116,0)))*conv_2026*O$7</f>
        <v>-75678.913291720281</v>
      </c>
      <c r="P23" s="31">
        <f>(INDEX('Option1 (base case)'!P$105:P$116, MATCH($D23, 'Option1 (base case)'!$G$105:$G$116,0)))*conv_2026*P$7</f>
        <v>-86117.384090578242</v>
      </c>
      <c r="Q23" s="31">
        <f>(INDEX('Option1 (base case)'!Q$105:Q$116, MATCH($D23, 'Option1 (base case)'!$G$105:$G$116,0)))*conv_2026*Q$7</f>
        <v>-96555.854889436203</v>
      </c>
      <c r="R23" s="31">
        <f>(INDEX('Option1 (base case)'!R$105:R$116, MATCH($D23, 'Option1 (base case)'!$G$105:$G$116,0)))*conv_2026*R$7</f>
        <v>-106994.32568829416</v>
      </c>
      <c r="S23" s="31">
        <f>(INDEX('Option1 (base case)'!S$105:S$116, MATCH($D23, 'Option1 (base case)'!$G$105:$G$116,0)))*conv_2026*S$7</f>
        <v>-117432.79648715214</v>
      </c>
      <c r="T23" s="31">
        <f>(INDEX('Option1 (base case)'!T$105:T$116, MATCH($D23, 'Option1 (base case)'!$G$105:$G$116,0)))*conv_2026*T$7</f>
        <v>-127871.26728601013</v>
      </c>
      <c r="U23" s="31">
        <f>(INDEX('Option1 (base case)'!U$105:U$116, MATCH($D23, 'Option1 (base case)'!$G$105:$G$116,0)))*conv_2026*U$7</f>
        <v>-138309.73808486809</v>
      </c>
      <c r="V23" s="31">
        <f>(INDEX('Option1 (base case)'!V$105:V$116, MATCH($D23, 'Option1 (base case)'!$G$105:$G$116,0)))*conv_2026*V$7</f>
        <v>-148748.20888372607</v>
      </c>
      <c r="W23" s="31">
        <f>(INDEX('Option1 (base case)'!W$105:W$116, MATCH($D23, 'Option1 (base case)'!$G$105:$G$116,0)))*conv_2026*W$7</f>
        <v>-156577.06198286952</v>
      </c>
      <c r="X23" s="31">
        <f>(INDEX('Option1 (base case)'!X$105:X$116, MATCH($D23, 'Option1 (base case)'!$G$105:$G$116,0)))*conv_2026*X$7</f>
        <v>-164405.91508201303</v>
      </c>
      <c r="Y23" s="31">
        <f>(INDEX('Option1 (base case)'!Y$105:Y$116, MATCH($D23, 'Option1 (base case)'!$G$105:$G$116,0)))*conv_2026*Y$7</f>
        <v>-172234.76818115648</v>
      </c>
      <c r="Z23" s="31">
        <f>(INDEX('Option1 (base case)'!Z$105:Z$116, MATCH($D23, 'Option1 (base case)'!$G$105:$G$116,0)))*conv_2026*Z$7</f>
        <v>-180063.62128029994</v>
      </c>
      <c r="AA23" s="31">
        <f>(INDEX('Option1 (base case)'!AA$105:AA$116, MATCH($D23, 'Option1 (base case)'!$G$105:$G$116,0)))*conv_2026*AA$7</f>
        <v>-187892.47437944342</v>
      </c>
      <c r="AB23" s="31">
        <f>(INDEX('Option1 (base case)'!AB$105:AB$116, MATCH($D23, 'Option1 (base case)'!$G$105:$G$116,0)))*conv_2026*AB$7</f>
        <v>-195721.3274785869</v>
      </c>
      <c r="AC23" s="31">
        <f>(INDEX('Option1 (base case)'!AC$105:AC$116, MATCH($D23, 'Option1 (base case)'!$G$105:$G$116,0)))*conv_2026*AC$7</f>
        <v>0</v>
      </c>
      <c r="AD23" s="31">
        <f>(INDEX('Option1 (base case)'!AD$105:AD$116, MATCH($D23, 'Option1 (base case)'!$G$105:$G$116,0)))*conv_2026*AD$7</f>
        <v>0</v>
      </c>
      <c r="AE23" s="31">
        <f>(INDEX('Option1 (base case)'!AE$105:AE$116, MATCH($D23, 'Option1 (base case)'!$G$105:$G$116,0)))*conv_2026*AE$7</f>
        <v>0</v>
      </c>
      <c r="AF23" s="31">
        <f>(INDEX('Option1 (base case)'!AF$105:AF$116, MATCH($D23, 'Option1 (base case)'!$G$105:$G$116,0)))*conv_2026*AF$7</f>
        <v>0</v>
      </c>
      <c r="AG23" s="31">
        <f>(INDEX('Option1 (base case)'!AG$105:AG$116, MATCH($D23, 'Option1 (base case)'!$G$105:$G$116,0)))*conv_2026*AG$7</f>
        <v>0</v>
      </c>
      <c r="AH23" s="8"/>
      <c r="AI23" s="8"/>
    </row>
    <row r="24" spans="1:35" s="7" customFormat="1" x14ac:dyDescent="0.2">
      <c r="A24" s="248"/>
      <c r="B24" s="248"/>
      <c r="C24" s="248"/>
      <c r="D24" s="248"/>
      <c r="E24" s="248"/>
      <c r="F24" s="248"/>
      <c r="G24" s="249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8"/>
      <c r="B25" s="248"/>
      <c r="C25" s="248"/>
      <c r="D25" s="248"/>
      <c r="E25" s="248"/>
      <c r="F25" s="248"/>
      <c r="G25" s="249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8"/>
      <c r="B26" s="248"/>
      <c r="C26" s="248"/>
      <c r="D26" s="248"/>
      <c r="E26" s="248"/>
      <c r="F26" s="248"/>
      <c r="G26" s="249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8"/>
      <c r="B27" s="248"/>
      <c r="C27" s="248"/>
      <c r="D27" s="248"/>
      <c r="E27" s="248"/>
      <c r="F27" s="248"/>
      <c r="G27" s="249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6" t="s">
        <v>131</v>
      </c>
      <c r="B28" s="256" t="s">
        <v>119</v>
      </c>
      <c r="C28" s="256" t="s">
        <v>186</v>
      </c>
      <c r="D28" s="256" t="str">
        <f>A28&amp;B28</f>
        <v>Option 2NPV</v>
      </c>
      <c r="E28" s="257"/>
      <c r="F28" s="31">
        <f>SUMPRODUCT($H28:$AG28, $H$5:$AG$5)</f>
        <v>9838833.0195765384</v>
      </c>
      <c r="G28" s="249"/>
      <c r="H28" s="31">
        <f>(INDEX(Option2!H$105:H$116, MATCH($D28, Option2!$G$105:$G$116,0)))*conv_2026*H$7</f>
        <v>0</v>
      </c>
      <c r="I28" s="31">
        <f>(INDEX(Option2!I$105:I$116, MATCH($D28, Option2!$G$105:$G$116,0)))*conv_2026*I$7</f>
        <v>779132.27565482946</v>
      </c>
      <c r="J28" s="31">
        <f>(INDEX(Option2!J$105:J$116, MATCH($D28, Option2!$G$105:$G$116,0)))*conv_2026*J$7</f>
        <v>657429.19565905363</v>
      </c>
      <c r="K28" s="31">
        <f>(INDEX(Option2!K$105:K$116, MATCH($D28, Option2!$G$105:$G$116,0)))*conv_2026*K$7</f>
        <v>925292.25349069294</v>
      </c>
      <c r="L28" s="31">
        <f>(INDEX(Option2!L$105:L$116, MATCH($D28, Option2!$G$105:$G$116,0)))*conv_2026*L$7</f>
        <v>806198.79119463183</v>
      </c>
      <c r="M28" s="31">
        <f>(INDEX(Option2!M$105:M$116, MATCH($D28, Option2!$G$105:$G$116,0)))*conv_2026*M$7</f>
        <v>1076671.4667259851</v>
      </c>
      <c r="N28" s="31">
        <f>(INDEX(Option2!N$105:N$116, MATCH($D28, Option2!$G$105:$G$116,0)))*conv_2026*N$7</f>
        <v>570621.48430222331</v>
      </c>
      <c r="O28" s="31">
        <f>(INDEX(Option2!O$105:O$116, MATCH($D28, Option2!$G$105:$G$116,0)))*conv_2026*O$7</f>
        <v>843703.77753329114</v>
      </c>
      <c r="P28" s="31">
        <f>(INDEX(Option2!P$105:P$116, MATCH($D28, Option2!$G$105:$G$116,0)))*conv_2026*P$7</f>
        <v>772627.28091197636</v>
      </c>
      <c r="Q28" s="31">
        <f>(INDEX(Option2!Q$105:Q$116, MATCH($D28, Option2!$G$105:$G$116,0)))*conv_2026*Q$7</f>
        <v>772627.28091197636</v>
      </c>
      <c r="R28" s="31">
        <f>(INDEX(Option2!R$105:R$116, MATCH($D28, Option2!$G$105:$G$116,0)))*conv_2026*R$7</f>
        <v>772627.28091197636</v>
      </c>
      <c r="S28" s="31">
        <f>(INDEX(Option2!S$105:S$116, MATCH($D28, Option2!$G$105:$G$116,0)))*conv_2026*S$7</f>
        <v>772627.28091197636</v>
      </c>
      <c r="T28" s="31">
        <f>(INDEX(Option2!T$105:T$116, MATCH($D28, Option2!$G$105:$G$116,0)))*conv_2026*T$7</f>
        <v>772627.28091197636</v>
      </c>
      <c r="U28" s="31">
        <f>(INDEX(Option2!U$105:U$116, MATCH($D28, Option2!$G$105:$G$116,0)))*conv_2026*U$7</f>
        <v>772627.28091197636</v>
      </c>
      <c r="V28" s="31">
        <f>(INDEX(Option2!V$105:V$116, MATCH($D28, Option2!$G$105:$G$116,0)))*conv_2026*V$7</f>
        <v>383061.14308456192</v>
      </c>
      <c r="W28" s="31">
        <f>(INDEX(Option2!W$105:W$116, MATCH($D28, Option2!$G$105:$G$116,0)))*conv_2026*W$7</f>
        <v>383061.14308456192</v>
      </c>
      <c r="X28" s="31">
        <f>(INDEX(Option2!X$105:X$116, MATCH($D28, Option2!$G$105:$G$116,0)))*conv_2026*X$7</f>
        <v>383061.14308456192</v>
      </c>
      <c r="Y28" s="31">
        <f>(INDEX(Option2!Y$105:Y$116, MATCH($D28, Option2!$G$105:$G$116,0)))*conv_2026*Y$7</f>
        <v>383061.14308456192</v>
      </c>
      <c r="Z28" s="31">
        <f>(INDEX(Option2!Z$105:Z$116, MATCH($D28, Option2!$G$105:$G$116,0)))*conv_2026*Z$7</f>
        <v>383061.14308456192</v>
      </c>
      <c r="AA28" s="31">
        <f>(INDEX(Option2!AA$105:AA$116, MATCH($D28, Option2!$G$105:$G$116,0)))*conv_2026*AA$7</f>
        <v>383061.14308456192</v>
      </c>
      <c r="AB28" s="31">
        <f>(INDEX(Option2!AB$105:AB$116, MATCH($D28, Option2!$G$105:$G$116,0)))*conv_2026*AB$7</f>
        <v>383061.14308456192</v>
      </c>
      <c r="AC28" s="31">
        <f>(INDEX(Option2!AC$105:AC$116, MATCH($D28, Option2!$G$105:$G$116,0)))*conv_2026*AC$7</f>
        <v>0</v>
      </c>
      <c r="AD28" s="31">
        <f>(INDEX(Option2!AD$105:AD$116, MATCH($D28, Option2!$G$105:$G$116,0)))*conv_2026*AD$7</f>
        <v>0</v>
      </c>
      <c r="AE28" s="31">
        <f>(INDEX(Option2!AE$105:AE$116, MATCH($D28, Option2!$G$105:$G$116,0)))*conv_2026*AE$7</f>
        <v>0</v>
      </c>
      <c r="AF28" s="31">
        <f>(INDEX(Option2!AF$105:AF$116, MATCH($D28, Option2!$G$105:$G$116,0)))*conv_2026*AF$7</f>
        <v>0</v>
      </c>
      <c r="AG28" s="31">
        <f>(INDEX(Option2!AG$105:AG$116, MATCH($D28, Option2!$G$105:$G$116,0)))*conv_2026*AG$7</f>
        <v>0</v>
      </c>
    </row>
    <row r="29" spans="1:35" s="7" customFormat="1" x14ac:dyDescent="0.2">
      <c r="A29" s="248"/>
      <c r="B29" s="248"/>
      <c r="C29" s="248"/>
      <c r="D29" s="248"/>
      <c r="E29" s="248"/>
      <c r="F29" s="24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</row>
    <row r="30" spans="1:35" s="7" customFormat="1" x14ac:dyDescent="0.2">
      <c r="A30" s="256" t="s">
        <v>131</v>
      </c>
      <c r="B30" s="256" t="str">
        <f>Option2!A109</f>
        <v>sens1</v>
      </c>
      <c r="C30" s="256" t="str">
        <f>Option2!C109</f>
        <v>Capex 10% higher</v>
      </c>
      <c r="D30" s="256" t="str">
        <f t="shared" ref="D30:D37" si="2">A30&amp;B30</f>
        <v>Option 2sens1</v>
      </c>
      <c r="E30" s="257"/>
      <c r="F30" s="31">
        <f>SUMPRODUCT($H30:$AG30, $H$5:$AG$5)</f>
        <v>8977678.2240208164</v>
      </c>
      <c r="G30" s="249"/>
      <c r="H30" s="31">
        <f>IF($B30=0,0, (INDEX(Option2!H$105:H$116, MATCH($D30, Option2!$G$105:$G$116,0)))*conv_2026*H$7)</f>
        <v>0</v>
      </c>
      <c r="I30" s="31">
        <f>IF($B30=0,0, (INDEX(Option2!I$105:I$116, MATCH($D30, Option2!$G$105:$G$116,0)))*conv_2026*I$7)</f>
        <v>779132.27565482946</v>
      </c>
      <c r="J30" s="31">
        <f>IF($B30=0,0, (INDEX(Option2!J$105:J$116, MATCH($D30, Option2!$G$105:$G$116,0)))*conv_2026*J$7)</f>
        <v>645258.88765947602</v>
      </c>
      <c r="K30" s="31">
        <f>IF($B30=0,0, (INDEX(Option2!K$105:K$116, MATCH($D30, Option2!$G$105:$G$116,0)))*conv_2026*K$7)</f>
        <v>900951.63749153772</v>
      </c>
      <c r="L30" s="31">
        <f>IF($B30=0,0, (INDEX(Option2!L$105:L$116, MATCH($D30, Option2!$G$105:$G$116,0)))*conv_2026*L$7)</f>
        <v>769948.82896587055</v>
      </c>
      <c r="M30" s="31">
        <f>IF($B30=0,0, (INDEX(Option2!M$105:M$116, MATCH($D30, Option2!$G$105:$G$116,0)))*conv_2026*M$7)</f>
        <v>1028512.1582676177</v>
      </c>
      <c r="N30" s="31">
        <f>IF($B30=0,0, (INDEX(Option2!N$105:N$116, MATCH($D30, Option2!$G$105:$G$116,0)))*conv_2026*N$7)</f>
        <v>510813.79138422117</v>
      </c>
      <c r="O30" s="31">
        <f>IF($B30=0,0, (INDEX(Option2!O$105:O$116, MATCH($D30, Option2!$G$105:$G$116,0)))*conv_2026*O$7)</f>
        <v>772247.70015565434</v>
      </c>
      <c r="P30" s="31">
        <f>IF($B30=0,0, (INDEX(Option2!P$105:P$116, MATCH($D30, Option2!$G$105:$G$116,0)))*conv_2026*P$7)</f>
        <v>694063.55387220811</v>
      </c>
      <c r="Q30" s="31">
        <f>IF($B30=0,0, (INDEX(Option2!Q$105:Q$116, MATCH($D30, Option2!$G$105:$G$116,0)))*conv_2026*Q$7)</f>
        <v>694063.55387220811</v>
      </c>
      <c r="R30" s="31">
        <f>IF($B30=0,0, (INDEX(Option2!R$105:R$116, MATCH($D30, Option2!$G$105:$G$116,0)))*conv_2026*R$7)</f>
        <v>694063.55387220811</v>
      </c>
      <c r="S30" s="31">
        <f>IF($B30=0,0, (INDEX(Option2!S$105:S$116, MATCH($D30, Option2!$G$105:$G$116,0)))*conv_2026*S$7)</f>
        <v>694063.55387220811</v>
      </c>
      <c r="T30" s="31">
        <f>IF($B30=0,0, (INDEX(Option2!T$105:T$116, MATCH($D30, Option2!$G$105:$G$116,0)))*conv_2026*T$7)</f>
        <v>694063.55387220811</v>
      </c>
      <c r="U30" s="31">
        <f>IF($B30=0,0, (INDEX(Option2!U$105:U$116, MATCH($D30, Option2!$G$105:$G$116,0)))*conv_2026*U$7)</f>
        <v>694063.55387220811</v>
      </c>
      <c r="V30" s="31">
        <f>IF($B30=0,0, (INDEX(Option2!V$105:V$116, MATCH($D30, Option2!$G$105:$G$116,0)))*conv_2026*V$7)</f>
        <v>304497.41604479362</v>
      </c>
      <c r="W30" s="31">
        <f>IF($B30=0,0, (INDEX(Option2!W$105:W$116, MATCH($D30, Option2!$G$105:$G$116,0)))*conv_2026*W$7)</f>
        <v>304497.41604479362</v>
      </c>
      <c r="X30" s="31">
        <f>IF($B30=0,0, (INDEX(Option2!X$105:X$116, MATCH($D30, Option2!$G$105:$G$116,0)))*conv_2026*X$7)</f>
        <v>304497.41604479362</v>
      </c>
      <c r="Y30" s="31">
        <f>IF($B30=0,0, (INDEX(Option2!Y$105:Y$116, MATCH($D30, Option2!$G$105:$G$116,0)))*conv_2026*Y$7)</f>
        <v>304497.41604479362</v>
      </c>
      <c r="Z30" s="31">
        <f>IF($B30=0,0, (INDEX(Option2!Z$105:Z$116, MATCH($D30, Option2!$G$105:$G$116,0)))*conv_2026*Z$7)</f>
        <v>304497.41604479362</v>
      </c>
      <c r="AA30" s="31">
        <f>IF($B30=0,0, (INDEX(Option2!AA$105:AA$116, MATCH($D30, Option2!$G$105:$G$116,0)))*conv_2026*AA$7)</f>
        <v>304497.41604479362</v>
      </c>
      <c r="AB30" s="31">
        <f>IF($B30=0,0, (INDEX(Option2!AB$105:AB$116, MATCH($D30, Option2!$G$105:$G$116,0)))*conv_2026*AB$7)</f>
        <v>304497.41604479362</v>
      </c>
      <c r="AC30" s="31">
        <f>IF($B30=0,0, (INDEX(Option2!AC$105:AC$116, MATCH($D30, Option2!$G$105:$G$116,0)))*conv_2026*AC$7)</f>
        <v>0</v>
      </c>
      <c r="AD30" s="31">
        <f>IF($B30=0,0, (INDEX(Option2!AD$105:AD$116, MATCH($D30, Option2!$G$105:$G$116,0)))*conv_2026*AD$7)</f>
        <v>0</v>
      </c>
      <c r="AE30" s="31">
        <f>IF($B30=0,0, (INDEX(Option2!AE$105:AE$116, MATCH($D30, Option2!$G$105:$G$116,0)))*conv_2026*AE$7)</f>
        <v>0</v>
      </c>
      <c r="AF30" s="31">
        <f>IF($B30=0,0, (INDEX(Option2!AF$105:AF$116, MATCH($D30, Option2!$G$105:$G$116,0)))*conv_2026*AF$7)</f>
        <v>0</v>
      </c>
      <c r="AG30" s="31">
        <f>IF($B30=0,0, (INDEX(Option2!AG$105:AG$116, MATCH($D30, Option2!$G$105:$G$116,0)))*conv_2026*AG$7)</f>
        <v>0</v>
      </c>
    </row>
    <row r="31" spans="1:35" s="8" customFormat="1" x14ac:dyDescent="0.2">
      <c r="A31" s="256" t="s">
        <v>131</v>
      </c>
      <c r="B31" s="256" t="str">
        <f>Option2!A110</f>
        <v>sens2</v>
      </c>
      <c r="C31" s="256" t="str">
        <f>Option2!C110</f>
        <v>Capex 10% lower</v>
      </c>
      <c r="D31" s="256" t="str">
        <f t="shared" si="2"/>
        <v>Option 2sens2</v>
      </c>
      <c r="E31" s="257"/>
      <c r="F31" s="31">
        <f t="shared" ref="F31:F37" si="3">SUMPRODUCT($H31:$AG31, $H$5:$AG$5)</f>
        <v>10699987.81513226</v>
      </c>
      <c r="G31" s="256"/>
      <c r="H31" s="31">
        <f>IF($B31=0,0, (INDEX(Option2!H$105:H$116, MATCH($D31, Option2!$G$105:$G$116,0)))*conv_2026*H$7)</f>
        <v>0</v>
      </c>
      <c r="I31" s="31">
        <f>IF($B31=0,0, (INDEX(Option2!I$105:I$116, MATCH($D31, Option2!$G$105:$G$116,0)))*conv_2026*I$7)</f>
        <v>779132.27565482946</v>
      </c>
      <c r="J31" s="31">
        <f>IF($B31=0,0, (INDEX(Option2!J$105:J$116, MATCH($D31, Option2!$G$105:$G$116,0)))*conv_2026*J$7)</f>
        <v>669599.50365863112</v>
      </c>
      <c r="K31" s="31">
        <f>IF($B31=0,0, (INDEX(Option2!K$105:K$116, MATCH($D31, Option2!$G$105:$G$116,0)))*conv_2026*K$7)</f>
        <v>949632.86948984826</v>
      </c>
      <c r="L31" s="31">
        <f>IF($B31=0,0, (INDEX(Option2!L$105:L$116, MATCH($D31, Option2!$G$105:$G$116,0)))*conv_2026*L$7)</f>
        <v>842448.75342339301</v>
      </c>
      <c r="M31" s="31">
        <f>IF($B31=0,0, (INDEX(Option2!M$105:M$116, MATCH($D31, Option2!$G$105:$G$116,0)))*conv_2026*M$7)</f>
        <v>1124830.7751843524</v>
      </c>
      <c r="N31" s="31">
        <f>IF($B31=0,0, (INDEX(Option2!N$105:N$116, MATCH($D31, Option2!$G$105:$G$116,0)))*conv_2026*N$7)</f>
        <v>630429.17722022545</v>
      </c>
      <c r="O31" s="31">
        <f>IF($B31=0,0, (INDEX(Option2!O$105:O$116, MATCH($D31, Option2!$G$105:$G$116,0)))*conv_2026*O$7)</f>
        <v>915159.85491092794</v>
      </c>
      <c r="P31" s="31">
        <f>IF($B31=0,0, (INDEX(Option2!P$105:P$116, MATCH($D31, Option2!$G$105:$G$116,0)))*conv_2026*P$7)</f>
        <v>851191.00795174472</v>
      </c>
      <c r="Q31" s="31">
        <f>IF($B31=0,0, (INDEX(Option2!Q$105:Q$116, MATCH($D31, Option2!$G$105:$G$116,0)))*conv_2026*Q$7)</f>
        <v>851191.00795174472</v>
      </c>
      <c r="R31" s="31">
        <f>IF($B31=0,0, (INDEX(Option2!R$105:R$116, MATCH($D31, Option2!$G$105:$G$116,0)))*conv_2026*R$7)</f>
        <v>851191.00795174472</v>
      </c>
      <c r="S31" s="31">
        <f>IF($B31=0,0, (INDEX(Option2!S$105:S$116, MATCH($D31, Option2!$G$105:$G$116,0)))*conv_2026*S$7)</f>
        <v>851191.00795174472</v>
      </c>
      <c r="T31" s="31">
        <f>IF($B31=0,0, (INDEX(Option2!T$105:T$116, MATCH($D31, Option2!$G$105:$G$116,0)))*conv_2026*T$7)</f>
        <v>851191.00795174472</v>
      </c>
      <c r="U31" s="31">
        <f>IF($B31=0,0, (INDEX(Option2!U$105:U$116, MATCH($D31, Option2!$G$105:$G$116,0)))*conv_2026*U$7)</f>
        <v>851191.00795174472</v>
      </c>
      <c r="V31" s="31">
        <f>IF($B31=0,0, (INDEX(Option2!V$105:V$116, MATCH($D31, Option2!$G$105:$G$116,0)))*conv_2026*V$7)</f>
        <v>461624.87012433016</v>
      </c>
      <c r="W31" s="31">
        <f>IF($B31=0,0, (INDEX(Option2!W$105:W$116, MATCH($D31, Option2!$G$105:$G$116,0)))*conv_2026*W$7)</f>
        <v>461624.87012433016</v>
      </c>
      <c r="X31" s="31">
        <f>IF($B31=0,0, (INDEX(Option2!X$105:X$116, MATCH($D31, Option2!$G$105:$G$116,0)))*conv_2026*X$7)</f>
        <v>461624.87012433016</v>
      </c>
      <c r="Y31" s="31">
        <f>IF($B31=0,0, (INDEX(Option2!Y$105:Y$116, MATCH($D31, Option2!$G$105:$G$116,0)))*conv_2026*Y$7)</f>
        <v>461624.87012433016</v>
      </c>
      <c r="Z31" s="31">
        <f>IF($B31=0,0, (INDEX(Option2!Z$105:Z$116, MATCH($D31, Option2!$G$105:$G$116,0)))*conv_2026*Z$7)</f>
        <v>461624.87012433016</v>
      </c>
      <c r="AA31" s="31">
        <f>IF($B31=0,0, (INDEX(Option2!AA$105:AA$116, MATCH($D31, Option2!$G$105:$G$116,0)))*conv_2026*AA$7)</f>
        <v>461624.87012433016</v>
      </c>
      <c r="AB31" s="31">
        <f>IF($B31=0,0, (INDEX(Option2!AB$105:AB$116, MATCH($D31, Option2!$G$105:$G$116,0)))*conv_2026*AB$7)</f>
        <v>461624.87012433016</v>
      </c>
      <c r="AC31" s="31">
        <f>IF($B31=0,0, (INDEX(Option2!AC$105:AC$116, MATCH($D31, Option2!$G$105:$G$116,0)))*conv_2026*AC$7)</f>
        <v>0</v>
      </c>
      <c r="AD31" s="31">
        <f>IF($B31=0,0, (INDEX(Option2!AD$105:AD$116, MATCH($D31, Option2!$G$105:$G$116,0)))*conv_2026*AD$7)</f>
        <v>0</v>
      </c>
      <c r="AE31" s="31">
        <f>IF($B31=0,0, (INDEX(Option2!AE$105:AE$116, MATCH($D31, Option2!$G$105:$G$116,0)))*conv_2026*AE$7)</f>
        <v>0</v>
      </c>
      <c r="AF31" s="31">
        <f>IF($B31=0,0, (INDEX(Option2!AF$105:AF$116, MATCH($D31, Option2!$G$105:$G$116,0)))*conv_2026*AF$7)</f>
        <v>0</v>
      </c>
      <c r="AG31" s="31">
        <f>IF($B31=0,0, (INDEX(Option2!AG$105:AG$116, MATCH($D31, Option2!$G$105:$G$116,0)))*conv_2026*AG$7)</f>
        <v>0</v>
      </c>
    </row>
    <row r="32" spans="1:35" s="8" customFormat="1" x14ac:dyDescent="0.2">
      <c r="A32" s="256" t="s">
        <v>131</v>
      </c>
      <c r="B32" s="256" t="str">
        <f>Option2!A111</f>
        <v>sens3</v>
      </c>
      <c r="C32" s="256" t="str">
        <f>Option2!C111</f>
        <v>Total benefits 10% higher</v>
      </c>
      <c r="D32" s="256" t="str">
        <f t="shared" si="2"/>
        <v>Option 2sens3</v>
      </c>
      <c r="E32" s="257"/>
      <c r="F32" s="31">
        <f t="shared" si="3"/>
        <v>11683871.117089914</v>
      </c>
      <c r="H32" s="31">
        <f>IF($B32=0,0, (INDEX(Option2!H$105:H$116, MATCH($D32, Option2!$G$105:$G$116,0)))*conv_2026*H$7)</f>
        <v>0</v>
      </c>
      <c r="I32" s="31">
        <f>IF($B32=0,0, (INDEX(Option2!I$105:I$116, MATCH($D32, Option2!$G$105:$G$116,0)))*conv_2026*I$7)</f>
        <v>857045.50322031253</v>
      </c>
      <c r="J32" s="31">
        <f>IF($B32=0,0, (INDEX(Option2!J$105:J$116, MATCH($D32, Option2!$G$105:$G$116,0)))*conv_2026*J$7)</f>
        <v>735342.42322453659</v>
      </c>
      <c r="K32" s="31">
        <f>IF($B32=0,0, (INDEX(Option2!K$105:K$116, MATCH($D32, Option2!$G$105:$G$116,0)))*conv_2026*K$7)</f>
        <v>1042162.0948389175</v>
      </c>
      <c r="L32" s="31">
        <f>IF($B32=0,0, (INDEX(Option2!L$105:L$116, MATCH($D32, Option2!$G$105:$G$116,0)))*conv_2026*L$7)</f>
        <v>923068.63254285627</v>
      </c>
      <c r="M32" s="31">
        <f>IF($B32=0,0, (INDEX(Option2!M$105:M$116, MATCH($D32, Option2!$G$105:$G$116,0)))*conv_2026*M$7)</f>
        <v>1232497.921856951</v>
      </c>
      <c r="N32" s="31">
        <f>IF($B32=0,0, (INDEX(Option2!N$105:N$116, MATCH($D32, Option2!$G$105:$G$116,0)))*conv_2026*N$7)</f>
        <v>687491.32565044775</v>
      </c>
      <c r="O32" s="31">
        <f>IF($B32=0,0, (INDEX(Option2!O$105:O$116, MATCH($D32, Option2!$G$105:$G$116,0)))*conv_2026*O$7)</f>
        <v>999530.23266425706</v>
      </c>
      <c r="P32" s="31">
        <f>IF($B32=0,0, (INDEX(Option2!P$105:P$116, MATCH($D32, Option2!$G$105:$G$116,0)))*conv_2026*P$7)</f>
        <v>928453.73604294227</v>
      </c>
      <c r="Q32" s="31">
        <f>IF($B32=0,0, (INDEX(Option2!Q$105:Q$116, MATCH($D32, Option2!$G$105:$G$116,0)))*conv_2026*Q$7)</f>
        <v>928453.73604294227</v>
      </c>
      <c r="R32" s="31">
        <f>IF($B32=0,0, (INDEX(Option2!R$105:R$116, MATCH($D32, Option2!$G$105:$G$116,0)))*conv_2026*R$7)</f>
        <v>928453.73604294227</v>
      </c>
      <c r="S32" s="31">
        <f>IF($B32=0,0, (INDEX(Option2!S$105:S$116, MATCH($D32, Option2!$G$105:$G$116,0)))*conv_2026*S$7)</f>
        <v>928453.73604294227</v>
      </c>
      <c r="T32" s="31">
        <f>IF($B32=0,0, (INDEX(Option2!T$105:T$116, MATCH($D32, Option2!$G$105:$G$116,0)))*conv_2026*T$7)</f>
        <v>928453.73604294227</v>
      </c>
      <c r="U32" s="31">
        <f>IF($B32=0,0, (INDEX(Option2!U$105:U$116, MATCH($D32, Option2!$G$105:$G$116,0)))*conv_2026*U$7)</f>
        <v>928453.73604294227</v>
      </c>
      <c r="V32" s="31">
        <f>IF($B32=0,0, (INDEX(Option2!V$105:V$116, MATCH($D32, Option2!$G$105:$G$116,0)))*conv_2026*V$7)</f>
        <v>499930.98443278641</v>
      </c>
      <c r="W32" s="31">
        <f>IF($B32=0,0, (INDEX(Option2!W$105:W$116, MATCH($D32, Option2!$G$105:$G$116,0)))*conv_2026*W$7)</f>
        <v>499930.98443278641</v>
      </c>
      <c r="X32" s="31">
        <f>IF($B32=0,0, (INDEX(Option2!X$105:X$116, MATCH($D32, Option2!$G$105:$G$116,0)))*conv_2026*X$7)</f>
        <v>499930.98443278641</v>
      </c>
      <c r="Y32" s="31">
        <f>IF($B32=0,0, (INDEX(Option2!Y$105:Y$116, MATCH($D32, Option2!$G$105:$G$116,0)))*conv_2026*Y$7)</f>
        <v>499930.98443278641</v>
      </c>
      <c r="Z32" s="31">
        <f>IF($B32=0,0, (INDEX(Option2!Z$105:Z$116, MATCH($D32, Option2!$G$105:$G$116,0)))*conv_2026*Z$7)</f>
        <v>499930.98443278641</v>
      </c>
      <c r="AA32" s="31">
        <f>IF($B32=0,0, (INDEX(Option2!AA$105:AA$116, MATCH($D32, Option2!$G$105:$G$116,0)))*conv_2026*AA$7)</f>
        <v>499930.98443278641</v>
      </c>
      <c r="AB32" s="31">
        <f>IF($B32=0,0, (INDEX(Option2!AB$105:AB$116, MATCH($D32, Option2!$G$105:$G$116,0)))*conv_2026*AB$7)</f>
        <v>499930.98443278641</v>
      </c>
      <c r="AC32" s="31">
        <f>IF($B32=0,0, (INDEX(Option2!AC$105:AC$116, MATCH($D32, Option2!$G$105:$G$116,0)))*conv_2026*AC$7)</f>
        <v>0</v>
      </c>
      <c r="AD32" s="31">
        <f>IF($B32=0,0, (INDEX(Option2!AD$105:AD$116, MATCH($D32, Option2!$G$105:$G$116,0)))*conv_2026*AD$7)</f>
        <v>0</v>
      </c>
      <c r="AE32" s="31">
        <f>IF($B32=0,0, (INDEX(Option2!AE$105:AE$116, MATCH($D32, Option2!$G$105:$G$116,0)))*conv_2026*AE$7)</f>
        <v>0</v>
      </c>
      <c r="AF32" s="31">
        <f>IF($B32=0,0, (INDEX(Option2!AF$105:AF$116, MATCH($D32, Option2!$G$105:$G$116,0)))*conv_2026*AF$7)</f>
        <v>0</v>
      </c>
      <c r="AG32" s="31">
        <f>IF($B32=0,0, (INDEX(Option2!AG$105:AG$116, MATCH($D32, Option2!$G$105:$G$116,0)))*conv_2026*AG$7)</f>
        <v>0</v>
      </c>
    </row>
    <row r="33" spans="1:35" s="8" customFormat="1" x14ac:dyDescent="0.2">
      <c r="A33" s="256" t="s">
        <v>131</v>
      </c>
      <c r="B33" s="256" t="str">
        <f>Option2!A112</f>
        <v>sens4</v>
      </c>
      <c r="C33" s="256" t="str">
        <f>Option2!C112</f>
        <v>Total benefits 10% lower</v>
      </c>
      <c r="D33" s="256" t="str">
        <f t="shared" si="2"/>
        <v>Option 2sens4</v>
      </c>
      <c r="E33" s="257"/>
      <c r="F33" s="31">
        <f t="shared" si="3"/>
        <v>7993794.922063157</v>
      </c>
      <c r="H33" s="31">
        <f>IF($B33=0,0, (INDEX(Option2!H$105:H$116, MATCH($D33, Option2!$G$105:$G$116,0)))*conv_2026*H$7)</f>
        <v>0</v>
      </c>
      <c r="I33" s="31">
        <f>IF($B33=0,0, (INDEX(Option2!I$105:I$116, MATCH($D33, Option2!$G$105:$G$116,0)))*conv_2026*I$7)</f>
        <v>701219.0480893465</v>
      </c>
      <c r="J33" s="31">
        <f>IF($B33=0,0, (INDEX(Option2!J$105:J$116, MATCH($D33, Option2!$G$105:$G$116,0)))*conv_2026*J$7)</f>
        <v>579515.96809357067</v>
      </c>
      <c r="K33" s="31">
        <f>IF($B33=0,0, (INDEX(Option2!K$105:K$116, MATCH($D33, Option2!$G$105:$G$116,0)))*conv_2026*K$7)</f>
        <v>808422.4121424685</v>
      </c>
      <c r="L33" s="31">
        <f>IF($B33=0,0, (INDEX(Option2!L$105:L$116, MATCH($D33, Option2!$G$105:$G$116,0)))*conv_2026*L$7)</f>
        <v>689328.94984640728</v>
      </c>
      <c r="M33" s="31">
        <f>IF($B33=0,0, (INDEX(Option2!M$105:M$116, MATCH($D33, Option2!$G$105:$G$116,0)))*conv_2026*M$7)</f>
        <v>920845.01159501902</v>
      </c>
      <c r="N33" s="31">
        <f>IF($B33=0,0, (INDEX(Option2!N$105:N$116, MATCH($D33, Option2!$G$105:$G$116,0)))*conv_2026*N$7)</f>
        <v>453751.64295399887</v>
      </c>
      <c r="O33" s="31">
        <f>IF($B33=0,0, (INDEX(Option2!O$105:O$116, MATCH($D33, Option2!$G$105:$G$116,0)))*conv_2026*O$7)</f>
        <v>687877.32240232523</v>
      </c>
      <c r="P33" s="31">
        <f>IF($B33=0,0, (INDEX(Option2!P$105:P$116, MATCH($D33, Option2!$G$105:$G$116,0)))*conv_2026*P$7)</f>
        <v>616800.82578101056</v>
      </c>
      <c r="Q33" s="31">
        <f>IF($B33=0,0, (INDEX(Option2!Q$105:Q$116, MATCH($D33, Option2!$G$105:$G$116,0)))*conv_2026*Q$7)</f>
        <v>616800.82578101056</v>
      </c>
      <c r="R33" s="31">
        <f>IF($B33=0,0, (INDEX(Option2!R$105:R$116, MATCH($D33, Option2!$G$105:$G$116,0)))*conv_2026*R$7)</f>
        <v>616800.82578101056</v>
      </c>
      <c r="S33" s="31">
        <f>IF($B33=0,0, (INDEX(Option2!S$105:S$116, MATCH($D33, Option2!$G$105:$G$116,0)))*conv_2026*S$7)</f>
        <v>616800.82578101056</v>
      </c>
      <c r="T33" s="31">
        <f>IF($B33=0,0, (INDEX(Option2!T$105:T$116, MATCH($D33, Option2!$G$105:$G$116,0)))*conv_2026*T$7)</f>
        <v>616800.82578101056</v>
      </c>
      <c r="U33" s="31">
        <f>IF($B33=0,0, (INDEX(Option2!U$105:U$116, MATCH($D33, Option2!$G$105:$G$116,0)))*conv_2026*U$7)</f>
        <v>616800.82578101056</v>
      </c>
      <c r="V33" s="31">
        <f>IF($B33=0,0, (INDEX(Option2!V$105:V$116, MATCH($D33, Option2!$G$105:$G$116,0)))*conv_2026*V$7)</f>
        <v>266191.30173633742</v>
      </c>
      <c r="W33" s="31">
        <f>IF($B33=0,0, (INDEX(Option2!W$105:W$116, MATCH($D33, Option2!$G$105:$G$116,0)))*conv_2026*W$7)</f>
        <v>266191.30173633742</v>
      </c>
      <c r="X33" s="31">
        <f>IF($B33=0,0, (INDEX(Option2!X$105:X$116, MATCH($D33, Option2!$G$105:$G$116,0)))*conv_2026*X$7)</f>
        <v>266191.30173633742</v>
      </c>
      <c r="Y33" s="31">
        <f>IF($B33=0,0, (INDEX(Option2!Y$105:Y$116, MATCH($D33, Option2!$G$105:$G$116,0)))*conv_2026*Y$7)</f>
        <v>266191.30173633742</v>
      </c>
      <c r="Z33" s="31">
        <f>IF($B33=0,0, (INDEX(Option2!Z$105:Z$116, MATCH($D33, Option2!$G$105:$G$116,0)))*conv_2026*Z$7)</f>
        <v>266191.30173633742</v>
      </c>
      <c r="AA33" s="31">
        <f>IF($B33=0,0, (INDEX(Option2!AA$105:AA$116, MATCH($D33, Option2!$G$105:$G$116,0)))*conv_2026*AA$7)</f>
        <v>266191.30173633742</v>
      </c>
      <c r="AB33" s="31">
        <f>IF($B33=0,0, (INDEX(Option2!AB$105:AB$116, MATCH($D33, Option2!$G$105:$G$116,0)))*conv_2026*AB$7)</f>
        <v>266191.30173633742</v>
      </c>
      <c r="AC33" s="31">
        <f>IF($B33=0,0, (INDEX(Option2!AC$105:AC$116, MATCH($D33, Option2!$G$105:$G$116,0)))*conv_2026*AC$7)</f>
        <v>0</v>
      </c>
      <c r="AD33" s="31">
        <f>IF($B33=0,0, (INDEX(Option2!AD$105:AD$116, MATCH($D33, Option2!$G$105:$G$116,0)))*conv_2026*AD$7)</f>
        <v>0</v>
      </c>
      <c r="AE33" s="31">
        <f>IF($B33=0,0, (INDEX(Option2!AE$105:AE$116, MATCH($D33, Option2!$G$105:$G$116,0)))*conv_2026*AE$7)</f>
        <v>0</v>
      </c>
      <c r="AF33" s="31">
        <f>IF($B33=0,0, (INDEX(Option2!AF$105:AF$116, MATCH($D33, Option2!$G$105:$G$116,0)))*conv_2026*AF$7)</f>
        <v>0</v>
      </c>
      <c r="AG33" s="31">
        <f>IF($B33=0,0, (INDEX(Option2!AG$105:AG$116, MATCH($D33, Option2!$G$105:$G$116,0)))*conv_2026*AG$7)</f>
        <v>0</v>
      </c>
    </row>
    <row r="34" spans="1:35" s="8" customFormat="1" x14ac:dyDescent="0.2">
      <c r="A34" s="256" t="s">
        <v>131</v>
      </c>
      <c r="B34" s="256" t="str">
        <f>Option2!A113</f>
        <v>sens5</v>
      </c>
      <c r="C34" s="256" t="str">
        <f>Option2!C113</f>
        <v>Capex 10% higher &amp; Total benefits 10% lower</v>
      </c>
      <c r="D34" s="256" t="str">
        <f t="shared" si="2"/>
        <v>Option 2sens5</v>
      </c>
      <c r="E34" s="257"/>
      <c r="F34" s="31">
        <f t="shared" si="3"/>
        <v>7132640.126507435</v>
      </c>
      <c r="H34" s="31">
        <f>IF($B34=0,0, (INDEX(Option2!H$105:H$116, MATCH($D34, Option2!$G$105:$G$116,0)))*conv_2026*H$7)</f>
        <v>0</v>
      </c>
      <c r="I34" s="31">
        <f>IF($B34=0,0, (INDEX(Option2!I$105:I$116, MATCH($D34, Option2!$G$105:$G$116,0)))*conv_2026*I$7)</f>
        <v>701219.0480893465</v>
      </c>
      <c r="J34" s="31">
        <f>IF($B34=0,0, (INDEX(Option2!J$105:J$116, MATCH($D34, Option2!$G$105:$G$116,0)))*conv_2026*J$7)</f>
        <v>567345.66009399306</v>
      </c>
      <c r="K34" s="31">
        <f>IF($B34=0,0, (INDEX(Option2!K$105:K$116, MATCH($D34, Option2!$G$105:$G$116,0)))*conv_2026*K$7)</f>
        <v>784081.79614331329</v>
      </c>
      <c r="L34" s="31">
        <f>IF($B34=0,0, (INDEX(Option2!L$105:L$116, MATCH($D34, Option2!$G$105:$G$116,0)))*conv_2026*L$7)</f>
        <v>653078.98761764599</v>
      </c>
      <c r="M34" s="31">
        <f>IF($B34=0,0, (INDEX(Option2!M$105:M$116, MATCH($D34, Option2!$G$105:$G$116,0)))*conv_2026*M$7)</f>
        <v>872685.70313665166</v>
      </c>
      <c r="N34" s="31">
        <f>IF($B34=0,0, (INDEX(Option2!N$105:N$116, MATCH($D34, Option2!$G$105:$G$116,0)))*conv_2026*N$7)</f>
        <v>393943.95003599674</v>
      </c>
      <c r="O34" s="31">
        <f>IF($B34=0,0, (INDEX(Option2!O$105:O$116, MATCH($D34, Option2!$G$105:$G$116,0)))*conv_2026*O$7)</f>
        <v>616421.24502468843</v>
      </c>
      <c r="P34" s="31">
        <f>IF($B34=0,0, (INDEX(Option2!P$105:P$116, MATCH($D34, Option2!$G$105:$G$116,0)))*conv_2026*P$7)</f>
        <v>538237.0987412422</v>
      </c>
      <c r="Q34" s="31">
        <f>IF($B34=0,0, (INDEX(Option2!Q$105:Q$116, MATCH($D34, Option2!$G$105:$G$116,0)))*conv_2026*Q$7)</f>
        <v>538237.0987412422</v>
      </c>
      <c r="R34" s="31">
        <f>IF($B34=0,0, (INDEX(Option2!R$105:R$116, MATCH($D34, Option2!$G$105:$G$116,0)))*conv_2026*R$7)</f>
        <v>538237.0987412422</v>
      </c>
      <c r="S34" s="31">
        <f>IF($B34=0,0, (INDEX(Option2!S$105:S$116, MATCH($D34, Option2!$G$105:$G$116,0)))*conv_2026*S$7)</f>
        <v>538237.0987412422</v>
      </c>
      <c r="T34" s="31">
        <f>IF($B34=0,0, (INDEX(Option2!T$105:T$116, MATCH($D34, Option2!$G$105:$G$116,0)))*conv_2026*T$7)</f>
        <v>538237.0987412422</v>
      </c>
      <c r="U34" s="31">
        <f>IF($B34=0,0, (INDEX(Option2!U$105:U$116, MATCH($D34, Option2!$G$105:$G$116,0)))*conv_2026*U$7)</f>
        <v>538237.0987412422</v>
      </c>
      <c r="V34" s="31">
        <f>IF($B34=0,0, (INDEX(Option2!V$105:V$116, MATCH($D34, Option2!$G$105:$G$116,0)))*conv_2026*V$7)</f>
        <v>187627.57469656912</v>
      </c>
      <c r="W34" s="31">
        <f>IF($B34=0,0, (INDEX(Option2!W$105:W$116, MATCH($D34, Option2!$G$105:$G$116,0)))*conv_2026*W$7)</f>
        <v>187627.57469656912</v>
      </c>
      <c r="X34" s="31">
        <f>IF($B34=0,0, (INDEX(Option2!X$105:X$116, MATCH($D34, Option2!$G$105:$G$116,0)))*conv_2026*X$7)</f>
        <v>187627.57469656912</v>
      </c>
      <c r="Y34" s="31">
        <f>IF($B34=0,0, (INDEX(Option2!Y$105:Y$116, MATCH($D34, Option2!$G$105:$G$116,0)))*conv_2026*Y$7)</f>
        <v>187627.57469656912</v>
      </c>
      <c r="Z34" s="31">
        <f>IF($B34=0,0, (INDEX(Option2!Z$105:Z$116, MATCH($D34, Option2!$G$105:$G$116,0)))*conv_2026*Z$7)</f>
        <v>187627.57469656912</v>
      </c>
      <c r="AA34" s="31">
        <f>IF($B34=0,0, (INDEX(Option2!AA$105:AA$116, MATCH($D34, Option2!$G$105:$G$116,0)))*conv_2026*AA$7)</f>
        <v>187627.57469656912</v>
      </c>
      <c r="AB34" s="31">
        <f>IF($B34=0,0, (INDEX(Option2!AB$105:AB$116, MATCH($D34, Option2!$G$105:$G$116,0)))*conv_2026*AB$7)</f>
        <v>187627.57469656912</v>
      </c>
      <c r="AC34" s="31">
        <f>IF($B34=0,0, (INDEX(Option2!AC$105:AC$116, MATCH($D34, Option2!$G$105:$G$116,0)))*conv_2026*AC$7)</f>
        <v>0</v>
      </c>
      <c r="AD34" s="31">
        <f>IF($B34=0,0, (INDEX(Option2!AD$105:AD$116, MATCH($D34, Option2!$G$105:$G$116,0)))*conv_2026*AD$7)</f>
        <v>0</v>
      </c>
      <c r="AE34" s="31">
        <f>IF($B34=0,0, (INDEX(Option2!AE$105:AE$116, MATCH($D34, Option2!$G$105:$G$116,0)))*conv_2026*AE$7)</f>
        <v>0</v>
      </c>
      <c r="AF34" s="31">
        <f>IF($B34=0,0, (INDEX(Option2!AF$105:AF$116, MATCH($D34, Option2!$G$105:$G$116,0)))*conv_2026*AF$7)</f>
        <v>0</v>
      </c>
      <c r="AG34" s="31">
        <f>IF($B34=0,0, (INDEX(Option2!AG$105:AG$116, MATCH($D34, Option2!$G$105:$G$116,0)))*conv_2026*AG$7)</f>
        <v>0</v>
      </c>
    </row>
    <row r="35" spans="1:35" s="8" customFormat="1" x14ac:dyDescent="0.2">
      <c r="A35" s="256" t="s">
        <v>131</v>
      </c>
      <c r="B35" s="256" t="str">
        <f>Option2!A114</f>
        <v>sens</v>
      </c>
      <c r="C35" s="256">
        <f>Option2!C114</f>
        <v>0</v>
      </c>
      <c r="D35" s="256" t="str">
        <f t="shared" si="2"/>
        <v>Option 2sens</v>
      </c>
      <c r="E35" s="257"/>
      <c r="F35" s="31">
        <f t="shared" si="3"/>
        <v>9838833.0195765384</v>
      </c>
      <c r="H35" s="31">
        <f>IF($B35=0,0, (INDEX(Option2!H$105:H$116, MATCH($D35, Option2!$G$105:$G$116,0)))*conv_2026*H$7)</f>
        <v>0</v>
      </c>
      <c r="I35" s="31">
        <f>IF($B35=0,0, (INDEX(Option2!I$105:I$116, MATCH($D35, Option2!$G$105:$G$116,0)))*conv_2026*I$7)</f>
        <v>779132.27565482946</v>
      </c>
      <c r="J35" s="31">
        <f>IF($B35=0,0, (INDEX(Option2!J$105:J$116, MATCH($D35, Option2!$G$105:$G$116,0)))*conv_2026*J$7)</f>
        <v>657429.19565905363</v>
      </c>
      <c r="K35" s="31">
        <f>IF($B35=0,0, (INDEX(Option2!K$105:K$116, MATCH($D35, Option2!$G$105:$G$116,0)))*conv_2026*K$7)</f>
        <v>925292.25349069294</v>
      </c>
      <c r="L35" s="31">
        <f>IF($B35=0,0, (INDEX(Option2!L$105:L$116, MATCH($D35, Option2!$G$105:$G$116,0)))*conv_2026*L$7)</f>
        <v>806198.79119463183</v>
      </c>
      <c r="M35" s="31">
        <f>IF($B35=0,0, (INDEX(Option2!M$105:M$116, MATCH($D35, Option2!$G$105:$G$116,0)))*conv_2026*M$7)</f>
        <v>1076671.4667259851</v>
      </c>
      <c r="N35" s="31">
        <f>IF($B35=0,0, (INDEX(Option2!N$105:N$116, MATCH($D35, Option2!$G$105:$G$116,0)))*conv_2026*N$7)</f>
        <v>570621.48430222331</v>
      </c>
      <c r="O35" s="31">
        <f>IF($B35=0,0, (INDEX(Option2!O$105:O$116, MATCH($D35, Option2!$G$105:$G$116,0)))*conv_2026*O$7)</f>
        <v>843703.77753329114</v>
      </c>
      <c r="P35" s="31">
        <f>IF($B35=0,0, (INDEX(Option2!P$105:P$116, MATCH($D35, Option2!$G$105:$G$116,0)))*conv_2026*P$7)</f>
        <v>772627.28091197636</v>
      </c>
      <c r="Q35" s="31">
        <f>IF($B35=0,0, (INDEX(Option2!Q$105:Q$116, MATCH($D35, Option2!$G$105:$G$116,0)))*conv_2026*Q$7)</f>
        <v>772627.28091197636</v>
      </c>
      <c r="R35" s="31">
        <f>IF($B35=0,0, (INDEX(Option2!R$105:R$116, MATCH($D35, Option2!$G$105:$G$116,0)))*conv_2026*R$7)</f>
        <v>772627.28091197636</v>
      </c>
      <c r="S35" s="31">
        <f>IF($B35=0,0, (INDEX(Option2!S$105:S$116, MATCH($D35, Option2!$G$105:$G$116,0)))*conv_2026*S$7)</f>
        <v>772627.28091197636</v>
      </c>
      <c r="T35" s="31">
        <f>IF($B35=0,0, (INDEX(Option2!T$105:T$116, MATCH($D35, Option2!$G$105:$G$116,0)))*conv_2026*T$7)</f>
        <v>772627.28091197636</v>
      </c>
      <c r="U35" s="31">
        <f>IF($B35=0,0, (INDEX(Option2!U$105:U$116, MATCH($D35, Option2!$G$105:$G$116,0)))*conv_2026*U$7)</f>
        <v>772627.28091197636</v>
      </c>
      <c r="V35" s="31">
        <f>IF($B35=0,0, (INDEX(Option2!V$105:V$116, MATCH($D35, Option2!$G$105:$G$116,0)))*conv_2026*V$7)</f>
        <v>383061.14308456192</v>
      </c>
      <c r="W35" s="31">
        <f>IF($B35=0,0, (INDEX(Option2!W$105:W$116, MATCH($D35, Option2!$G$105:$G$116,0)))*conv_2026*W$7)</f>
        <v>383061.14308456192</v>
      </c>
      <c r="X35" s="31">
        <f>IF($B35=0,0, (INDEX(Option2!X$105:X$116, MATCH($D35, Option2!$G$105:$G$116,0)))*conv_2026*X$7)</f>
        <v>383061.14308456192</v>
      </c>
      <c r="Y35" s="31">
        <f>IF($B35=0,0, (INDEX(Option2!Y$105:Y$116, MATCH($D35, Option2!$G$105:$G$116,0)))*conv_2026*Y$7)</f>
        <v>383061.14308456192</v>
      </c>
      <c r="Z35" s="31">
        <f>IF($B35=0,0, (INDEX(Option2!Z$105:Z$116, MATCH($D35, Option2!$G$105:$G$116,0)))*conv_2026*Z$7)</f>
        <v>383061.14308456192</v>
      </c>
      <c r="AA35" s="31">
        <f>IF($B35=0,0, (INDEX(Option2!AA$105:AA$116, MATCH($D35, Option2!$G$105:$G$116,0)))*conv_2026*AA$7)</f>
        <v>383061.14308456192</v>
      </c>
      <c r="AB35" s="31">
        <f>IF($B35=0,0, (INDEX(Option2!AB$105:AB$116, MATCH($D35, Option2!$G$105:$G$116,0)))*conv_2026*AB$7)</f>
        <v>383061.14308456192</v>
      </c>
      <c r="AC35" s="31">
        <f>IF($B35=0,0, (INDEX(Option2!AC$105:AC$116, MATCH($D35, Option2!$G$105:$G$116,0)))*conv_2026*AC$7)</f>
        <v>0</v>
      </c>
      <c r="AD35" s="31">
        <f>IF($B35=0,0, (INDEX(Option2!AD$105:AD$116, MATCH($D35, Option2!$G$105:$G$116,0)))*conv_2026*AD$7)</f>
        <v>0</v>
      </c>
      <c r="AE35" s="31">
        <f>IF($B35=0,0, (INDEX(Option2!AE$105:AE$116, MATCH($D35, Option2!$G$105:$G$116,0)))*conv_2026*AE$7)</f>
        <v>0</v>
      </c>
      <c r="AF35" s="31">
        <f>IF($B35=0,0, (INDEX(Option2!AF$105:AF$116, MATCH($D35, Option2!$G$105:$G$116,0)))*conv_2026*AF$7)</f>
        <v>0</v>
      </c>
      <c r="AG35" s="31">
        <f>IF($B35=0,0, (INDEX(Option2!AG$105:AG$116, MATCH($D35, Option2!$G$105:$G$116,0)))*conv_2026*AG$7)</f>
        <v>0</v>
      </c>
    </row>
    <row r="36" spans="1:35" s="8" customFormat="1" x14ac:dyDescent="0.2">
      <c r="A36" s="256" t="s">
        <v>131</v>
      </c>
      <c r="B36" s="256" t="str">
        <f>Option2!A115</f>
        <v>sens</v>
      </c>
      <c r="C36" s="256">
        <f>Option2!C115</f>
        <v>0</v>
      </c>
      <c r="D36" s="256" t="str">
        <f t="shared" si="2"/>
        <v>Option 2sens</v>
      </c>
      <c r="E36" s="257"/>
      <c r="F36" s="31">
        <f t="shared" si="3"/>
        <v>9838833.0195765384</v>
      </c>
      <c r="H36" s="31">
        <f>IF($B36=0,0, (INDEX(Option2!H$105:H$116, MATCH($D36, Option2!$G$105:$G$116,0)))*conv_2026*H$7)</f>
        <v>0</v>
      </c>
      <c r="I36" s="31">
        <f>IF($B36=0,0, (INDEX(Option2!I$105:I$116, MATCH($D36, Option2!$G$105:$G$116,0)))*conv_2026*I$7)</f>
        <v>779132.27565482946</v>
      </c>
      <c r="J36" s="31">
        <f>IF($B36=0,0, (INDEX(Option2!J$105:J$116, MATCH($D36, Option2!$G$105:$G$116,0)))*conv_2026*J$7)</f>
        <v>657429.19565905363</v>
      </c>
      <c r="K36" s="31">
        <f>IF($B36=0,0, (INDEX(Option2!K$105:K$116, MATCH($D36, Option2!$G$105:$G$116,0)))*conv_2026*K$7)</f>
        <v>925292.25349069294</v>
      </c>
      <c r="L36" s="31">
        <f>IF($B36=0,0, (INDEX(Option2!L$105:L$116, MATCH($D36, Option2!$G$105:$G$116,0)))*conv_2026*L$7)</f>
        <v>806198.79119463183</v>
      </c>
      <c r="M36" s="31">
        <f>IF($B36=0,0, (INDEX(Option2!M$105:M$116, MATCH($D36, Option2!$G$105:$G$116,0)))*conv_2026*M$7)</f>
        <v>1076671.4667259851</v>
      </c>
      <c r="N36" s="31">
        <f>IF($B36=0,0, (INDEX(Option2!N$105:N$116, MATCH($D36, Option2!$G$105:$G$116,0)))*conv_2026*N$7)</f>
        <v>570621.48430222331</v>
      </c>
      <c r="O36" s="31">
        <f>IF($B36=0,0, (INDEX(Option2!O$105:O$116, MATCH($D36, Option2!$G$105:$G$116,0)))*conv_2026*O$7)</f>
        <v>843703.77753329114</v>
      </c>
      <c r="P36" s="31">
        <f>IF($B36=0,0, (INDEX(Option2!P$105:P$116, MATCH($D36, Option2!$G$105:$G$116,0)))*conv_2026*P$7)</f>
        <v>772627.28091197636</v>
      </c>
      <c r="Q36" s="31">
        <f>IF($B36=0,0, (INDEX(Option2!Q$105:Q$116, MATCH($D36, Option2!$G$105:$G$116,0)))*conv_2026*Q$7)</f>
        <v>772627.28091197636</v>
      </c>
      <c r="R36" s="31">
        <f>IF($B36=0,0, (INDEX(Option2!R$105:R$116, MATCH($D36, Option2!$G$105:$G$116,0)))*conv_2026*R$7)</f>
        <v>772627.28091197636</v>
      </c>
      <c r="S36" s="31">
        <f>IF($B36=0,0, (INDEX(Option2!S$105:S$116, MATCH($D36, Option2!$G$105:$G$116,0)))*conv_2026*S$7)</f>
        <v>772627.28091197636</v>
      </c>
      <c r="T36" s="31">
        <f>IF($B36=0,0, (INDEX(Option2!T$105:T$116, MATCH($D36, Option2!$G$105:$G$116,0)))*conv_2026*T$7)</f>
        <v>772627.28091197636</v>
      </c>
      <c r="U36" s="31">
        <f>IF($B36=0,0, (INDEX(Option2!U$105:U$116, MATCH($D36, Option2!$G$105:$G$116,0)))*conv_2026*U$7)</f>
        <v>772627.28091197636</v>
      </c>
      <c r="V36" s="31">
        <f>IF($B36=0,0, (INDEX(Option2!V$105:V$116, MATCH($D36, Option2!$G$105:$G$116,0)))*conv_2026*V$7)</f>
        <v>383061.14308456192</v>
      </c>
      <c r="W36" s="31">
        <f>IF($B36=0,0, (INDEX(Option2!W$105:W$116, MATCH($D36, Option2!$G$105:$G$116,0)))*conv_2026*W$7)</f>
        <v>383061.14308456192</v>
      </c>
      <c r="X36" s="31">
        <f>IF($B36=0,0, (INDEX(Option2!X$105:X$116, MATCH($D36, Option2!$G$105:$G$116,0)))*conv_2026*X$7)</f>
        <v>383061.14308456192</v>
      </c>
      <c r="Y36" s="31">
        <f>IF($B36=0,0, (INDEX(Option2!Y$105:Y$116, MATCH($D36, Option2!$G$105:$G$116,0)))*conv_2026*Y$7)</f>
        <v>383061.14308456192</v>
      </c>
      <c r="Z36" s="31">
        <f>IF($B36=0,0, (INDEX(Option2!Z$105:Z$116, MATCH($D36, Option2!$G$105:$G$116,0)))*conv_2026*Z$7)</f>
        <v>383061.14308456192</v>
      </c>
      <c r="AA36" s="31">
        <f>IF($B36=0,0, (INDEX(Option2!AA$105:AA$116, MATCH($D36, Option2!$G$105:$G$116,0)))*conv_2026*AA$7)</f>
        <v>383061.14308456192</v>
      </c>
      <c r="AB36" s="31">
        <f>IF($B36=0,0, (INDEX(Option2!AB$105:AB$116, MATCH($D36, Option2!$G$105:$G$116,0)))*conv_2026*AB$7)</f>
        <v>383061.14308456192</v>
      </c>
      <c r="AC36" s="31">
        <f>IF($B36=0,0, (INDEX(Option2!AC$105:AC$116, MATCH($D36, Option2!$G$105:$G$116,0)))*conv_2026*AC$7)</f>
        <v>0</v>
      </c>
      <c r="AD36" s="31">
        <f>IF($B36=0,0, (INDEX(Option2!AD$105:AD$116, MATCH($D36, Option2!$G$105:$G$116,0)))*conv_2026*AD$7)</f>
        <v>0</v>
      </c>
      <c r="AE36" s="31">
        <f>IF($B36=0,0, (INDEX(Option2!AE$105:AE$116, MATCH($D36, Option2!$G$105:$G$116,0)))*conv_2026*AE$7)</f>
        <v>0</v>
      </c>
      <c r="AF36" s="31">
        <f>IF($B36=0,0, (INDEX(Option2!AF$105:AF$116, MATCH($D36, Option2!$G$105:$G$116,0)))*conv_2026*AF$7)</f>
        <v>0</v>
      </c>
      <c r="AG36" s="31">
        <f>IF($B36=0,0, (INDEX(Option2!AG$105:AG$116, MATCH($D36, Option2!$G$105:$G$116,0)))*conv_2026*AG$7)</f>
        <v>0</v>
      </c>
    </row>
    <row r="37" spans="1:35" s="8" customFormat="1" x14ac:dyDescent="0.2">
      <c r="A37" s="256" t="s">
        <v>131</v>
      </c>
      <c r="B37" s="256" t="str">
        <f>Option2!A116</f>
        <v>sens</v>
      </c>
      <c r="C37" s="256">
        <f>Option2!C116</f>
        <v>0</v>
      </c>
      <c r="D37" s="256" t="str">
        <f t="shared" si="2"/>
        <v>Option 2sens</v>
      </c>
      <c r="E37" s="257"/>
      <c r="F37" s="31">
        <f t="shared" si="3"/>
        <v>9838833.0195765384</v>
      </c>
      <c r="H37" s="31">
        <f>IF($B37=0,0, (INDEX(Option2!H$105:H$116, MATCH($D37, Option2!$G$105:$G$116,0)))*conv_2026*H$7)</f>
        <v>0</v>
      </c>
      <c r="I37" s="31">
        <f>IF($B37=0,0, (INDEX(Option2!I$105:I$116, MATCH($D37, Option2!$G$105:$G$116,0)))*conv_2026*I$7)</f>
        <v>779132.27565482946</v>
      </c>
      <c r="J37" s="31">
        <f>IF($B37=0,0, (INDEX(Option2!J$105:J$116, MATCH($D37, Option2!$G$105:$G$116,0)))*conv_2026*J$7)</f>
        <v>657429.19565905363</v>
      </c>
      <c r="K37" s="31">
        <f>IF($B37=0,0, (INDEX(Option2!K$105:K$116, MATCH($D37, Option2!$G$105:$G$116,0)))*conv_2026*K$7)</f>
        <v>925292.25349069294</v>
      </c>
      <c r="L37" s="31">
        <f>IF($B37=0,0, (INDEX(Option2!L$105:L$116, MATCH($D37, Option2!$G$105:$G$116,0)))*conv_2026*L$7)</f>
        <v>806198.79119463183</v>
      </c>
      <c r="M37" s="31">
        <f>IF($B37=0,0, (INDEX(Option2!M$105:M$116, MATCH($D37, Option2!$G$105:$G$116,0)))*conv_2026*M$7)</f>
        <v>1076671.4667259851</v>
      </c>
      <c r="N37" s="31">
        <f>IF($B37=0,0, (INDEX(Option2!N$105:N$116, MATCH($D37, Option2!$G$105:$G$116,0)))*conv_2026*N$7)</f>
        <v>570621.48430222331</v>
      </c>
      <c r="O37" s="31">
        <f>IF($B37=0,0, (INDEX(Option2!O$105:O$116, MATCH($D37, Option2!$G$105:$G$116,0)))*conv_2026*O$7)</f>
        <v>843703.77753329114</v>
      </c>
      <c r="P37" s="31">
        <f>IF($B37=0,0, (INDEX(Option2!P$105:P$116, MATCH($D37, Option2!$G$105:$G$116,0)))*conv_2026*P$7)</f>
        <v>772627.28091197636</v>
      </c>
      <c r="Q37" s="31">
        <f>IF($B37=0,0, (INDEX(Option2!Q$105:Q$116, MATCH($D37, Option2!$G$105:$G$116,0)))*conv_2026*Q$7)</f>
        <v>772627.28091197636</v>
      </c>
      <c r="R37" s="31">
        <f>IF($B37=0,0, (INDEX(Option2!R$105:R$116, MATCH($D37, Option2!$G$105:$G$116,0)))*conv_2026*R$7)</f>
        <v>772627.28091197636</v>
      </c>
      <c r="S37" s="31">
        <f>IF($B37=0,0, (INDEX(Option2!S$105:S$116, MATCH($D37, Option2!$G$105:$G$116,0)))*conv_2026*S$7)</f>
        <v>772627.28091197636</v>
      </c>
      <c r="T37" s="31">
        <f>IF($B37=0,0, (INDEX(Option2!T$105:T$116, MATCH($D37, Option2!$G$105:$G$116,0)))*conv_2026*T$7)</f>
        <v>772627.28091197636</v>
      </c>
      <c r="U37" s="31">
        <f>IF($B37=0,0, (INDEX(Option2!U$105:U$116, MATCH($D37, Option2!$G$105:$G$116,0)))*conv_2026*U$7)</f>
        <v>772627.28091197636</v>
      </c>
      <c r="V37" s="31">
        <f>IF($B37=0,0, (INDEX(Option2!V$105:V$116, MATCH($D37, Option2!$G$105:$G$116,0)))*conv_2026*V$7)</f>
        <v>383061.14308456192</v>
      </c>
      <c r="W37" s="31">
        <f>IF($B37=0,0, (INDEX(Option2!W$105:W$116, MATCH($D37, Option2!$G$105:$G$116,0)))*conv_2026*W$7)</f>
        <v>383061.14308456192</v>
      </c>
      <c r="X37" s="31">
        <f>IF($B37=0,0, (INDEX(Option2!X$105:X$116, MATCH($D37, Option2!$G$105:$G$116,0)))*conv_2026*X$7)</f>
        <v>383061.14308456192</v>
      </c>
      <c r="Y37" s="31">
        <f>IF($B37=0,0, (INDEX(Option2!Y$105:Y$116, MATCH($D37, Option2!$G$105:$G$116,0)))*conv_2026*Y$7)</f>
        <v>383061.14308456192</v>
      </c>
      <c r="Z37" s="31">
        <f>IF($B37=0,0, (INDEX(Option2!Z$105:Z$116, MATCH($D37, Option2!$G$105:$G$116,0)))*conv_2026*Z$7)</f>
        <v>383061.14308456192</v>
      </c>
      <c r="AA37" s="31">
        <f>IF($B37=0,0, (INDEX(Option2!AA$105:AA$116, MATCH($D37, Option2!$G$105:$G$116,0)))*conv_2026*AA$7)</f>
        <v>383061.14308456192</v>
      </c>
      <c r="AB37" s="31">
        <f>IF($B37=0,0, (INDEX(Option2!AB$105:AB$116, MATCH($D37, Option2!$G$105:$G$116,0)))*conv_2026*AB$7)</f>
        <v>383061.14308456192</v>
      </c>
      <c r="AC37" s="31">
        <f>IF($B37=0,0, (INDEX(Option2!AC$105:AC$116, MATCH($D37, Option2!$G$105:$G$116,0)))*conv_2026*AC$7)</f>
        <v>0</v>
      </c>
      <c r="AD37" s="31">
        <f>IF($B37=0,0, (INDEX(Option2!AD$105:AD$116, MATCH($D37, Option2!$G$105:$G$116,0)))*conv_2026*AD$7)</f>
        <v>0</v>
      </c>
      <c r="AE37" s="31">
        <f>IF($B37=0,0, (INDEX(Option2!AE$105:AE$116, MATCH($D37, Option2!$G$105:$G$116,0)))*conv_2026*AE$7)</f>
        <v>0</v>
      </c>
      <c r="AF37" s="31">
        <f>IF($B37=0,0, (INDEX(Option2!AF$105:AF$116, MATCH($D37, Option2!$G$105:$G$116,0)))*conv_2026*AF$7)</f>
        <v>0</v>
      </c>
      <c r="AG37" s="31">
        <f>IF($B37=0,0, (INDEX(Option2!AG$105:AG$116, MATCH($D37, Option2!$G$105:$G$116,0)))*conv_2026*AG$7)</f>
        <v>0</v>
      </c>
    </row>
    <row r="38" spans="1:35" s="8" customFormat="1" x14ac:dyDescent="0.2">
      <c r="A38" s="256"/>
      <c r="B38" s="256"/>
      <c r="C38" s="256"/>
      <c r="D38" s="256"/>
      <c r="E38" s="256"/>
      <c r="F38" s="31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</row>
    <row r="39" spans="1:35" s="8" customFormat="1" x14ac:dyDescent="0.2">
      <c r="A39" s="256"/>
      <c r="B39" s="256"/>
      <c r="C39" s="256"/>
      <c r="D39" s="256"/>
      <c r="E39" s="256"/>
      <c r="F39" s="31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</row>
    <row r="40" spans="1:35" s="8" customFormat="1" x14ac:dyDescent="0.2">
      <c r="A40" s="256"/>
      <c r="B40" s="256"/>
      <c r="C40" s="256"/>
      <c r="D40" s="256"/>
      <c r="E40" s="256"/>
      <c r="F40" s="31"/>
      <c r="H40" s="31">
        <f>Consol!H50</f>
        <v>0</v>
      </c>
      <c r="I40" s="31">
        <f>Consol!I50</f>
        <v>0</v>
      </c>
      <c r="J40" s="31">
        <f>Consol!J50</f>
        <v>262643.8224322102</v>
      </c>
      <c r="K40" s="31">
        <f>Consol!K50</f>
        <v>527897.26256413432</v>
      </c>
      <c r="L40" s="31">
        <f>Consol!L50</f>
        <v>406194.18256835837</v>
      </c>
      <c r="M40" s="31">
        <f>Consol!M50</f>
        <v>674057.24039999791</v>
      </c>
      <c r="N40" s="31">
        <f>Consol!N50</f>
        <v>554963.77810393635</v>
      </c>
      <c r="O40" s="31">
        <f>Consol!O50</f>
        <v>828046.07133500429</v>
      </c>
      <c r="P40" s="31">
        <f>Consol!P50</f>
        <v>785485.57903238782</v>
      </c>
      <c r="Q40" s="31">
        <f>Consol!Q50</f>
        <v>785485.57903238782</v>
      </c>
      <c r="R40" s="31">
        <f>Consol!R50</f>
        <v>785485.57903238782</v>
      </c>
      <c r="S40" s="31">
        <f>Consol!S50</f>
        <v>785485.57903238782</v>
      </c>
      <c r="T40" s="31">
        <f>Consol!T50</f>
        <v>785485.57903238782</v>
      </c>
      <c r="U40" s="31">
        <f>Consol!U50</f>
        <v>785485.57903238782</v>
      </c>
      <c r="V40" s="31">
        <f>Consol!V50</f>
        <v>395919.44120497326</v>
      </c>
      <c r="W40" s="31">
        <f>Consol!W50</f>
        <v>395919.44120497326</v>
      </c>
      <c r="X40" s="31">
        <f>Consol!X50</f>
        <v>395919.44120497326</v>
      </c>
      <c r="Y40" s="31">
        <f>Consol!Y50</f>
        <v>395919.44120497326</v>
      </c>
      <c r="Z40" s="31">
        <f>Consol!Z50</f>
        <v>395919.44120497326</v>
      </c>
      <c r="AA40" s="31">
        <f>Consol!AA50</f>
        <v>395919.44120497326</v>
      </c>
      <c r="AB40" s="31">
        <f>Consol!AB50</f>
        <v>395919.44120497326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6"/>
      <c r="B41" s="256"/>
      <c r="C41" s="256"/>
      <c r="D41" s="256"/>
      <c r="E41" s="256"/>
      <c r="F41" s="31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</row>
    <row r="42" spans="1:35" s="8" customFormat="1" x14ac:dyDescent="0.2">
      <c r="A42" s="256" t="s">
        <v>132</v>
      </c>
      <c r="B42" s="256" t="s">
        <v>119</v>
      </c>
      <c r="C42" s="256" t="s">
        <v>186</v>
      </c>
      <c r="D42" s="256" t="str">
        <f>A42&amp;B42</f>
        <v>Option 3NPV</v>
      </c>
      <c r="E42" s="257"/>
      <c r="F42" s="31">
        <f t="shared" ref="F42:F51" si="4">SUMPRODUCT($H42:$AG42, $H$5:$AG$5)</f>
        <v>7714363.4572861008</v>
      </c>
      <c r="G42" s="249"/>
      <c r="H42" s="31">
        <f>(INDEX(Option3!H$105:H$116, MATCH($D42, Option3!$G$105:$G$116,0)))*conv_2026*H$7</f>
        <v>0</v>
      </c>
      <c r="I42" s="31">
        <f>(INDEX(Option3!I$105:I$116, MATCH($D42, Option3!$G$105:$G$116,0)))*conv_2026*I$7</f>
        <v>0</v>
      </c>
      <c r="J42" s="31">
        <f>(INDEX(Option3!J$105:J$116, MATCH($D42, Option3!$G$105:$G$116,0)))*conv_2026*J$7</f>
        <v>262643.8224322102</v>
      </c>
      <c r="K42" s="31">
        <f>(INDEX(Option3!K$105:K$116, MATCH($D42, Option3!$G$105:$G$116,0)))*conv_2026*K$7</f>
        <v>527897.26256413432</v>
      </c>
      <c r="L42" s="31">
        <f>(INDEX(Option3!L$105:L$116, MATCH($D42, Option3!$G$105:$G$116,0)))*conv_2026*L$7</f>
        <v>406194.18256835843</v>
      </c>
      <c r="M42" s="31">
        <f>(INDEX(Option3!M$105:M$116, MATCH($D42, Option3!$G$105:$G$116,0)))*conv_2026*M$7</f>
        <v>674057.24039999791</v>
      </c>
      <c r="N42" s="31">
        <f>(INDEX(Option3!N$105:N$116, MATCH($D42, Option3!$G$105:$G$116,0)))*conv_2026*N$7</f>
        <v>554963.77810393635</v>
      </c>
      <c r="O42" s="31">
        <f>(INDEX(Option3!O$105:O$116, MATCH($D42, Option3!$G$105:$G$116,0)))*conv_2026*O$7</f>
        <v>828046.07133500418</v>
      </c>
      <c r="P42" s="31">
        <f>(INDEX(Option3!P$105:P$116, MATCH($D42, Option3!$G$105:$G$116,0)))*conv_2026*P$7</f>
        <v>785485.57903238782</v>
      </c>
      <c r="Q42" s="31">
        <f>(INDEX(Option3!Q$105:Q$116, MATCH($D42, Option3!$G$105:$G$116,0)))*conv_2026*Q$7</f>
        <v>785485.57903238782</v>
      </c>
      <c r="R42" s="31">
        <f>(INDEX(Option3!R$105:R$116, MATCH($D42, Option3!$G$105:$G$116,0)))*conv_2026*R$7</f>
        <v>785485.57903238782</v>
      </c>
      <c r="S42" s="31">
        <f>(INDEX(Option3!S$105:S$116, MATCH($D42, Option3!$G$105:$G$116,0)))*conv_2026*S$7</f>
        <v>785485.57903238782</v>
      </c>
      <c r="T42" s="31">
        <f>(INDEX(Option3!T$105:T$116, MATCH($D42, Option3!$G$105:$G$116,0)))*conv_2026*T$7</f>
        <v>785485.57903238782</v>
      </c>
      <c r="U42" s="31">
        <f>(INDEX(Option3!U$105:U$116, MATCH($D42, Option3!$G$105:$G$116,0)))*conv_2026*U$7</f>
        <v>785485.57903238782</v>
      </c>
      <c r="V42" s="31">
        <f>(INDEX(Option3!V$105:V$116, MATCH($D42, Option3!$G$105:$G$116,0)))*conv_2026*V$7</f>
        <v>395919.44120497326</v>
      </c>
      <c r="W42" s="31">
        <f>(INDEX(Option3!W$105:W$116, MATCH($D42, Option3!$G$105:$G$116,0)))*conv_2026*W$7</f>
        <v>395919.44120497326</v>
      </c>
      <c r="X42" s="31">
        <f>(INDEX(Option3!X$105:X$116, MATCH($D42, Option3!$G$105:$G$116,0)))*conv_2026*X$7</f>
        <v>395919.44120497326</v>
      </c>
      <c r="Y42" s="31">
        <f>(INDEX(Option3!Y$105:Y$116, MATCH($D42, Option3!$G$105:$G$116,0)))*conv_2026*Y$7</f>
        <v>395919.44120497326</v>
      </c>
      <c r="Z42" s="31">
        <f>(INDEX(Option3!Z$105:Z$116, MATCH($D42, Option3!$G$105:$G$116,0)))*conv_2026*Z$7</f>
        <v>395919.44120497326</v>
      </c>
      <c r="AA42" s="31">
        <f>(INDEX(Option3!AA$105:AA$116, MATCH($D42, Option3!$G$105:$G$116,0)))*conv_2026*AA$7</f>
        <v>395919.44120497326</v>
      </c>
      <c r="AB42" s="31">
        <f>(INDEX(Option3!AB$105:AB$116, MATCH($D42, Option3!$G$105:$G$116,0)))*conv_2026*AB$7</f>
        <v>395919.44120497326</v>
      </c>
      <c r="AC42" s="31">
        <f>(INDEX(Option3!AC$105:AC$116, MATCH($D42, Option3!$G$105:$G$116,0)))*conv_2026*AC$7</f>
        <v>0</v>
      </c>
      <c r="AD42" s="31">
        <f>(INDEX(Option3!AD$105:AD$116, MATCH($D42, Option3!$G$105:$G$116,0)))*conv_2026*AD$7</f>
        <v>0</v>
      </c>
      <c r="AE42" s="31">
        <f>(INDEX(Option3!AE$105:AE$116, MATCH($D42, Option3!$G$105:$G$116,0)))*conv_2026*AE$7</f>
        <v>0</v>
      </c>
      <c r="AF42" s="31">
        <f>(INDEX(Option3!AF$105:AF$116, MATCH($D42, Option3!$G$105:$G$116,0)))*conv_2026*AF$7</f>
        <v>0</v>
      </c>
      <c r="AG42" s="31">
        <f>(INDEX(Option3!AG$105:AG$116, MATCH($D42, Option3!$G$105:$G$116,0)))*conv_2026*AG$7</f>
        <v>0</v>
      </c>
      <c r="AH42" s="7"/>
      <c r="AI42" s="7"/>
    </row>
    <row r="43" spans="1:35" s="8" customFormat="1" x14ac:dyDescent="0.2">
      <c r="A43" s="248"/>
      <c r="B43" s="248"/>
      <c r="C43" s="248"/>
      <c r="D43" s="248"/>
      <c r="E43" s="248"/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7"/>
      <c r="AI43" s="7"/>
    </row>
    <row r="44" spans="1:35" s="8" customFormat="1" x14ac:dyDescent="0.2">
      <c r="A44" s="256" t="s">
        <v>132</v>
      </c>
      <c r="B44" s="256" t="str">
        <f>Option3!A109</f>
        <v>sens1</v>
      </c>
      <c r="C44" s="256" t="str">
        <f>Option3!C109</f>
        <v>Capex 10% higher</v>
      </c>
      <c r="D44" s="256" t="str">
        <f t="shared" ref="D44:D51" si="5">A44&amp;B44</f>
        <v>Option 3sens1</v>
      </c>
      <c r="E44" s="257"/>
      <c r="F44" s="31">
        <f t="shared" si="4"/>
        <v>6857996.7424661852</v>
      </c>
      <c r="G44" s="249"/>
      <c r="H44" s="31">
        <f>(INDEX(Option3!H$105:H$116, MATCH($D44, Option3!$G$105:$G$116,0)))*conv_2026*H$7</f>
        <v>0</v>
      </c>
      <c r="I44" s="31">
        <f>(INDEX(Option3!I$105:I$116, MATCH($D44, Option3!$G$105:$G$116,0)))*conv_2026*I$7</f>
        <v>0</v>
      </c>
      <c r="J44" s="31">
        <f>(INDEX(Option3!J$105:J$116, MATCH($D44, Option3!$G$105:$G$116,0)))*conv_2026*J$7</f>
        <v>249951.59089268968</v>
      </c>
      <c r="K44" s="31">
        <f>(INDEX(Option3!K$105:K$116, MATCH($D44, Option3!$G$105:$G$116,0)))*conv_2026*K$7</f>
        <v>502773.76125506475</v>
      </c>
      <c r="L44" s="31">
        <f>(INDEX(Option3!L$105:L$116, MATCH($D44, Option3!$G$105:$G$116,0)))*conv_2026*L$7</f>
        <v>368900.37325971131</v>
      </c>
      <c r="M44" s="31">
        <f>(INDEX(Option3!M$105:M$116, MATCH($D44, Option3!$G$105:$G$116,0)))*conv_2026*M$7</f>
        <v>624593.12309177325</v>
      </c>
      <c r="N44" s="31">
        <f>(INDEX(Option3!N$105:N$116, MATCH($D44, Option3!$G$105:$G$116,0)))*conv_2026*N$7</f>
        <v>493590.31456610549</v>
      </c>
      <c r="O44" s="31">
        <f>(INDEX(Option3!O$105:O$116, MATCH($D44, Option3!$G$105:$G$116,0)))*conv_2026*O$7</f>
        <v>755024.22333753854</v>
      </c>
      <c r="P44" s="31">
        <f>(INDEX(Option3!P$105:P$116, MATCH($D44, Option3!$G$105:$G$116,0)))*conv_2026*P$7</f>
        <v>708207.68180466059</v>
      </c>
      <c r="Q44" s="31">
        <f>(INDEX(Option3!Q$105:Q$116, MATCH($D44, Option3!$G$105:$G$116,0)))*conv_2026*Q$7</f>
        <v>708207.68180466059</v>
      </c>
      <c r="R44" s="31">
        <f>(INDEX(Option3!R$105:R$116, MATCH($D44, Option3!$G$105:$G$116,0)))*conv_2026*R$7</f>
        <v>708207.68180466059</v>
      </c>
      <c r="S44" s="31">
        <f>(INDEX(Option3!S$105:S$116, MATCH($D44, Option3!$G$105:$G$116,0)))*conv_2026*S$7</f>
        <v>708207.68180466059</v>
      </c>
      <c r="T44" s="31">
        <f>(INDEX(Option3!T$105:T$116, MATCH($D44, Option3!$G$105:$G$116,0)))*conv_2026*T$7</f>
        <v>708207.68180466059</v>
      </c>
      <c r="U44" s="31">
        <f>(INDEX(Option3!U$105:U$116, MATCH($D44, Option3!$G$105:$G$116,0)))*conv_2026*U$7</f>
        <v>708207.68180466059</v>
      </c>
      <c r="V44" s="31">
        <f>(INDEX(Option3!V$105:V$116, MATCH($D44, Option3!$G$105:$G$116,0)))*conv_2026*V$7</f>
        <v>318641.5439772461</v>
      </c>
      <c r="W44" s="31">
        <f>(INDEX(Option3!W$105:W$116, MATCH($D44, Option3!$G$105:$G$116,0)))*conv_2026*W$7</f>
        <v>318641.5439772461</v>
      </c>
      <c r="X44" s="31">
        <f>(INDEX(Option3!X$105:X$116, MATCH($D44, Option3!$G$105:$G$116,0)))*conv_2026*X$7</f>
        <v>318641.5439772461</v>
      </c>
      <c r="Y44" s="31">
        <f>(INDEX(Option3!Y$105:Y$116, MATCH($D44, Option3!$G$105:$G$116,0)))*conv_2026*Y$7</f>
        <v>318641.5439772461</v>
      </c>
      <c r="Z44" s="31">
        <f>(INDEX(Option3!Z$105:Z$116, MATCH($D44, Option3!$G$105:$G$116,0)))*conv_2026*Z$7</f>
        <v>318641.5439772461</v>
      </c>
      <c r="AA44" s="31">
        <f>(INDEX(Option3!AA$105:AA$116, MATCH($D44, Option3!$G$105:$G$116,0)))*conv_2026*AA$7</f>
        <v>318641.5439772461</v>
      </c>
      <c r="AB44" s="31">
        <f>(INDEX(Option3!AB$105:AB$116, MATCH($D44, Option3!$G$105:$G$116,0)))*conv_2026*AB$7</f>
        <v>318641.5439772461</v>
      </c>
      <c r="AC44" s="31">
        <f>(INDEX(Option3!AC$105:AC$116, MATCH($D44, Option3!$G$105:$G$116,0)))*conv_2026*AC$7</f>
        <v>0</v>
      </c>
      <c r="AD44" s="31">
        <f>(INDEX(Option3!AD$105:AD$116, MATCH($D44, Option3!$G$105:$G$116,0)))*conv_2026*AD$7</f>
        <v>0</v>
      </c>
      <c r="AE44" s="31">
        <f>(INDEX(Option3!AE$105:AE$116, MATCH($D44, Option3!$G$105:$G$116,0)))*conv_2026*AE$7</f>
        <v>0</v>
      </c>
      <c r="AF44" s="31">
        <f>(INDEX(Option3!AF$105:AF$116, MATCH($D44, Option3!$G$105:$G$116,0)))*conv_2026*AF$7</f>
        <v>0</v>
      </c>
      <c r="AG44" s="31">
        <f>(INDEX(Option3!AG$105:AG$116, MATCH($D44, Option3!$G$105:$G$116,0)))*conv_2026*AG$7</f>
        <v>0</v>
      </c>
      <c r="AH44" s="7"/>
      <c r="AI44" s="7"/>
    </row>
    <row r="45" spans="1:35" s="8" customFormat="1" x14ac:dyDescent="0.2">
      <c r="A45" s="256" t="s">
        <v>132</v>
      </c>
      <c r="B45" s="256" t="str">
        <f>Option3!A110</f>
        <v>sens2</v>
      </c>
      <c r="C45" s="256" t="str">
        <f>Option3!C110</f>
        <v>Capex 10% lower</v>
      </c>
      <c r="D45" s="256" t="str">
        <f t="shared" si="5"/>
        <v>Option 3sens2</v>
      </c>
      <c r="E45" s="257"/>
      <c r="F45" s="31">
        <f t="shared" si="4"/>
        <v>8570730.1721060146</v>
      </c>
      <c r="G45" s="256"/>
      <c r="H45" s="31">
        <f>(INDEX(Option3!H$105:H$116, MATCH($D45, Option3!$G$105:$G$116,0)))*conv_2026*H$7</f>
        <v>0</v>
      </c>
      <c r="I45" s="31">
        <f>(INDEX(Option3!I$105:I$116, MATCH($D45, Option3!$G$105:$G$116,0)))*conv_2026*I$7</f>
        <v>0</v>
      </c>
      <c r="J45" s="31">
        <f>(INDEX(Option3!J$105:J$116, MATCH($D45, Option3!$G$105:$G$116,0)))*conv_2026*J$7</f>
        <v>275336.0539717307</v>
      </c>
      <c r="K45" s="31">
        <f>(INDEX(Option3!K$105:K$116, MATCH($D45, Option3!$G$105:$G$116,0)))*conv_2026*K$7</f>
        <v>553020.76387320377</v>
      </c>
      <c r="L45" s="31">
        <f>(INDEX(Option3!L$105:L$116, MATCH($D45, Option3!$G$105:$G$116,0)))*conv_2026*L$7</f>
        <v>443487.99187700555</v>
      </c>
      <c r="M45" s="31">
        <f>(INDEX(Option3!M$105:M$116, MATCH($D45, Option3!$G$105:$G$116,0)))*conv_2026*M$7</f>
        <v>723521.35770822258</v>
      </c>
      <c r="N45" s="31">
        <f>(INDEX(Option3!N$105:N$116, MATCH($D45, Option3!$G$105:$G$116,0)))*conv_2026*N$7</f>
        <v>616337.24164176709</v>
      </c>
      <c r="O45" s="31">
        <f>(INDEX(Option3!O$105:O$116, MATCH($D45, Option3!$G$105:$G$116,0)))*conv_2026*O$7</f>
        <v>901067.9193324697</v>
      </c>
      <c r="P45" s="31">
        <f>(INDEX(Option3!P$105:P$116, MATCH($D45, Option3!$G$105:$G$116,0)))*conv_2026*P$7</f>
        <v>862763.47626011493</v>
      </c>
      <c r="Q45" s="31">
        <f>(INDEX(Option3!Q$105:Q$116, MATCH($D45, Option3!$G$105:$G$116,0)))*conv_2026*Q$7</f>
        <v>862763.47626011493</v>
      </c>
      <c r="R45" s="31">
        <f>(INDEX(Option3!R$105:R$116, MATCH($D45, Option3!$G$105:$G$116,0)))*conv_2026*R$7</f>
        <v>862763.47626011493</v>
      </c>
      <c r="S45" s="31">
        <f>(INDEX(Option3!S$105:S$116, MATCH($D45, Option3!$G$105:$G$116,0)))*conv_2026*S$7</f>
        <v>862763.47626011493</v>
      </c>
      <c r="T45" s="31">
        <f>(INDEX(Option3!T$105:T$116, MATCH($D45, Option3!$G$105:$G$116,0)))*conv_2026*T$7</f>
        <v>862763.47626011493</v>
      </c>
      <c r="U45" s="31">
        <f>(INDEX(Option3!U$105:U$116, MATCH($D45, Option3!$G$105:$G$116,0)))*conv_2026*U$7</f>
        <v>862763.47626011493</v>
      </c>
      <c r="V45" s="31">
        <f>(INDEX(Option3!V$105:V$116, MATCH($D45, Option3!$G$105:$G$116,0)))*conv_2026*V$7</f>
        <v>473197.33843270043</v>
      </c>
      <c r="W45" s="31">
        <f>(INDEX(Option3!W$105:W$116, MATCH($D45, Option3!$G$105:$G$116,0)))*conv_2026*W$7</f>
        <v>473197.33843270043</v>
      </c>
      <c r="X45" s="31">
        <f>(INDEX(Option3!X$105:X$116, MATCH($D45, Option3!$G$105:$G$116,0)))*conv_2026*X$7</f>
        <v>473197.33843270043</v>
      </c>
      <c r="Y45" s="31">
        <f>(INDEX(Option3!Y$105:Y$116, MATCH($D45, Option3!$G$105:$G$116,0)))*conv_2026*Y$7</f>
        <v>473197.33843270043</v>
      </c>
      <c r="Z45" s="31">
        <f>(INDEX(Option3!Z$105:Z$116, MATCH($D45, Option3!$G$105:$G$116,0)))*conv_2026*Z$7</f>
        <v>473197.33843270043</v>
      </c>
      <c r="AA45" s="31">
        <f>(INDEX(Option3!AA$105:AA$116, MATCH($D45, Option3!$G$105:$G$116,0)))*conv_2026*AA$7</f>
        <v>473197.33843270043</v>
      </c>
      <c r="AB45" s="31">
        <f>(INDEX(Option3!AB$105:AB$116, MATCH($D45, Option3!$G$105:$G$116,0)))*conv_2026*AB$7</f>
        <v>473197.33843270043</v>
      </c>
      <c r="AC45" s="31">
        <f>(INDEX(Option3!AC$105:AC$116, MATCH($D45, Option3!$G$105:$G$116,0)))*conv_2026*AC$7</f>
        <v>0</v>
      </c>
      <c r="AD45" s="31">
        <f>(INDEX(Option3!AD$105:AD$116, MATCH($D45, Option3!$G$105:$G$116,0)))*conv_2026*AD$7</f>
        <v>0</v>
      </c>
      <c r="AE45" s="31">
        <f>(INDEX(Option3!AE$105:AE$116, MATCH($D45, Option3!$G$105:$G$116,0)))*conv_2026*AE$7</f>
        <v>0</v>
      </c>
      <c r="AF45" s="31">
        <f>(INDEX(Option3!AF$105:AF$116, MATCH($D45, Option3!$G$105:$G$116,0)))*conv_2026*AF$7</f>
        <v>0</v>
      </c>
      <c r="AG45" s="31">
        <f>(INDEX(Option3!AG$105:AG$116, MATCH($D45, Option3!$G$105:$G$116,0)))*conv_2026*AG$7</f>
        <v>0</v>
      </c>
    </row>
    <row r="46" spans="1:35" s="8" customFormat="1" x14ac:dyDescent="0.2">
      <c r="A46" s="256" t="s">
        <v>132</v>
      </c>
      <c r="B46" s="256" t="str">
        <f>Option3!A111</f>
        <v>sens3</v>
      </c>
      <c r="C46" s="256" t="str">
        <f>Option3!C111</f>
        <v>Total benefits 10% higher</v>
      </c>
      <c r="D46" s="256" t="str">
        <f t="shared" si="5"/>
        <v>Option 3sens3</v>
      </c>
      <c r="E46" s="257"/>
      <c r="F46" s="31">
        <f t="shared" si="4"/>
        <v>9342166.5178346243</v>
      </c>
      <c r="H46" s="31">
        <f>(INDEX(Option3!H$105:H$116, MATCH($D46, Option3!$G$105:$G$116,0)))*conv_2026*H$7</f>
        <v>0</v>
      </c>
      <c r="I46" s="31">
        <f>(INDEX(Option3!I$105:I$116, MATCH($D46, Option3!$G$105:$G$116,0)))*conv_2026*I$7</f>
        <v>0</v>
      </c>
      <c r="J46" s="31">
        <f>(INDEX(Option3!J$105:J$116, MATCH($D46, Option3!$G$105:$G$116,0)))*conv_2026*J$7</f>
        <v>301600.43621495168</v>
      </c>
      <c r="K46" s="31">
        <f>(INDEX(Option3!K$105:K$116, MATCH($D46, Option3!$G$105:$G$116,0)))*conv_2026*K$7</f>
        <v>605810.49012961728</v>
      </c>
      <c r="L46" s="31">
        <f>(INDEX(Option3!L$105:L$116, MATCH($D46, Option3!$G$105:$G$116,0)))*conv_2026*L$7</f>
        <v>484107.41013384139</v>
      </c>
      <c r="M46" s="31">
        <f>(INDEX(Option3!M$105:M$116, MATCH($D46, Option3!$G$105:$G$116,0)))*conv_2026*M$7</f>
        <v>790927.08174822235</v>
      </c>
      <c r="N46" s="31">
        <f>(INDEX(Option3!N$105:N$116, MATCH($D46, Option3!$G$105:$G$116,0)))*conv_2026*N$7</f>
        <v>671833.61945216078</v>
      </c>
      <c r="O46" s="31">
        <f>(INDEX(Option3!O$105:O$116, MATCH($D46, Option3!$G$105:$G$116,0)))*conv_2026*O$7</f>
        <v>983872.52646597021</v>
      </c>
      <c r="P46" s="31">
        <f>(INDEX(Option3!P$105:P$116, MATCH($D46, Option3!$G$105:$G$116,0)))*conv_2026*P$7</f>
        <v>941312.03416335373</v>
      </c>
      <c r="Q46" s="31">
        <f>(INDEX(Option3!Q$105:Q$116, MATCH($D46, Option3!$G$105:$G$116,0)))*conv_2026*Q$7</f>
        <v>941312.03416335373</v>
      </c>
      <c r="R46" s="31">
        <f>(INDEX(Option3!R$105:R$116, MATCH($D46, Option3!$G$105:$G$116,0)))*conv_2026*R$7</f>
        <v>941312.03416335373</v>
      </c>
      <c r="S46" s="31">
        <f>(INDEX(Option3!S$105:S$116, MATCH($D46, Option3!$G$105:$G$116,0)))*conv_2026*S$7</f>
        <v>941312.03416335373</v>
      </c>
      <c r="T46" s="31">
        <f>(INDEX(Option3!T$105:T$116, MATCH($D46, Option3!$G$105:$G$116,0)))*conv_2026*T$7</f>
        <v>941312.03416335373</v>
      </c>
      <c r="U46" s="31">
        <f>(INDEX(Option3!U$105:U$116, MATCH($D46, Option3!$G$105:$G$116,0)))*conv_2026*U$7</f>
        <v>941312.03416335373</v>
      </c>
      <c r="V46" s="31">
        <f>(INDEX(Option3!V$105:V$116, MATCH($D46, Option3!$G$105:$G$116,0)))*conv_2026*V$7</f>
        <v>512789.28255319776</v>
      </c>
      <c r="W46" s="31">
        <f>(INDEX(Option3!W$105:W$116, MATCH($D46, Option3!$G$105:$G$116,0)))*conv_2026*W$7</f>
        <v>512789.28255319776</v>
      </c>
      <c r="X46" s="31">
        <f>(INDEX(Option3!X$105:X$116, MATCH($D46, Option3!$G$105:$G$116,0)))*conv_2026*X$7</f>
        <v>512789.28255319776</v>
      </c>
      <c r="Y46" s="31">
        <f>(INDEX(Option3!Y$105:Y$116, MATCH($D46, Option3!$G$105:$G$116,0)))*conv_2026*Y$7</f>
        <v>512789.28255319776</v>
      </c>
      <c r="Z46" s="31">
        <f>(INDEX(Option3!Z$105:Z$116, MATCH($D46, Option3!$G$105:$G$116,0)))*conv_2026*Z$7</f>
        <v>512789.28255319776</v>
      </c>
      <c r="AA46" s="31">
        <f>(INDEX(Option3!AA$105:AA$116, MATCH($D46, Option3!$G$105:$G$116,0)))*conv_2026*AA$7</f>
        <v>512789.28255319776</v>
      </c>
      <c r="AB46" s="31">
        <f>(INDEX(Option3!AB$105:AB$116, MATCH($D46, Option3!$G$105:$G$116,0)))*conv_2026*AB$7</f>
        <v>512789.28255319776</v>
      </c>
      <c r="AC46" s="31">
        <f>(INDEX(Option3!AC$105:AC$116, MATCH($D46, Option3!$G$105:$G$116,0)))*conv_2026*AC$7</f>
        <v>0</v>
      </c>
      <c r="AD46" s="31">
        <f>(INDEX(Option3!AD$105:AD$116, MATCH($D46, Option3!$G$105:$G$116,0)))*conv_2026*AD$7</f>
        <v>0</v>
      </c>
      <c r="AE46" s="31">
        <f>(INDEX(Option3!AE$105:AE$116, MATCH($D46, Option3!$G$105:$G$116,0)))*conv_2026*AE$7</f>
        <v>0</v>
      </c>
      <c r="AF46" s="31">
        <f>(INDEX(Option3!AF$105:AF$116, MATCH($D46, Option3!$G$105:$G$116,0)))*conv_2026*AF$7</f>
        <v>0</v>
      </c>
      <c r="AG46" s="31">
        <f>(INDEX(Option3!AG$105:AG$116, MATCH($D46, Option3!$G$105:$G$116,0)))*conv_2026*AG$7</f>
        <v>0</v>
      </c>
    </row>
    <row r="47" spans="1:35" s="8" customFormat="1" x14ac:dyDescent="0.2">
      <c r="A47" s="256" t="s">
        <v>132</v>
      </c>
      <c r="B47" s="256" t="str">
        <f>Option3!A112</f>
        <v>sens4</v>
      </c>
      <c r="C47" s="256" t="str">
        <f>Option3!C112</f>
        <v>Total benefits 10% lower</v>
      </c>
      <c r="D47" s="256" t="str">
        <f t="shared" si="5"/>
        <v>Option 3sens4</v>
      </c>
      <c r="E47" s="257"/>
      <c r="F47" s="31">
        <f t="shared" si="4"/>
        <v>6086560.3967375746</v>
      </c>
      <c r="H47" s="31">
        <f>(INDEX(Option3!H$105:H$116, MATCH($D47, Option3!$G$105:$G$116,0)))*conv_2026*H$7</f>
        <v>0</v>
      </c>
      <c r="I47" s="31">
        <f>(INDEX(Option3!I$105:I$116, MATCH($D47, Option3!$G$105:$G$116,0)))*conv_2026*I$7</f>
        <v>0</v>
      </c>
      <c r="J47" s="31">
        <f>(INDEX(Option3!J$105:J$116, MATCH($D47, Option3!$G$105:$G$116,0)))*conv_2026*J$7</f>
        <v>223687.2086494687</v>
      </c>
      <c r="K47" s="31">
        <f>(INDEX(Option3!K$105:K$116, MATCH($D47, Option3!$G$105:$G$116,0)))*conv_2026*K$7</f>
        <v>449984.03499865136</v>
      </c>
      <c r="L47" s="31">
        <f>(INDEX(Option3!L$105:L$116, MATCH($D47, Option3!$G$105:$G$116,0)))*conv_2026*L$7</f>
        <v>328280.95500287553</v>
      </c>
      <c r="M47" s="31">
        <f>(INDEX(Option3!M$105:M$116, MATCH($D47, Option3!$G$105:$G$116,0)))*conv_2026*M$7</f>
        <v>557187.39905177336</v>
      </c>
      <c r="N47" s="31">
        <f>(INDEX(Option3!N$105:N$116, MATCH($D47, Option3!$G$105:$G$116,0)))*conv_2026*N$7</f>
        <v>438093.93675571185</v>
      </c>
      <c r="O47" s="31">
        <f>(INDEX(Option3!O$105:O$116, MATCH($D47, Option3!$G$105:$G$116,0)))*conv_2026*O$7</f>
        <v>672219.61620403815</v>
      </c>
      <c r="P47" s="31">
        <f>(INDEX(Option3!P$105:P$116, MATCH($D47, Option3!$G$105:$G$116,0)))*conv_2026*P$7</f>
        <v>629659.12390142179</v>
      </c>
      <c r="Q47" s="31">
        <f>(INDEX(Option3!Q$105:Q$116, MATCH($D47, Option3!$G$105:$G$116,0)))*conv_2026*Q$7</f>
        <v>629659.12390142179</v>
      </c>
      <c r="R47" s="31">
        <f>(INDEX(Option3!R$105:R$116, MATCH($D47, Option3!$G$105:$G$116,0)))*conv_2026*R$7</f>
        <v>629659.12390142179</v>
      </c>
      <c r="S47" s="31">
        <f>(INDEX(Option3!S$105:S$116, MATCH($D47, Option3!$G$105:$G$116,0)))*conv_2026*S$7</f>
        <v>629659.12390142179</v>
      </c>
      <c r="T47" s="31">
        <f>(INDEX(Option3!T$105:T$116, MATCH($D47, Option3!$G$105:$G$116,0)))*conv_2026*T$7</f>
        <v>629659.12390142179</v>
      </c>
      <c r="U47" s="31">
        <f>(INDEX(Option3!U$105:U$116, MATCH($D47, Option3!$G$105:$G$116,0)))*conv_2026*U$7</f>
        <v>629659.12390142179</v>
      </c>
      <c r="V47" s="31">
        <f>(INDEX(Option3!V$105:V$116, MATCH($D47, Option3!$G$105:$G$116,0)))*conv_2026*V$7</f>
        <v>279049.59985674877</v>
      </c>
      <c r="W47" s="31">
        <f>(INDEX(Option3!W$105:W$116, MATCH($D47, Option3!$G$105:$G$116,0)))*conv_2026*W$7</f>
        <v>279049.59985674877</v>
      </c>
      <c r="X47" s="31">
        <f>(INDEX(Option3!X$105:X$116, MATCH($D47, Option3!$G$105:$G$116,0)))*conv_2026*X$7</f>
        <v>279049.59985674877</v>
      </c>
      <c r="Y47" s="31">
        <f>(INDEX(Option3!Y$105:Y$116, MATCH($D47, Option3!$G$105:$G$116,0)))*conv_2026*Y$7</f>
        <v>279049.59985674877</v>
      </c>
      <c r="Z47" s="31">
        <f>(INDEX(Option3!Z$105:Z$116, MATCH($D47, Option3!$G$105:$G$116,0)))*conv_2026*Z$7</f>
        <v>279049.59985674877</v>
      </c>
      <c r="AA47" s="31">
        <f>(INDEX(Option3!AA$105:AA$116, MATCH($D47, Option3!$G$105:$G$116,0)))*conv_2026*AA$7</f>
        <v>279049.59985674877</v>
      </c>
      <c r="AB47" s="31">
        <f>(INDEX(Option3!AB$105:AB$116, MATCH($D47, Option3!$G$105:$G$116,0)))*conv_2026*AB$7</f>
        <v>279049.59985674877</v>
      </c>
      <c r="AC47" s="31">
        <f>(INDEX(Option3!AC$105:AC$116, MATCH($D47, Option3!$G$105:$G$116,0)))*conv_2026*AC$7</f>
        <v>0</v>
      </c>
      <c r="AD47" s="31">
        <f>(INDEX(Option3!AD$105:AD$116, MATCH($D47, Option3!$G$105:$G$116,0)))*conv_2026*AD$7</f>
        <v>0</v>
      </c>
      <c r="AE47" s="31">
        <f>(INDEX(Option3!AE$105:AE$116, MATCH($D47, Option3!$G$105:$G$116,0)))*conv_2026*AE$7</f>
        <v>0</v>
      </c>
      <c r="AF47" s="31">
        <f>(INDEX(Option3!AF$105:AF$116, MATCH($D47, Option3!$G$105:$G$116,0)))*conv_2026*AF$7</f>
        <v>0</v>
      </c>
      <c r="AG47" s="31">
        <f>(INDEX(Option3!AG$105:AG$116, MATCH($D47, Option3!$G$105:$G$116,0)))*conv_2026*AG$7</f>
        <v>0</v>
      </c>
    </row>
    <row r="48" spans="1:35" s="8" customFormat="1" x14ac:dyDescent="0.2">
      <c r="A48" s="256" t="s">
        <v>132</v>
      </c>
      <c r="B48" s="256" t="str">
        <f>Option3!A113</f>
        <v>sens5</v>
      </c>
      <c r="C48" s="256" t="str">
        <f>Option3!C113</f>
        <v>Capex 10% higher &amp; Total benefits 10% lower</v>
      </c>
      <c r="D48" s="256" t="str">
        <f t="shared" si="5"/>
        <v>Option 3sens5</v>
      </c>
      <c r="E48" s="257"/>
      <c r="F48" s="31">
        <f t="shared" si="4"/>
        <v>5230193.681917659</v>
      </c>
      <c r="H48" s="31">
        <f>(INDEX(Option3!H$105:H$116, MATCH($D48, Option3!$G$105:$G$116,0)))*conv_2026*H$7</f>
        <v>0</v>
      </c>
      <c r="I48" s="31">
        <f>(INDEX(Option3!I$105:I$116, MATCH($D48, Option3!$G$105:$G$116,0)))*conv_2026*I$7</f>
        <v>0</v>
      </c>
      <c r="J48" s="31">
        <f>(INDEX(Option3!J$105:J$116, MATCH($D48, Option3!$G$105:$G$116,0)))*conv_2026*J$7</f>
        <v>210994.9771099482</v>
      </c>
      <c r="K48" s="31">
        <f>(INDEX(Option3!K$105:K$116, MATCH($D48, Option3!$G$105:$G$116,0)))*conv_2026*K$7</f>
        <v>424860.53368958185</v>
      </c>
      <c r="L48" s="31">
        <f>(INDEX(Option3!L$105:L$116, MATCH($D48, Option3!$G$105:$G$116,0)))*conv_2026*L$7</f>
        <v>290987.14569422841</v>
      </c>
      <c r="M48" s="31">
        <f>(INDEX(Option3!M$105:M$116, MATCH($D48, Option3!$G$105:$G$116,0)))*conv_2026*M$7</f>
        <v>507723.28174354869</v>
      </c>
      <c r="N48" s="31">
        <f>(INDEX(Option3!N$105:N$116, MATCH($D48, Option3!$G$105:$G$116,0)))*conv_2026*N$7</f>
        <v>376720.47321788105</v>
      </c>
      <c r="O48" s="31">
        <f>(INDEX(Option3!O$105:O$116, MATCH($D48, Option3!$G$105:$G$116,0)))*conv_2026*O$7</f>
        <v>599197.76820657274</v>
      </c>
      <c r="P48" s="31">
        <f>(INDEX(Option3!P$105:P$116, MATCH($D48, Option3!$G$105:$G$116,0)))*conv_2026*P$7</f>
        <v>552381.22667369468</v>
      </c>
      <c r="Q48" s="31">
        <f>(INDEX(Option3!Q$105:Q$116, MATCH($D48, Option3!$G$105:$G$116,0)))*conv_2026*Q$7</f>
        <v>552381.22667369468</v>
      </c>
      <c r="R48" s="31">
        <f>(INDEX(Option3!R$105:R$116, MATCH($D48, Option3!$G$105:$G$116,0)))*conv_2026*R$7</f>
        <v>552381.22667369468</v>
      </c>
      <c r="S48" s="31">
        <f>(INDEX(Option3!S$105:S$116, MATCH($D48, Option3!$G$105:$G$116,0)))*conv_2026*S$7</f>
        <v>552381.22667369468</v>
      </c>
      <c r="T48" s="31">
        <f>(INDEX(Option3!T$105:T$116, MATCH($D48, Option3!$G$105:$G$116,0)))*conv_2026*T$7</f>
        <v>552381.22667369468</v>
      </c>
      <c r="U48" s="31">
        <f>(INDEX(Option3!U$105:U$116, MATCH($D48, Option3!$G$105:$G$116,0)))*conv_2026*U$7</f>
        <v>552381.22667369468</v>
      </c>
      <c r="V48" s="31">
        <f>(INDEX(Option3!V$105:V$116, MATCH($D48, Option3!$G$105:$G$116,0)))*conv_2026*V$7</f>
        <v>201771.70262902163</v>
      </c>
      <c r="W48" s="31">
        <f>(INDEX(Option3!W$105:W$116, MATCH($D48, Option3!$G$105:$G$116,0)))*conv_2026*W$7</f>
        <v>201771.70262902163</v>
      </c>
      <c r="X48" s="31">
        <f>(INDEX(Option3!X$105:X$116, MATCH($D48, Option3!$G$105:$G$116,0)))*conv_2026*X$7</f>
        <v>201771.70262902163</v>
      </c>
      <c r="Y48" s="31">
        <f>(INDEX(Option3!Y$105:Y$116, MATCH($D48, Option3!$G$105:$G$116,0)))*conv_2026*Y$7</f>
        <v>201771.70262902163</v>
      </c>
      <c r="Z48" s="31">
        <f>(INDEX(Option3!Z$105:Z$116, MATCH($D48, Option3!$G$105:$G$116,0)))*conv_2026*Z$7</f>
        <v>201771.70262902163</v>
      </c>
      <c r="AA48" s="31">
        <f>(INDEX(Option3!AA$105:AA$116, MATCH($D48, Option3!$G$105:$G$116,0)))*conv_2026*AA$7</f>
        <v>201771.70262902163</v>
      </c>
      <c r="AB48" s="31">
        <f>(INDEX(Option3!AB$105:AB$116, MATCH($D48, Option3!$G$105:$G$116,0)))*conv_2026*AB$7</f>
        <v>201771.70262902163</v>
      </c>
      <c r="AC48" s="31">
        <f>(INDEX(Option3!AC$105:AC$116, MATCH($D48, Option3!$G$105:$G$116,0)))*conv_2026*AC$7</f>
        <v>0</v>
      </c>
      <c r="AD48" s="31">
        <f>(INDEX(Option3!AD$105:AD$116, MATCH($D48, Option3!$G$105:$G$116,0)))*conv_2026*AD$7</f>
        <v>0</v>
      </c>
      <c r="AE48" s="31">
        <f>(INDEX(Option3!AE$105:AE$116, MATCH($D48, Option3!$G$105:$G$116,0)))*conv_2026*AE$7</f>
        <v>0</v>
      </c>
      <c r="AF48" s="31">
        <f>(INDEX(Option3!AF$105:AF$116, MATCH($D48, Option3!$G$105:$G$116,0)))*conv_2026*AF$7</f>
        <v>0</v>
      </c>
      <c r="AG48" s="31">
        <f>(INDEX(Option3!AG$105:AG$116, MATCH($D48, Option3!$G$105:$G$116,0)))*conv_2026*AG$7</f>
        <v>0</v>
      </c>
    </row>
    <row r="49" spans="1:35" s="8" customFormat="1" x14ac:dyDescent="0.2">
      <c r="A49" s="256" t="s">
        <v>132</v>
      </c>
      <c r="B49" s="256" t="str">
        <f>Option3!A114</f>
        <v>sens</v>
      </c>
      <c r="C49" s="256">
        <f>Option3!C114</f>
        <v>0</v>
      </c>
      <c r="D49" s="256" t="str">
        <f t="shared" si="5"/>
        <v>Option 3sens</v>
      </c>
      <c r="E49" s="257"/>
      <c r="F49" s="31">
        <f t="shared" si="4"/>
        <v>7714363.4572861008</v>
      </c>
      <c r="H49" s="31">
        <f>(INDEX(Option3!H$105:H$116, MATCH($D49, Option3!$G$105:$G$116,0)))*conv_2026*H$7</f>
        <v>0</v>
      </c>
      <c r="I49" s="31">
        <f>(INDEX(Option3!I$105:I$116, MATCH($D49, Option3!$G$105:$G$116,0)))*conv_2026*I$7</f>
        <v>0</v>
      </c>
      <c r="J49" s="31">
        <f>(INDEX(Option3!J$105:J$116, MATCH($D49, Option3!$G$105:$G$116,0)))*conv_2026*J$7</f>
        <v>262643.8224322102</v>
      </c>
      <c r="K49" s="31">
        <f>(INDEX(Option3!K$105:K$116, MATCH($D49, Option3!$G$105:$G$116,0)))*conv_2026*K$7</f>
        <v>527897.26256413432</v>
      </c>
      <c r="L49" s="31">
        <f>(INDEX(Option3!L$105:L$116, MATCH($D49, Option3!$G$105:$G$116,0)))*conv_2026*L$7</f>
        <v>406194.18256835843</v>
      </c>
      <c r="M49" s="31">
        <f>(INDEX(Option3!M$105:M$116, MATCH($D49, Option3!$G$105:$G$116,0)))*conv_2026*M$7</f>
        <v>674057.24039999791</v>
      </c>
      <c r="N49" s="31">
        <f>(INDEX(Option3!N$105:N$116, MATCH($D49, Option3!$G$105:$G$116,0)))*conv_2026*N$7</f>
        <v>554963.77810393635</v>
      </c>
      <c r="O49" s="31">
        <f>(INDEX(Option3!O$105:O$116, MATCH($D49, Option3!$G$105:$G$116,0)))*conv_2026*O$7</f>
        <v>828046.07133500418</v>
      </c>
      <c r="P49" s="31">
        <f>(INDEX(Option3!P$105:P$116, MATCH($D49, Option3!$G$105:$G$116,0)))*conv_2026*P$7</f>
        <v>785485.57903238782</v>
      </c>
      <c r="Q49" s="31">
        <f>(INDEX(Option3!Q$105:Q$116, MATCH($D49, Option3!$G$105:$G$116,0)))*conv_2026*Q$7</f>
        <v>785485.57903238782</v>
      </c>
      <c r="R49" s="31">
        <f>(INDEX(Option3!R$105:R$116, MATCH($D49, Option3!$G$105:$G$116,0)))*conv_2026*R$7</f>
        <v>785485.57903238782</v>
      </c>
      <c r="S49" s="31">
        <f>(INDEX(Option3!S$105:S$116, MATCH($D49, Option3!$G$105:$G$116,0)))*conv_2026*S$7</f>
        <v>785485.57903238782</v>
      </c>
      <c r="T49" s="31">
        <f>(INDEX(Option3!T$105:T$116, MATCH($D49, Option3!$G$105:$G$116,0)))*conv_2026*T$7</f>
        <v>785485.57903238782</v>
      </c>
      <c r="U49" s="31">
        <f>(INDEX(Option3!U$105:U$116, MATCH($D49, Option3!$G$105:$G$116,0)))*conv_2026*U$7</f>
        <v>785485.57903238782</v>
      </c>
      <c r="V49" s="31">
        <f>(INDEX(Option3!V$105:V$116, MATCH($D49, Option3!$G$105:$G$116,0)))*conv_2026*V$7</f>
        <v>395919.44120497326</v>
      </c>
      <c r="W49" s="31">
        <f>(INDEX(Option3!W$105:W$116, MATCH($D49, Option3!$G$105:$G$116,0)))*conv_2026*W$7</f>
        <v>395919.44120497326</v>
      </c>
      <c r="X49" s="31">
        <f>(INDEX(Option3!X$105:X$116, MATCH($D49, Option3!$G$105:$G$116,0)))*conv_2026*X$7</f>
        <v>395919.44120497326</v>
      </c>
      <c r="Y49" s="31">
        <f>(INDEX(Option3!Y$105:Y$116, MATCH($D49, Option3!$G$105:$G$116,0)))*conv_2026*Y$7</f>
        <v>395919.44120497326</v>
      </c>
      <c r="Z49" s="31">
        <f>(INDEX(Option3!Z$105:Z$116, MATCH($D49, Option3!$G$105:$G$116,0)))*conv_2026*Z$7</f>
        <v>395919.44120497326</v>
      </c>
      <c r="AA49" s="31">
        <f>(INDEX(Option3!AA$105:AA$116, MATCH($D49, Option3!$G$105:$G$116,0)))*conv_2026*AA$7</f>
        <v>395919.44120497326</v>
      </c>
      <c r="AB49" s="31">
        <f>(INDEX(Option3!AB$105:AB$116, MATCH($D49, Option3!$G$105:$G$116,0)))*conv_2026*AB$7</f>
        <v>395919.44120497326</v>
      </c>
      <c r="AC49" s="31">
        <f>(INDEX(Option3!AC$105:AC$116, MATCH($D49, Option3!$G$105:$G$116,0)))*conv_2026*AC$7</f>
        <v>0</v>
      </c>
      <c r="AD49" s="31">
        <f>(INDEX(Option3!AD$105:AD$116, MATCH($D49, Option3!$G$105:$G$116,0)))*conv_2026*AD$7</f>
        <v>0</v>
      </c>
      <c r="AE49" s="31">
        <f>(INDEX(Option3!AE$105:AE$116, MATCH($D49, Option3!$G$105:$G$116,0)))*conv_2026*AE$7</f>
        <v>0</v>
      </c>
      <c r="AF49" s="31">
        <f>(INDEX(Option3!AF$105:AF$116, MATCH($D49, Option3!$G$105:$G$116,0)))*conv_2026*AF$7</f>
        <v>0</v>
      </c>
      <c r="AG49" s="31">
        <f>(INDEX(Option3!AG$105:AG$116, MATCH($D49, Option3!$G$105:$G$116,0)))*conv_2026*AG$7</f>
        <v>0</v>
      </c>
    </row>
    <row r="50" spans="1:35" s="8" customFormat="1" x14ac:dyDescent="0.2">
      <c r="A50" s="256" t="s">
        <v>132</v>
      </c>
      <c r="B50" s="256" t="str">
        <f>Option3!A115</f>
        <v>sens</v>
      </c>
      <c r="C50" s="256">
        <f>Option3!C115</f>
        <v>0</v>
      </c>
      <c r="D50" s="256" t="str">
        <f t="shared" si="5"/>
        <v>Option 3sens</v>
      </c>
      <c r="E50" s="257"/>
      <c r="F50" s="31">
        <f t="shared" si="4"/>
        <v>7714363.4572861008</v>
      </c>
      <c r="H50" s="31">
        <f>(INDEX(Option3!H$105:H$116, MATCH($D50, Option3!$G$105:$G$116,0)))*conv_2026*H$7</f>
        <v>0</v>
      </c>
      <c r="I50" s="31">
        <f>(INDEX(Option3!I$105:I$116, MATCH($D50, Option3!$G$105:$G$116,0)))*conv_2026*I$7</f>
        <v>0</v>
      </c>
      <c r="J50" s="31">
        <f>(INDEX(Option3!J$105:J$116, MATCH($D50, Option3!$G$105:$G$116,0)))*conv_2026*J$7</f>
        <v>262643.8224322102</v>
      </c>
      <c r="K50" s="31">
        <f>(INDEX(Option3!K$105:K$116, MATCH($D50, Option3!$G$105:$G$116,0)))*conv_2026*K$7</f>
        <v>527897.26256413432</v>
      </c>
      <c r="L50" s="31">
        <f>(INDEX(Option3!L$105:L$116, MATCH($D50, Option3!$G$105:$G$116,0)))*conv_2026*L$7</f>
        <v>406194.18256835843</v>
      </c>
      <c r="M50" s="31">
        <f>(INDEX(Option3!M$105:M$116, MATCH($D50, Option3!$G$105:$G$116,0)))*conv_2026*M$7</f>
        <v>674057.24039999791</v>
      </c>
      <c r="N50" s="31">
        <f>(INDEX(Option3!N$105:N$116, MATCH($D50, Option3!$G$105:$G$116,0)))*conv_2026*N$7</f>
        <v>554963.77810393635</v>
      </c>
      <c r="O50" s="31">
        <f>(INDEX(Option3!O$105:O$116, MATCH($D50, Option3!$G$105:$G$116,0)))*conv_2026*O$7</f>
        <v>828046.07133500418</v>
      </c>
      <c r="P50" s="31">
        <f>(INDEX(Option3!P$105:P$116, MATCH($D50, Option3!$G$105:$G$116,0)))*conv_2026*P$7</f>
        <v>785485.57903238782</v>
      </c>
      <c r="Q50" s="31">
        <f>(INDEX(Option3!Q$105:Q$116, MATCH($D50, Option3!$G$105:$G$116,0)))*conv_2026*Q$7</f>
        <v>785485.57903238782</v>
      </c>
      <c r="R50" s="31">
        <f>(INDEX(Option3!R$105:R$116, MATCH($D50, Option3!$G$105:$G$116,0)))*conv_2026*R$7</f>
        <v>785485.57903238782</v>
      </c>
      <c r="S50" s="31">
        <f>(INDEX(Option3!S$105:S$116, MATCH($D50, Option3!$G$105:$G$116,0)))*conv_2026*S$7</f>
        <v>785485.57903238782</v>
      </c>
      <c r="T50" s="31">
        <f>(INDEX(Option3!T$105:T$116, MATCH($D50, Option3!$G$105:$G$116,0)))*conv_2026*T$7</f>
        <v>785485.57903238782</v>
      </c>
      <c r="U50" s="31">
        <f>(INDEX(Option3!U$105:U$116, MATCH($D50, Option3!$G$105:$G$116,0)))*conv_2026*U$7</f>
        <v>785485.57903238782</v>
      </c>
      <c r="V50" s="31">
        <f>(INDEX(Option3!V$105:V$116, MATCH($D50, Option3!$G$105:$G$116,0)))*conv_2026*V$7</f>
        <v>395919.44120497326</v>
      </c>
      <c r="W50" s="31">
        <f>(INDEX(Option3!W$105:W$116, MATCH($D50, Option3!$G$105:$G$116,0)))*conv_2026*W$7</f>
        <v>395919.44120497326</v>
      </c>
      <c r="X50" s="31">
        <f>(INDEX(Option3!X$105:X$116, MATCH($D50, Option3!$G$105:$G$116,0)))*conv_2026*X$7</f>
        <v>395919.44120497326</v>
      </c>
      <c r="Y50" s="31">
        <f>(INDEX(Option3!Y$105:Y$116, MATCH($D50, Option3!$G$105:$G$116,0)))*conv_2026*Y$7</f>
        <v>395919.44120497326</v>
      </c>
      <c r="Z50" s="31">
        <f>(INDEX(Option3!Z$105:Z$116, MATCH($D50, Option3!$G$105:$G$116,0)))*conv_2026*Z$7</f>
        <v>395919.44120497326</v>
      </c>
      <c r="AA50" s="31">
        <f>(INDEX(Option3!AA$105:AA$116, MATCH($D50, Option3!$G$105:$G$116,0)))*conv_2026*AA$7</f>
        <v>395919.44120497326</v>
      </c>
      <c r="AB50" s="31">
        <f>(INDEX(Option3!AB$105:AB$116, MATCH($D50, Option3!$G$105:$G$116,0)))*conv_2026*AB$7</f>
        <v>395919.44120497326</v>
      </c>
      <c r="AC50" s="31">
        <f>(INDEX(Option3!AC$105:AC$116, MATCH($D50, Option3!$G$105:$G$116,0)))*conv_2026*AC$7</f>
        <v>0</v>
      </c>
      <c r="AD50" s="31">
        <f>(INDEX(Option3!AD$105:AD$116, MATCH($D50, Option3!$G$105:$G$116,0)))*conv_2026*AD$7</f>
        <v>0</v>
      </c>
      <c r="AE50" s="31">
        <f>(INDEX(Option3!AE$105:AE$116, MATCH($D50, Option3!$G$105:$G$116,0)))*conv_2026*AE$7</f>
        <v>0</v>
      </c>
      <c r="AF50" s="31">
        <f>(INDEX(Option3!AF$105:AF$116, MATCH($D50, Option3!$G$105:$G$116,0)))*conv_2026*AF$7</f>
        <v>0</v>
      </c>
      <c r="AG50" s="31">
        <f>(INDEX(Option3!AG$105:AG$116, MATCH($D50, Option3!$G$105:$G$116,0)))*conv_2026*AG$7</f>
        <v>0</v>
      </c>
    </row>
    <row r="51" spans="1:35" s="8" customFormat="1" x14ac:dyDescent="0.2">
      <c r="A51" s="256" t="s">
        <v>132</v>
      </c>
      <c r="B51" s="256" t="str">
        <f>Option3!A116</f>
        <v>sens</v>
      </c>
      <c r="C51" s="256">
        <f>Option3!C116</f>
        <v>0</v>
      </c>
      <c r="D51" s="256" t="str">
        <f t="shared" si="5"/>
        <v>Option 3sens</v>
      </c>
      <c r="E51" s="257"/>
      <c r="F51" s="31">
        <f t="shared" si="4"/>
        <v>7714363.4572861008</v>
      </c>
      <c r="H51" s="31">
        <f>(INDEX(Option3!H$105:H$116, MATCH($D51, Option3!$G$105:$G$116,0)))*conv_2026*H$7</f>
        <v>0</v>
      </c>
      <c r="I51" s="31">
        <f>(INDEX(Option3!I$105:I$116, MATCH($D51, Option3!$G$105:$G$116,0)))*conv_2026*I$7</f>
        <v>0</v>
      </c>
      <c r="J51" s="31">
        <f>(INDEX(Option3!J$105:J$116, MATCH($D51, Option3!$G$105:$G$116,0)))*conv_2026*J$7</f>
        <v>262643.8224322102</v>
      </c>
      <c r="K51" s="31">
        <f>(INDEX(Option3!K$105:K$116, MATCH($D51, Option3!$G$105:$G$116,0)))*conv_2026*K$7</f>
        <v>527897.26256413432</v>
      </c>
      <c r="L51" s="31">
        <f>(INDEX(Option3!L$105:L$116, MATCH($D51, Option3!$G$105:$G$116,0)))*conv_2026*L$7</f>
        <v>406194.18256835843</v>
      </c>
      <c r="M51" s="31">
        <f>(INDEX(Option3!M$105:M$116, MATCH($D51, Option3!$G$105:$G$116,0)))*conv_2026*M$7</f>
        <v>674057.24039999791</v>
      </c>
      <c r="N51" s="31">
        <f>(INDEX(Option3!N$105:N$116, MATCH($D51, Option3!$G$105:$G$116,0)))*conv_2026*N$7</f>
        <v>554963.77810393635</v>
      </c>
      <c r="O51" s="31">
        <f>(INDEX(Option3!O$105:O$116, MATCH($D51, Option3!$G$105:$G$116,0)))*conv_2026*O$7</f>
        <v>828046.07133500418</v>
      </c>
      <c r="P51" s="31">
        <f>(INDEX(Option3!P$105:P$116, MATCH($D51, Option3!$G$105:$G$116,0)))*conv_2026*P$7</f>
        <v>785485.57903238782</v>
      </c>
      <c r="Q51" s="31">
        <f>(INDEX(Option3!Q$105:Q$116, MATCH($D51, Option3!$G$105:$G$116,0)))*conv_2026*Q$7</f>
        <v>785485.57903238782</v>
      </c>
      <c r="R51" s="31">
        <f>(INDEX(Option3!R$105:R$116, MATCH($D51, Option3!$G$105:$G$116,0)))*conv_2026*R$7</f>
        <v>785485.57903238782</v>
      </c>
      <c r="S51" s="31">
        <f>(INDEX(Option3!S$105:S$116, MATCH($D51, Option3!$G$105:$G$116,0)))*conv_2026*S$7</f>
        <v>785485.57903238782</v>
      </c>
      <c r="T51" s="31">
        <f>(INDEX(Option3!T$105:T$116, MATCH($D51, Option3!$G$105:$G$116,0)))*conv_2026*T$7</f>
        <v>785485.57903238782</v>
      </c>
      <c r="U51" s="31">
        <f>(INDEX(Option3!U$105:U$116, MATCH($D51, Option3!$G$105:$G$116,0)))*conv_2026*U$7</f>
        <v>785485.57903238782</v>
      </c>
      <c r="V51" s="31">
        <f>(INDEX(Option3!V$105:V$116, MATCH($D51, Option3!$G$105:$G$116,0)))*conv_2026*V$7</f>
        <v>395919.44120497326</v>
      </c>
      <c r="W51" s="31">
        <f>(INDEX(Option3!W$105:W$116, MATCH($D51, Option3!$G$105:$G$116,0)))*conv_2026*W$7</f>
        <v>395919.44120497326</v>
      </c>
      <c r="X51" s="31">
        <f>(INDEX(Option3!X$105:X$116, MATCH($D51, Option3!$G$105:$G$116,0)))*conv_2026*X$7</f>
        <v>395919.44120497326</v>
      </c>
      <c r="Y51" s="31">
        <f>(INDEX(Option3!Y$105:Y$116, MATCH($D51, Option3!$G$105:$G$116,0)))*conv_2026*Y$7</f>
        <v>395919.44120497326</v>
      </c>
      <c r="Z51" s="31">
        <f>(INDEX(Option3!Z$105:Z$116, MATCH($D51, Option3!$G$105:$G$116,0)))*conv_2026*Z$7</f>
        <v>395919.44120497326</v>
      </c>
      <c r="AA51" s="31">
        <f>(INDEX(Option3!AA$105:AA$116, MATCH($D51, Option3!$G$105:$G$116,0)))*conv_2026*AA$7</f>
        <v>395919.44120497326</v>
      </c>
      <c r="AB51" s="31">
        <f>(INDEX(Option3!AB$105:AB$116, MATCH($D51, Option3!$G$105:$G$116,0)))*conv_2026*AB$7</f>
        <v>395919.44120497326</v>
      </c>
      <c r="AC51" s="31">
        <f>(INDEX(Option3!AC$105:AC$116, MATCH($D51, Option3!$G$105:$G$116,0)))*conv_2026*AC$7</f>
        <v>0</v>
      </c>
      <c r="AD51" s="31">
        <f>(INDEX(Option3!AD$105:AD$116, MATCH($D51, Option3!$G$105:$G$116,0)))*conv_2026*AD$7</f>
        <v>0</v>
      </c>
      <c r="AE51" s="31">
        <f>(INDEX(Option3!AE$105:AE$116, MATCH($D51, Option3!$G$105:$G$116,0)))*conv_2026*AE$7</f>
        <v>0</v>
      </c>
      <c r="AF51" s="31">
        <f>(INDEX(Option3!AF$105:AF$116, MATCH($D51, Option3!$G$105:$G$116,0)))*conv_2026*AF$7</f>
        <v>0</v>
      </c>
      <c r="AG51" s="31">
        <f>(INDEX(Option3!AG$105:AG$116, MATCH($D51, Option3!$G$105:$G$116,0)))*conv_2026*AG$7</f>
        <v>0</v>
      </c>
    </row>
    <row r="52" spans="1:35" s="8" customFormat="1" x14ac:dyDescent="0.2">
      <c r="A52" s="256"/>
      <c r="B52" s="256"/>
      <c r="C52" s="256"/>
      <c r="D52" s="256"/>
      <c r="E52" s="256"/>
      <c r="F52" s="31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</row>
    <row r="53" spans="1:35" s="8" customFormat="1" x14ac:dyDescent="0.2">
      <c r="A53" s="256"/>
      <c r="B53" s="256"/>
      <c r="C53" s="256"/>
      <c r="D53" s="256"/>
      <c r="E53" s="256"/>
      <c r="F53" s="31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</row>
    <row r="54" spans="1:35" s="8" customFormat="1" x14ac:dyDescent="0.2">
      <c r="A54" s="256"/>
      <c r="B54" s="256"/>
      <c r="C54" s="256"/>
      <c r="D54" s="256"/>
      <c r="E54" s="256"/>
      <c r="F54" s="31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</row>
    <row r="55" spans="1:35" s="8" customFormat="1" x14ac:dyDescent="0.2">
      <c r="A55" s="256"/>
      <c r="B55" s="256"/>
      <c r="C55" s="256"/>
      <c r="D55" s="256"/>
      <c r="E55" s="256"/>
      <c r="F55" s="31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</row>
    <row r="56" spans="1:35" s="8" customFormat="1" x14ac:dyDescent="0.2">
      <c r="A56" s="256" t="s">
        <v>133</v>
      </c>
      <c r="B56" s="256" t="s">
        <v>119</v>
      </c>
      <c r="C56" s="256" t="s">
        <v>186</v>
      </c>
      <c r="D56" s="256" t="str">
        <f>A56&amp;B56</f>
        <v>Option 4NPV</v>
      </c>
      <c r="E56" s="257"/>
      <c r="F56" s="31">
        <f t="shared" ref="F56:F65" si="6">SUMPRODUCT($H56:$AG56, $H$5:$AG$5)</f>
        <v>9391841.1433454882</v>
      </c>
      <c r="G56" s="249"/>
      <c r="H56" s="31">
        <f>(INDEX(Option4!H$105:H$116, MATCH($D56, Option4!$G$105:$G$116,0)))*conv_2026*H$7</f>
        <v>0</v>
      </c>
      <c r="I56" s="31">
        <f>(INDEX(Option4!I$105:I$116, MATCH($D56, Option4!$G$105:$G$116,0)))*conv_2026*I$7</f>
        <v>779132.27565482946</v>
      </c>
      <c r="J56" s="31">
        <f>(INDEX(Option4!J$105:J$116, MATCH($D56, Option4!$G$105:$G$116,0)))*conv_2026*J$7</f>
        <v>690642.5118372381</v>
      </c>
      <c r="K56" s="31">
        <f>(INDEX(Option4!K$105:K$116, MATCH($D56, Option4!$G$105:$G$116,0)))*conv_2026*K$7</f>
        <v>602152.74801964662</v>
      </c>
      <c r="L56" s="31">
        <f>(INDEX(Option4!L$105:L$116, MATCH($D56, Option4!$G$105:$G$116,0)))*conv_2026*L$7</f>
        <v>903229.1220294704</v>
      </c>
      <c r="M56" s="31">
        <f>(INDEX(Option4!M$105:M$116, MATCH($D56, Option4!$G$105:$G$116,0)))*conv_2026*M$7</f>
        <v>817348.97591159365</v>
      </c>
      <c r="N56" s="31">
        <f>(INDEX(Option4!N$105:N$116, MATCH($D56, Option4!$G$105:$G$116,0)))*conv_2026*N$7</f>
        <v>731468.82979371632</v>
      </c>
      <c r="O56" s="31">
        <f>(INDEX(Option4!O$105:O$116, MATCH($D56, Option4!$G$105:$G$116,0)))*conv_2026*O$7</f>
        <v>648198.30137555383</v>
      </c>
      <c r="P56" s="31">
        <f>(INDEX(Option4!P$105:P$116, MATCH($D56, Option4!$G$105:$G$116,0)))*conv_2026*P$7</f>
        <v>564927.77295739145</v>
      </c>
      <c r="Q56" s="31">
        <f>(INDEX(Option4!Q$105:Q$116, MATCH($D56, Option4!$G$105:$G$116,0)))*conv_2026*Q$7</f>
        <v>871223.38236664387</v>
      </c>
      <c r="R56" s="31">
        <f>(INDEX(Option4!R$105:R$116, MATCH($D56, Option4!$G$105:$G$116,0)))*conv_2026*R$7</f>
        <v>790562.47164819599</v>
      </c>
      <c r="S56" s="31">
        <f>(INDEX(Option4!S$105:S$116, MATCH($D56, Option4!$G$105:$G$116,0)))*conv_2026*S$7</f>
        <v>781167.84792922379</v>
      </c>
      <c r="T56" s="31">
        <f>(INDEX(Option4!T$105:T$116, MATCH($D56, Option4!$G$105:$G$116,0)))*conv_2026*T$7</f>
        <v>781167.84792922379</v>
      </c>
      <c r="U56" s="31">
        <f>(INDEX(Option4!U$105:U$116, MATCH($D56, Option4!$G$105:$G$116,0)))*conv_2026*U$7</f>
        <v>781167.84792922379</v>
      </c>
      <c r="V56" s="31">
        <f>(INDEX(Option4!V$105:V$116, MATCH($D56, Option4!$G$105:$G$116,0)))*conv_2026*V$7</f>
        <v>391601.71010180935</v>
      </c>
      <c r="W56" s="31">
        <f>(INDEX(Option4!W$105:W$116, MATCH($D56, Option4!$G$105:$G$116,0)))*conv_2026*W$7</f>
        <v>391601.71010180935</v>
      </c>
      <c r="X56" s="31">
        <f>(INDEX(Option4!X$105:X$116, MATCH($D56, Option4!$G$105:$G$116,0)))*conv_2026*X$7</f>
        <v>391601.71010180935</v>
      </c>
      <c r="Y56" s="31">
        <f>(INDEX(Option4!Y$105:Y$116, MATCH($D56, Option4!$G$105:$G$116,0)))*conv_2026*Y$7</f>
        <v>391601.71010180935</v>
      </c>
      <c r="Z56" s="31">
        <f>(INDEX(Option4!Z$105:Z$116, MATCH($D56, Option4!$G$105:$G$116,0)))*conv_2026*Z$7</f>
        <v>391601.71010180935</v>
      </c>
      <c r="AA56" s="31">
        <f>(INDEX(Option4!AA$105:AA$116, MATCH($D56, Option4!$G$105:$G$116,0)))*conv_2026*AA$7</f>
        <v>391601.71010180935</v>
      </c>
      <c r="AB56" s="31">
        <f>(INDEX(Option4!AB$105:AB$116, MATCH($D56, Option4!$G$105:$G$116,0)))*conv_2026*AB$7</f>
        <v>391601.71010180935</v>
      </c>
      <c r="AC56" s="31">
        <f>(INDEX(Option4!AC$105:AC$116, MATCH($D56, Option4!$G$105:$G$116,0)))*conv_2026*AC$7</f>
        <v>0</v>
      </c>
      <c r="AD56" s="31">
        <f>(INDEX(Option4!AD$105:AD$116, MATCH($D56, Option4!$G$105:$G$116,0)))*conv_2026*AD$7</f>
        <v>0</v>
      </c>
      <c r="AE56" s="31">
        <f>(INDEX(Option4!AE$105:AE$116, MATCH($D56, Option4!$G$105:$G$116,0)))*conv_2026*AE$7</f>
        <v>0</v>
      </c>
      <c r="AF56" s="31">
        <f>(INDEX(Option4!AF$105:AF$116, MATCH($D56, Option4!$G$105:$G$116,0)))*conv_2026*AF$7</f>
        <v>0</v>
      </c>
      <c r="AG56" s="31">
        <f>(INDEX(Option4!AG$105:AG$116, MATCH($D56, Option4!$G$105:$G$116,0)))*conv_2026*AG$7</f>
        <v>0</v>
      </c>
      <c r="AH56" s="7"/>
      <c r="AI56" s="7"/>
    </row>
    <row r="57" spans="1:35" s="8" customFormat="1" x14ac:dyDescent="0.2">
      <c r="A57" s="248"/>
      <c r="B57" s="248"/>
      <c r="C57" s="248"/>
      <c r="D57" s="248"/>
      <c r="E57" s="248"/>
      <c r="F57" s="248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7"/>
      <c r="AI57" s="7"/>
    </row>
    <row r="58" spans="1:35" s="8" customFormat="1" x14ac:dyDescent="0.2">
      <c r="A58" s="256" t="s">
        <v>133</v>
      </c>
      <c r="B58" s="256" t="str">
        <f>Option4!A109</f>
        <v>sens1</v>
      </c>
      <c r="C58" s="256" t="str">
        <f>Option4!C109</f>
        <v>Capex 10% higher</v>
      </c>
      <c r="D58" s="256" t="str">
        <f t="shared" ref="D58:D65" si="7">A58&amp;B58</f>
        <v>Option 4sens1</v>
      </c>
      <c r="E58" s="257"/>
      <c r="F58" s="31">
        <f t="shared" si="6"/>
        <v>8616351.0431282446</v>
      </c>
      <c r="G58" s="249"/>
      <c r="H58" s="31">
        <f>(INDEX(Option4!H$105:H$116, MATCH($D58, Option4!$G$105:$G$116,0)))*conv_2026*H$7</f>
        <v>0</v>
      </c>
      <c r="I58" s="31">
        <f>(INDEX(Option4!I$105:I$116, MATCH($D58, Option4!$G$105:$G$116,0)))*conv_2026*I$7</f>
        <v>779132.27565482946</v>
      </c>
      <c r="J58" s="31">
        <f>(INDEX(Option4!J$105:J$116, MATCH($D58, Option4!$G$105:$G$116,0)))*conv_2026*J$7</f>
        <v>681793.53545547905</v>
      </c>
      <c r="K58" s="31">
        <f>(INDEX(Option4!K$105:K$116, MATCH($D58, Option4!$G$105:$G$116,0)))*conv_2026*K$7</f>
        <v>584454.7952561283</v>
      </c>
      <c r="L58" s="31">
        <f>(INDEX(Option4!L$105:L$116, MATCH($D58, Option4!$G$105:$G$116,0)))*conv_2026*L$7</f>
        <v>876682.19288419303</v>
      </c>
      <c r="M58" s="31">
        <f>(INDEX(Option4!M$105:M$116, MATCH($D58, Option4!$G$105:$G$116,0)))*conv_2026*M$7</f>
        <v>782214.03215452854</v>
      </c>
      <c r="N58" s="31">
        <f>(INDEX(Option4!N$105:N$116, MATCH($D58, Option4!$G$105:$G$116,0)))*conv_2026*N$7</f>
        <v>687745.87142486346</v>
      </c>
      <c r="O58" s="31">
        <f>(INDEX(Option4!O$105:O$116, MATCH($D58, Option4!$G$105:$G$116,0)))*conv_2026*O$7</f>
        <v>596148.29016488476</v>
      </c>
      <c r="P58" s="31">
        <f>(INDEX(Option4!P$105:P$116, MATCH($D58, Option4!$G$105:$G$116,0)))*conv_2026*P$7</f>
        <v>504550.70890490618</v>
      </c>
      <c r="Q58" s="31">
        <f>(INDEX(Option4!Q$105:Q$116, MATCH($D58, Option4!$G$105:$G$116,0)))*conv_2026*Q$7</f>
        <v>802519.26547234238</v>
      </c>
      <c r="R58" s="31">
        <f>(INDEX(Option4!R$105:R$116, MATCH($D58, Option4!$G$105:$G$116,0)))*conv_2026*R$7</f>
        <v>713792.2636820497</v>
      </c>
      <c r="S58" s="31">
        <f>(INDEX(Option4!S$105:S$116, MATCH($D58, Option4!$G$105:$G$116,0)))*conv_2026*S$7</f>
        <v>703458.1775911802</v>
      </c>
      <c r="T58" s="31">
        <f>(INDEX(Option4!T$105:T$116, MATCH($D58, Option4!$G$105:$G$116,0)))*conv_2026*T$7</f>
        <v>703458.1775911802</v>
      </c>
      <c r="U58" s="31">
        <f>(INDEX(Option4!U$105:U$116, MATCH($D58, Option4!$G$105:$G$116,0)))*conv_2026*U$7</f>
        <v>703458.1775911802</v>
      </c>
      <c r="V58" s="31">
        <f>(INDEX(Option4!V$105:V$116, MATCH($D58, Option4!$G$105:$G$116,0)))*conv_2026*V$7</f>
        <v>313892.03976376582</v>
      </c>
      <c r="W58" s="31">
        <f>(INDEX(Option4!W$105:W$116, MATCH($D58, Option4!$G$105:$G$116,0)))*conv_2026*W$7</f>
        <v>313892.03976376582</v>
      </c>
      <c r="X58" s="31">
        <f>(INDEX(Option4!X$105:X$116, MATCH($D58, Option4!$G$105:$G$116,0)))*conv_2026*X$7</f>
        <v>313892.03976376582</v>
      </c>
      <c r="Y58" s="31">
        <f>(INDEX(Option4!Y$105:Y$116, MATCH($D58, Option4!$G$105:$G$116,0)))*conv_2026*Y$7</f>
        <v>313892.03976376582</v>
      </c>
      <c r="Z58" s="31">
        <f>(INDEX(Option4!Z$105:Z$116, MATCH($D58, Option4!$G$105:$G$116,0)))*conv_2026*Z$7</f>
        <v>313892.03976376582</v>
      </c>
      <c r="AA58" s="31">
        <f>(INDEX(Option4!AA$105:AA$116, MATCH($D58, Option4!$G$105:$G$116,0)))*conv_2026*AA$7</f>
        <v>313892.03976376582</v>
      </c>
      <c r="AB58" s="31">
        <f>(INDEX(Option4!AB$105:AB$116, MATCH($D58, Option4!$G$105:$G$116,0)))*conv_2026*AB$7</f>
        <v>313892.03976376582</v>
      </c>
      <c r="AC58" s="31">
        <f>(INDEX(Option4!AC$105:AC$116, MATCH($D58, Option4!$G$105:$G$116,0)))*conv_2026*AC$7</f>
        <v>0</v>
      </c>
      <c r="AD58" s="31">
        <f>(INDEX(Option4!AD$105:AD$116, MATCH($D58, Option4!$G$105:$G$116,0)))*conv_2026*AD$7</f>
        <v>0</v>
      </c>
      <c r="AE58" s="31">
        <f>(INDEX(Option4!AE$105:AE$116, MATCH($D58, Option4!$G$105:$G$116,0)))*conv_2026*AE$7</f>
        <v>0</v>
      </c>
      <c r="AF58" s="31">
        <f>(INDEX(Option4!AF$105:AF$116, MATCH($D58, Option4!$G$105:$G$116,0)))*conv_2026*AF$7</f>
        <v>0</v>
      </c>
      <c r="AG58" s="31">
        <f>(INDEX(Option4!AG$105:AG$116, MATCH($D58, Option4!$G$105:$G$116,0)))*conv_2026*AG$7</f>
        <v>0</v>
      </c>
      <c r="AH58" s="7"/>
      <c r="AI58" s="7"/>
    </row>
    <row r="59" spans="1:35" s="8" customFormat="1" x14ac:dyDescent="0.2">
      <c r="A59" s="256" t="s">
        <v>133</v>
      </c>
      <c r="B59" s="256" t="str">
        <f>Option4!A110</f>
        <v>sens2</v>
      </c>
      <c r="C59" s="256" t="str">
        <f>Option4!C110</f>
        <v>Capex 10% lower</v>
      </c>
      <c r="D59" s="256" t="str">
        <f t="shared" si="7"/>
        <v>Option 4sens2</v>
      </c>
      <c r="E59" s="257"/>
      <c r="F59" s="31">
        <f t="shared" si="6"/>
        <v>10167331.243562734</v>
      </c>
      <c r="G59" s="256"/>
      <c r="H59" s="31">
        <f>(INDEX(Option4!H$105:H$116, MATCH($D59, Option4!$G$105:$G$116,0)))*conv_2026*H$7</f>
        <v>0</v>
      </c>
      <c r="I59" s="31">
        <f>(INDEX(Option4!I$105:I$116, MATCH($D59, Option4!$G$105:$G$116,0)))*conv_2026*I$7</f>
        <v>779132.27565482946</v>
      </c>
      <c r="J59" s="31">
        <f>(INDEX(Option4!J$105:J$116, MATCH($D59, Option4!$G$105:$G$116,0)))*conv_2026*J$7</f>
        <v>699491.48821899726</v>
      </c>
      <c r="K59" s="31">
        <f>(INDEX(Option4!K$105:K$116, MATCH($D59, Option4!$G$105:$G$116,0)))*conv_2026*K$7</f>
        <v>619850.70078316506</v>
      </c>
      <c r="L59" s="31">
        <f>(INDEX(Option4!L$105:L$116, MATCH($D59, Option4!$G$105:$G$116,0)))*conv_2026*L$7</f>
        <v>929776.05117474787</v>
      </c>
      <c r="M59" s="31">
        <f>(INDEX(Option4!M$105:M$116, MATCH($D59, Option4!$G$105:$G$116,0)))*conv_2026*M$7</f>
        <v>852483.91966865887</v>
      </c>
      <c r="N59" s="31">
        <f>(INDEX(Option4!N$105:N$116, MATCH($D59, Option4!$G$105:$G$116,0)))*conv_2026*N$7</f>
        <v>775191.78816256917</v>
      </c>
      <c r="O59" s="31">
        <f>(INDEX(Option4!O$105:O$116, MATCH($D59, Option4!$G$105:$G$116,0)))*conv_2026*O$7</f>
        <v>700248.31258622289</v>
      </c>
      <c r="P59" s="31">
        <f>(INDEX(Option4!P$105:P$116, MATCH($D59, Option4!$G$105:$G$116,0)))*conv_2026*P$7</f>
        <v>625304.83700987685</v>
      </c>
      <c r="Q59" s="31">
        <f>(INDEX(Option4!Q$105:Q$116, MATCH($D59, Option4!$G$105:$G$116,0)))*conv_2026*Q$7</f>
        <v>939927.49926094536</v>
      </c>
      <c r="R59" s="31">
        <f>(INDEX(Option4!R$105:R$116, MATCH($D59, Option4!$G$105:$G$116,0)))*conv_2026*R$7</f>
        <v>867332.67961434228</v>
      </c>
      <c r="S59" s="31">
        <f>(INDEX(Option4!S$105:S$116, MATCH($D59, Option4!$G$105:$G$116,0)))*conv_2026*S$7</f>
        <v>858877.51826726738</v>
      </c>
      <c r="T59" s="31">
        <f>(INDEX(Option4!T$105:T$116, MATCH($D59, Option4!$G$105:$G$116,0)))*conv_2026*T$7</f>
        <v>858877.51826726738</v>
      </c>
      <c r="U59" s="31">
        <f>(INDEX(Option4!U$105:U$116, MATCH($D59, Option4!$G$105:$G$116,0)))*conv_2026*U$7</f>
        <v>858877.51826726738</v>
      </c>
      <c r="V59" s="31">
        <f>(INDEX(Option4!V$105:V$116, MATCH($D59, Option4!$G$105:$G$116,0)))*conv_2026*V$7</f>
        <v>469311.38043985289</v>
      </c>
      <c r="W59" s="31">
        <f>(INDEX(Option4!W$105:W$116, MATCH($D59, Option4!$G$105:$G$116,0)))*conv_2026*W$7</f>
        <v>469311.38043985289</v>
      </c>
      <c r="X59" s="31">
        <f>(INDEX(Option4!X$105:X$116, MATCH($D59, Option4!$G$105:$G$116,0)))*conv_2026*X$7</f>
        <v>469311.38043985289</v>
      </c>
      <c r="Y59" s="31">
        <f>(INDEX(Option4!Y$105:Y$116, MATCH($D59, Option4!$G$105:$G$116,0)))*conv_2026*Y$7</f>
        <v>469311.38043985289</v>
      </c>
      <c r="Z59" s="31">
        <f>(INDEX(Option4!Z$105:Z$116, MATCH($D59, Option4!$G$105:$G$116,0)))*conv_2026*Z$7</f>
        <v>469311.38043985289</v>
      </c>
      <c r="AA59" s="31">
        <f>(INDEX(Option4!AA$105:AA$116, MATCH($D59, Option4!$G$105:$G$116,0)))*conv_2026*AA$7</f>
        <v>469311.38043985289</v>
      </c>
      <c r="AB59" s="31">
        <f>(INDEX(Option4!AB$105:AB$116, MATCH($D59, Option4!$G$105:$G$116,0)))*conv_2026*AB$7</f>
        <v>469311.38043985289</v>
      </c>
      <c r="AC59" s="31">
        <f>(INDEX(Option4!AC$105:AC$116, MATCH($D59, Option4!$G$105:$G$116,0)))*conv_2026*AC$7</f>
        <v>0</v>
      </c>
      <c r="AD59" s="31">
        <f>(INDEX(Option4!AD$105:AD$116, MATCH($D59, Option4!$G$105:$G$116,0)))*conv_2026*AD$7</f>
        <v>0</v>
      </c>
      <c r="AE59" s="31">
        <f>(INDEX(Option4!AE$105:AE$116, MATCH($D59, Option4!$G$105:$G$116,0)))*conv_2026*AE$7</f>
        <v>0</v>
      </c>
      <c r="AF59" s="31">
        <f>(INDEX(Option4!AF$105:AF$116, MATCH($D59, Option4!$G$105:$G$116,0)))*conv_2026*AF$7</f>
        <v>0</v>
      </c>
      <c r="AG59" s="31">
        <f>(INDEX(Option4!AG$105:AG$116, MATCH($D59, Option4!$G$105:$G$116,0)))*conv_2026*AG$7</f>
        <v>0</v>
      </c>
    </row>
    <row r="60" spans="1:35" s="8" customFormat="1" x14ac:dyDescent="0.2">
      <c r="A60" s="256" t="s">
        <v>133</v>
      </c>
      <c r="B60" s="256" t="str">
        <f>Option4!A111</f>
        <v>sens3</v>
      </c>
      <c r="C60" s="256" t="str">
        <f>Option4!C111</f>
        <v>Total benefits 10% higher</v>
      </c>
      <c r="D60" s="256" t="str">
        <f t="shared" si="7"/>
        <v>Option 4sens3</v>
      </c>
      <c r="E60" s="257"/>
      <c r="F60" s="31">
        <f t="shared" si="6"/>
        <v>11106515.357897282</v>
      </c>
      <c r="H60" s="31">
        <f>(INDEX(Option4!H$105:H$116, MATCH($D60, Option4!$G$105:$G$116,0)))*conv_2026*H$7</f>
        <v>0</v>
      </c>
      <c r="I60" s="31">
        <f>(INDEX(Option4!I$105:I$116, MATCH($D60, Option4!$G$105:$G$116,0)))*conv_2026*I$7</f>
        <v>857045.50322031253</v>
      </c>
      <c r="J60" s="31">
        <f>(INDEX(Option4!J$105:J$116, MATCH($D60, Option4!$G$105:$G$116,0)))*conv_2026*J$7</f>
        <v>768555.73940272117</v>
      </c>
      <c r="K60" s="31">
        <f>(INDEX(Option4!K$105:K$116, MATCH($D60, Option4!$G$105:$G$116,0)))*conv_2026*K$7</f>
        <v>680065.97558512969</v>
      </c>
      <c r="L60" s="31">
        <f>(INDEX(Option4!L$105:L$116, MATCH($D60, Option4!$G$105:$G$116,0)))*conv_2026*L$7</f>
        <v>1020098.9633776949</v>
      </c>
      <c r="M60" s="31">
        <f>(INDEX(Option4!M$105:M$116, MATCH($D60, Option4!$G$105:$G$116,0)))*conv_2026*M$7</f>
        <v>934218.8172598182</v>
      </c>
      <c r="N60" s="31">
        <f>(INDEX(Option4!N$105:N$116, MATCH($D60, Option4!$G$105:$G$116,0)))*conv_2026*N$7</f>
        <v>848338.67114194087</v>
      </c>
      <c r="O60" s="31">
        <f>(INDEX(Option4!O$105:O$116, MATCH($D60, Option4!$G$105:$G$116,0)))*conv_2026*O$7</f>
        <v>765068.14272377838</v>
      </c>
      <c r="P60" s="31">
        <f>(INDEX(Option4!P$105:P$116, MATCH($D60, Option4!$G$105:$G$116,0)))*conv_2026*P$7</f>
        <v>681797.61430561601</v>
      </c>
      <c r="Q60" s="31">
        <f>(INDEX(Option4!Q$105:Q$116, MATCH($D60, Option4!$G$105:$G$116,0)))*conv_2026*Q$7</f>
        <v>1027049.8374976099</v>
      </c>
      <c r="R60" s="31">
        <f>(INDEX(Option4!R$105:R$116, MATCH($D60, Option4!$G$105:$G$116,0)))*conv_2026*R$7</f>
        <v>946388.92677916191</v>
      </c>
      <c r="S60" s="31">
        <f>(INDEX(Option4!S$105:S$116, MATCH($D60, Option4!$G$105:$G$116,0)))*conv_2026*S$7</f>
        <v>936994.30306018982</v>
      </c>
      <c r="T60" s="31">
        <f>(INDEX(Option4!T$105:T$116, MATCH($D60, Option4!$G$105:$G$116,0)))*conv_2026*T$7</f>
        <v>936994.30306018982</v>
      </c>
      <c r="U60" s="31">
        <f>(INDEX(Option4!U$105:U$116, MATCH($D60, Option4!$G$105:$G$116,0)))*conv_2026*U$7</f>
        <v>936994.30306018982</v>
      </c>
      <c r="V60" s="31">
        <f>(INDEX(Option4!V$105:V$116, MATCH($D60, Option4!$G$105:$G$116,0)))*conv_2026*V$7</f>
        <v>508471.55145003385</v>
      </c>
      <c r="W60" s="31">
        <f>(INDEX(Option4!W$105:W$116, MATCH($D60, Option4!$G$105:$G$116,0)))*conv_2026*W$7</f>
        <v>508471.55145003385</v>
      </c>
      <c r="X60" s="31">
        <f>(INDEX(Option4!X$105:X$116, MATCH($D60, Option4!$G$105:$G$116,0)))*conv_2026*X$7</f>
        <v>508471.55145003385</v>
      </c>
      <c r="Y60" s="31">
        <f>(INDEX(Option4!Y$105:Y$116, MATCH($D60, Option4!$G$105:$G$116,0)))*conv_2026*Y$7</f>
        <v>508471.55145003385</v>
      </c>
      <c r="Z60" s="31">
        <f>(INDEX(Option4!Z$105:Z$116, MATCH($D60, Option4!$G$105:$G$116,0)))*conv_2026*Z$7</f>
        <v>508471.55145003385</v>
      </c>
      <c r="AA60" s="31">
        <f>(INDEX(Option4!AA$105:AA$116, MATCH($D60, Option4!$G$105:$G$116,0)))*conv_2026*AA$7</f>
        <v>508471.55145003385</v>
      </c>
      <c r="AB60" s="31">
        <f>(INDEX(Option4!AB$105:AB$116, MATCH($D60, Option4!$G$105:$G$116,0)))*conv_2026*AB$7</f>
        <v>508471.55145003385</v>
      </c>
      <c r="AC60" s="31">
        <f>(INDEX(Option4!AC$105:AC$116, MATCH($D60, Option4!$G$105:$G$116,0)))*conv_2026*AC$7</f>
        <v>0</v>
      </c>
      <c r="AD60" s="31">
        <f>(INDEX(Option4!AD$105:AD$116, MATCH($D60, Option4!$G$105:$G$116,0)))*conv_2026*AD$7</f>
        <v>0</v>
      </c>
      <c r="AE60" s="31">
        <f>(INDEX(Option4!AE$105:AE$116, MATCH($D60, Option4!$G$105:$G$116,0)))*conv_2026*AE$7</f>
        <v>0</v>
      </c>
      <c r="AF60" s="31">
        <f>(INDEX(Option4!AF$105:AF$116, MATCH($D60, Option4!$G$105:$G$116,0)))*conv_2026*AF$7</f>
        <v>0</v>
      </c>
      <c r="AG60" s="31">
        <f>(INDEX(Option4!AG$105:AG$116, MATCH($D60, Option4!$G$105:$G$116,0)))*conv_2026*AG$7</f>
        <v>0</v>
      </c>
    </row>
    <row r="61" spans="1:35" s="8" customFormat="1" x14ac:dyDescent="0.2">
      <c r="A61" s="256" t="s">
        <v>133</v>
      </c>
      <c r="B61" s="256" t="str">
        <f>Option4!A112</f>
        <v>sens4</v>
      </c>
      <c r="C61" s="256" t="str">
        <f>Option4!C112</f>
        <v>Total benefits 10% lower</v>
      </c>
      <c r="D61" s="256" t="str">
        <f t="shared" si="7"/>
        <v>Option 4sens4</v>
      </c>
      <c r="E61" s="257"/>
      <c r="F61" s="31">
        <f t="shared" si="6"/>
        <v>7677166.9287936967</v>
      </c>
      <c r="H61" s="31">
        <f>(INDEX(Option4!H$105:H$116, MATCH($D61, Option4!$G$105:$G$116,0)))*conv_2026*H$7</f>
        <v>0</v>
      </c>
      <c r="I61" s="31">
        <f>(INDEX(Option4!I$105:I$116, MATCH($D61, Option4!$G$105:$G$116,0)))*conv_2026*I$7</f>
        <v>701219.0480893465</v>
      </c>
      <c r="J61" s="31">
        <f>(INDEX(Option4!J$105:J$116, MATCH($D61, Option4!$G$105:$G$116,0)))*conv_2026*J$7</f>
        <v>612729.28427175514</v>
      </c>
      <c r="K61" s="31">
        <f>(INDEX(Option4!K$105:K$116, MATCH($D61, Option4!$G$105:$G$116,0)))*conv_2026*K$7</f>
        <v>524239.52045416372</v>
      </c>
      <c r="L61" s="31">
        <f>(INDEX(Option4!L$105:L$116, MATCH($D61, Option4!$G$105:$G$116,0)))*conv_2026*L$7</f>
        <v>786359.28068124596</v>
      </c>
      <c r="M61" s="31">
        <f>(INDEX(Option4!M$105:M$116, MATCH($D61, Option4!$G$105:$G$116,0)))*conv_2026*M$7</f>
        <v>700479.13456336909</v>
      </c>
      <c r="N61" s="31">
        <f>(INDEX(Option4!N$105:N$116, MATCH($D61, Option4!$G$105:$G$116,0)))*conv_2026*N$7</f>
        <v>614598.98844549188</v>
      </c>
      <c r="O61" s="31">
        <f>(INDEX(Option4!O$105:O$116, MATCH($D61, Option4!$G$105:$G$116,0)))*conv_2026*O$7</f>
        <v>531328.46002732939</v>
      </c>
      <c r="P61" s="31">
        <f>(INDEX(Option4!P$105:P$116, MATCH($D61, Option4!$G$105:$G$116,0)))*conv_2026*P$7</f>
        <v>448057.93160916708</v>
      </c>
      <c r="Q61" s="31">
        <f>(INDEX(Option4!Q$105:Q$116, MATCH($D61, Option4!$G$105:$G$116,0)))*conv_2026*Q$7</f>
        <v>715396.92723567784</v>
      </c>
      <c r="R61" s="31">
        <f>(INDEX(Option4!R$105:R$116, MATCH($D61, Option4!$G$105:$G$116,0)))*conv_2026*R$7</f>
        <v>634736.01651722996</v>
      </c>
      <c r="S61" s="31">
        <f>(INDEX(Option4!S$105:S$116, MATCH($D61, Option4!$G$105:$G$116,0)))*conv_2026*S$7</f>
        <v>625341.39279825788</v>
      </c>
      <c r="T61" s="31">
        <f>(INDEX(Option4!T$105:T$116, MATCH($D61, Option4!$G$105:$G$116,0)))*conv_2026*T$7</f>
        <v>625341.39279825788</v>
      </c>
      <c r="U61" s="31">
        <f>(INDEX(Option4!U$105:U$116, MATCH($D61, Option4!$G$105:$G$116,0)))*conv_2026*U$7</f>
        <v>625341.39279825788</v>
      </c>
      <c r="V61" s="31">
        <f>(INDEX(Option4!V$105:V$116, MATCH($D61, Option4!$G$105:$G$116,0)))*conv_2026*V$7</f>
        <v>274731.86875358486</v>
      </c>
      <c r="W61" s="31">
        <f>(INDEX(Option4!W$105:W$116, MATCH($D61, Option4!$G$105:$G$116,0)))*conv_2026*W$7</f>
        <v>274731.86875358486</v>
      </c>
      <c r="X61" s="31">
        <f>(INDEX(Option4!X$105:X$116, MATCH($D61, Option4!$G$105:$G$116,0)))*conv_2026*X$7</f>
        <v>274731.86875358486</v>
      </c>
      <c r="Y61" s="31">
        <f>(INDEX(Option4!Y$105:Y$116, MATCH($D61, Option4!$G$105:$G$116,0)))*conv_2026*Y$7</f>
        <v>274731.86875358486</v>
      </c>
      <c r="Z61" s="31">
        <f>(INDEX(Option4!Z$105:Z$116, MATCH($D61, Option4!$G$105:$G$116,0)))*conv_2026*Z$7</f>
        <v>274731.86875358486</v>
      </c>
      <c r="AA61" s="31">
        <f>(INDEX(Option4!AA$105:AA$116, MATCH($D61, Option4!$G$105:$G$116,0)))*conv_2026*AA$7</f>
        <v>274731.86875358486</v>
      </c>
      <c r="AB61" s="31">
        <f>(INDEX(Option4!AB$105:AB$116, MATCH($D61, Option4!$G$105:$G$116,0)))*conv_2026*AB$7</f>
        <v>274731.86875358486</v>
      </c>
      <c r="AC61" s="31">
        <f>(INDEX(Option4!AC$105:AC$116, MATCH($D61, Option4!$G$105:$G$116,0)))*conv_2026*AC$7</f>
        <v>0</v>
      </c>
      <c r="AD61" s="31">
        <f>(INDEX(Option4!AD$105:AD$116, MATCH($D61, Option4!$G$105:$G$116,0)))*conv_2026*AD$7</f>
        <v>0</v>
      </c>
      <c r="AE61" s="31">
        <f>(INDEX(Option4!AE$105:AE$116, MATCH($D61, Option4!$G$105:$G$116,0)))*conv_2026*AE$7</f>
        <v>0</v>
      </c>
      <c r="AF61" s="31">
        <f>(INDEX(Option4!AF$105:AF$116, MATCH($D61, Option4!$G$105:$G$116,0)))*conv_2026*AF$7</f>
        <v>0</v>
      </c>
      <c r="AG61" s="31">
        <f>(INDEX(Option4!AG$105:AG$116, MATCH($D61, Option4!$G$105:$G$116,0)))*conv_2026*AG$7</f>
        <v>0</v>
      </c>
    </row>
    <row r="62" spans="1:35" s="8" customFormat="1" x14ac:dyDescent="0.2">
      <c r="A62" s="256" t="s">
        <v>133</v>
      </c>
      <c r="B62" s="256" t="str">
        <f>Option4!A113</f>
        <v>sens5</v>
      </c>
      <c r="C62" s="256" t="str">
        <f>Option4!C113</f>
        <v>Capex 10% higher &amp; Total benefits 10% lower</v>
      </c>
      <c r="D62" s="256" t="str">
        <f t="shared" si="7"/>
        <v>Option 4sens5</v>
      </c>
      <c r="E62" s="257"/>
      <c r="F62" s="31">
        <f t="shared" si="6"/>
        <v>6901676.828576454</v>
      </c>
      <c r="H62" s="31">
        <f>(INDEX(Option4!H$105:H$116, MATCH($D62, Option4!$G$105:$G$116,0)))*conv_2026*H$7</f>
        <v>0</v>
      </c>
      <c r="I62" s="31">
        <f>(INDEX(Option4!I$105:I$116, MATCH($D62, Option4!$G$105:$G$116,0)))*conv_2026*I$7</f>
        <v>701219.0480893465</v>
      </c>
      <c r="J62" s="31">
        <f>(INDEX(Option4!J$105:J$116, MATCH($D62, Option4!$G$105:$G$116,0)))*conv_2026*J$7</f>
        <v>603880.30788999598</v>
      </c>
      <c r="K62" s="31">
        <f>(INDEX(Option4!K$105:K$116, MATCH($D62, Option4!$G$105:$G$116,0)))*conv_2026*K$7</f>
        <v>506541.56769064546</v>
      </c>
      <c r="L62" s="31">
        <f>(INDEX(Option4!L$105:L$116, MATCH($D62, Option4!$G$105:$G$116,0)))*conv_2026*L$7</f>
        <v>759812.35153596848</v>
      </c>
      <c r="M62" s="31">
        <f>(INDEX(Option4!M$105:M$116, MATCH($D62, Option4!$G$105:$G$116,0)))*conv_2026*M$7</f>
        <v>665344.19080630399</v>
      </c>
      <c r="N62" s="31">
        <f>(INDEX(Option4!N$105:N$116, MATCH($D62, Option4!$G$105:$G$116,0)))*conv_2026*N$7</f>
        <v>570876.03007663914</v>
      </c>
      <c r="O62" s="31">
        <f>(INDEX(Option4!O$105:O$116, MATCH($D62, Option4!$G$105:$G$116,0)))*conv_2026*O$7</f>
        <v>479278.44881666033</v>
      </c>
      <c r="P62" s="31">
        <f>(INDEX(Option4!P$105:P$116, MATCH($D62, Option4!$G$105:$G$116,0)))*conv_2026*P$7</f>
        <v>387680.86755668168</v>
      </c>
      <c r="Q62" s="31">
        <f>(INDEX(Option4!Q$105:Q$116, MATCH($D62, Option4!$G$105:$G$116,0)))*conv_2026*Q$7</f>
        <v>646692.81034137635</v>
      </c>
      <c r="R62" s="31">
        <f>(INDEX(Option4!R$105:R$116, MATCH($D62, Option4!$G$105:$G$116,0)))*conv_2026*R$7</f>
        <v>557965.80855108367</v>
      </c>
      <c r="S62" s="31">
        <f>(INDEX(Option4!S$105:S$116, MATCH($D62, Option4!$G$105:$G$116,0)))*conv_2026*S$7</f>
        <v>547631.7224602144</v>
      </c>
      <c r="T62" s="31">
        <f>(INDEX(Option4!T$105:T$116, MATCH($D62, Option4!$G$105:$G$116,0)))*conv_2026*T$7</f>
        <v>547631.7224602144</v>
      </c>
      <c r="U62" s="31">
        <f>(INDEX(Option4!U$105:U$116, MATCH($D62, Option4!$G$105:$G$116,0)))*conv_2026*U$7</f>
        <v>547631.7224602144</v>
      </c>
      <c r="V62" s="31">
        <f>(INDEX(Option4!V$105:V$116, MATCH($D62, Option4!$G$105:$G$116,0)))*conv_2026*V$7</f>
        <v>197022.19841554132</v>
      </c>
      <c r="W62" s="31">
        <f>(INDEX(Option4!W$105:W$116, MATCH($D62, Option4!$G$105:$G$116,0)))*conv_2026*W$7</f>
        <v>197022.19841554132</v>
      </c>
      <c r="X62" s="31">
        <f>(INDEX(Option4!X$105:X$116, MATCH($D62, Option4!$G$105:$G$116,0)))*conv_2026*X$7</f>
        <v>197022.19841554132</v>
      </c>
      <c r="Y62" s="31">
        <f>(INDEX(Option4!Y$105:Y$116, MATCH($D62, Option4!$G$105:$G$116,0)))*conv_2026*Y$7</f>
        <v>197022.19841554132</v>
      </c>
      <c r="Z62" s="31">
        <f>(INDEX(Option4!Z$105:Z$116, MATCH($D62, Option4!$G$105:$G$116,0)))*conv_2026*Z$7</f>
        <v>197022.19841554132</v>
      </c>
      <c r="AA62" s="31">
        <f>(INDEX(Option4!AA$105:AA$116, MATCH($D62, Option4!$G$105:$G$116,0)))*conv_2026*AA$7</f>
        <v>197022.19841554132</v>
      </c>
      <c r="AB62" s="31">
        <f>(INDEX(Option4!AB$105:AB$116, MATCH($D62, Option4!$G$105:$G$116,0)))*conv_2026*AB$7</f>
        <v>197022.19841554132</v>
      </c>
      <c r="AC62" s="31">
        <f>(INDEX(Option4!AC$105:AC$116, MATCH($D62, Option4!$G$105:$G$116,0)))*conv_2026*AC$7</f>
        <v>0</v>
      </c>
      <c r="AD62" s="31">
        <f>(INDEX(Option4!AD$105:AD$116, MATCH($D62, Option4!$G$105:$G$116,0)))*conv_2026*AD$7</f>
        <v>0</v>
      </c>
      <c r="AE62" s="31">
        <f>(INDEX(Option4!AE$105:AE$116, MATCH($D62, Option4!$G$105:$G$116,0)))*conv_2026*AE$7</f>
        <v>0</v>
      </c>
      <c r="AF62" s="31">
        <f>(INDEX(Option4!AF$105:AF$116, MATCH($D62, Option4!$G$105:$G$116,0)))*conv_2026*AF$7</f>
        <v>0</v>
      </c>
      <c r="AG62" s="31">
        <f>(INDEX(Option4!AG$105:AG$116, MATCH($D62, Option4!$G$105:$G$116,0)))*conv_2026*AG$7</f>
        <v>0</v>
      </c>
    </row>
    <row r="63" spans="1:35" s="8" customFormat="1" x14ac:dyDescent="0.2">
      <c r="A63" s="256" t="s">
        <v>133</v>
      </c>
      <c r="B63" s="256" t="str">
        <f>Option4!A114</f>
        <v>sens</v>
      </c>
      <c r="C63" s="256">
        <f>Option4!C114</f>
        <v>0</v>
      </c>
      <c r="D63" s="256" t="str">
        <f t="shared" si="7"/>
        <v>Option 4sens</v>
      </c>
      <c r="E63" s="257"/>
      <c r="F63" s="31">
        <f t="shared" si="6"/>
        <v>9391841.1433454882</v>
      </c>
      <c r="H63" s="31">
        <f>(INDEX(Option4!H$105:H$116, MATCH($D63, Option4!$G$105:$G$116,0)))*conv_2026*H$7</f>
        <v>0</v>
      </c>
      <c r="I63" s="31">
        <f>(INDEX(Option4!I$105:I$116, MATCH($D63, Option4!$G$105:$G$116,0)))*conv_2026*I$7</f>
        <v>779132.27565482946</v>
      </c>
      <c r="J63" s="31">
        <f>(INDEX(Option4!J$105:J$116, MATCH($D63, Option4!$G$105:$G$116,0)))*conv_2026*J$7</f>
        <v>690642.5118372381</v>
      </c>
      <c r="K63" s="31">
        <f>(INDEX(Option4!K$105:K$116, MATCH($D63, Option4!$G$105:$G$116,0)))*conv_2026*K$7</f>
        <v>602152.74801964662</v>
      </c>
      <c r="L63" s="31">
        <f>(INDEX(Option4!L$105:L$116, MATCH($D63, Option4!$G$105:$G$116,0)))*conv_2026*L$7</f>
        <v>903229.1220294704</v>
      </c>
      <c r="M63" s="31">
        <f>(INDEX(Option4!M$105:M$116, MATCH($D63, Option4!$G$105:$G$116,0)))*conv_2026*M$7</f>
        <v>817348.97591159365</v>
      </c>
      <c r="N63" s="31">
        <f>(INDEX(Option4!N$105:N$116, MATCH($D63, Option4!$G$105:$G$116,0)))*conv_2026*N$7</f>
        <v>731468.82979371632</v>
      </c>
      <c r="O63" s="31">
        <f>(INDEX(Option4!O$105:O$116, MATCH($D63, Option4!$G$105:$G$116,0)))*conv_2026*O$7</f>
        <v>648198.30137555383</v>
      </c>
      <c r="P63" s="31">
        <f>(INDEX(Option4!P$105:P$116, MATCH($D63, Option4!$G$105:$G$116,0)))*conv_2026*P$7</f>
        <v>564927.77295739145</v>
      </c>
      <c r="Q63" s="31">
        <f>(INDEX(Option4!Q$105:Q$116, MATCH($D63, Option4!$G$105:$G$116,0)))*conv_2026*Q$7</f>
        <v>871223.38236664387</v>
      </c>
      <c r="R63" s="31">
        <f>(INDEX(Option4!R$105:R$116, MATCH($D63, Option4!$G$105:$G$116,0)))*conv_2026*R$7</f>
        <v>790562.47164819599</v>
      </c>
      <c r="S63" s="31">
        <f>(INDEX(Option4!S$105:S$116, MATCH($D63, Option4!$G$105:$G$116,0)))*conv_2026*S$7</f>
        <v>781167.84792922379</v>
      </c>
      <c r="T63" s="31">
        <f>(INDEX(Option4!T$105:T$116, MATCH($D63, Option4!$G$105:$G$116,0)))*conv_2026*T$7</f>
        <v>781167.84792922379</v>
      </c>
      <c r="U63" s="31">
        <f>(INDEX(Option4!U$105:U$116, MATCH($D63, Option4!$G$105:$G$116,0)))*conv_2026*U$7</f>
        <v>781167.84792922379</v>
      </c>
      <c r="V63" s="31">
        <f>(INDEX(Option4!V$105:V$116, MATCH($D63, Option4!$G$105:$G$116,0)))*conv_2026*V$7</f>
        <v>391601.71010180935</v>
      </c>
      <c r="W63" s="31">
        <f>(INDEX(Option4!W$105:W$116, MATCH($D63, Option4!$G$105:$G$116,0)))*conv_2026*W$7</f>
        <v>391601.71010180935</v>
      </c>
      <c r="X63" s="31">
        <f>(INDEX(Option4!X$105:X$116, MATCH($D63, Option4!$G$105:$G$116,0)))*conv_2026*X$7</f>
        <v>391601.71010180935</v>
      </c>
      <c r="Y63" s="31">
        <f>(INDEX(Option4!Y$105:Y$116, MATCH($D63, Option4!$G$105:$G$116,0)))*conv_2026*Y$7</f>
        <v>391601.71010180935</v>
      </c>
      <c r="Z63" s="31">
        <f>(INDEX(Option4!Z$105:Z$116, MATCH($D63, Option4!$G$105:$G$116,0)))*conv_2026*Z$7</f>
        <v>391601.71010180935</v>
      </c>
      <c r="AA63" s="31">
        <f>(INDEX(Option4!AA$105:AA$116, MATCH($D63, Option4!$G$105:$G$116,0)))*conv_2026*AA$7</f>
        <v>391601.71010180935</v>
      </c>
      <c r="AB63" s="31">
        <f>(INDEX(Option4!AB$105:AB$116, MATCH($D63, Option4!$G$105:$G$116,0)))*conv_2026*AB$7</f>
        <v>391601.71010180935</v>
      </c>
      <c r="AC63" s="31">
        <f>(INDEX(Option4!AC$105:AC$116, MATCH($D63, Option4!$G$105:$G$116,0)))*conv_2026*AC$7</f>
        <v>0</v>
      </c>
      <c r="AD63" s="31">
        <f>(INDEX(Option4!AD$105:AD$116, MATCH($D63, Option4!$G$105:$G$116,0)))*conv_2026*AD$7</f>
        <v>0</v>
      </c>
      <c r="AE63" s="31">
        <f>(INDEX(Option4!AE$105:AE$116, MATCH($D63, Option4!$G$105:$G$116,0)))*conv_2026*AE$7</f>
        <v>0</v>
      </c>
      <c r="AF63" s="31">
        <f>(INDEX(Option4!AF$105:AF$116, MATCH($D63, Option4!$G$105:$G$116,0)))*conv_2026*AF$7</f>
        <v>0</v>
      </c>
      <c r="AG63" s="31">
        <f>(INDEX(Option4!AG$105:AG$116, MATCH($D63, Option4!$G$105:$G$116,0)))*conv_2026*AG$7</f>
        <v>0</v>
      </c>
    </row>
    <row r="64" spans="1:35" s="8" customFormat="1" x14ac:dyDescent="0.2">
      <c r="A64" s="256" t="s">
        <v>133</v>
      </c>
      <c r="B64" s="256" t="str">
        <f>Option4!A115</f>
        <v>sens</v>
      </c>
      <c r="C64" s="256">
        <f>Option4!C115</f>
        <v>0</v>
      </c>
      <c r="D64" s="256" t="str">
        <f t="shared" si="7"/>
        <v>Option 4sens</v>
      </c>
      <c r="E64" s="257"/>
      <c r="F64" s="31">
        <f t="shared" si="6"/>
        <v>9391841.1433454882</v>
      </c>
      <c r="H64" s="31">
        <f>(INDEX(Option4!H$105:H$116, MATCH($D64, Option4!$G$105:$G$116,0)))*conv_2026*H$7</f>
        <v>0</v>
      </c>
      <c r="I64" s="31">
        <f>(INDEX(Option4!I$105:I$116, MATCH($D64, Option4!$G$105:$G$116,0)))*conv_2026*I$7</f>
        <v>779132.27565482946</v>
      </c>
      <c r="J64" s="31">
        <f>(INDEX(Option4!J$105:J$116, MATCH($D64, Option4!$G$105:$G$116,0)))*conv_2026*J$7</f>
        <v>690642.5118372381</v>
      </c>
      <c r="K64" s="31">
        <f>(INDEX(Option4!K$105:K$116, MATCH($D64, Option4!$G$105:$G$116,0)))*conv_2026*K$7</f>
        <v>602152.74801964662</v>
      </c>
      <c r="L64" s="31">
        <f>(INDEX(Option4!L$105:L$116, MATCH($D64, Option4!$G$105:$G$116,0)))*conv_2026*L$7</f>
        <v>903229.1220294704</v>
      </c>
      <c r="M64" s="31">
        <f>(INDEX(Option4!M$105:M$116, MATCH($D64, Option4!$G$105:$G$116,0)))*conv_2026*M$7</f>
        <v>817348.97591159365</v>
      </c>
      <c r="N64" s="31">
        <f>(INDEX(Option4!N$105:N$116, MATCH($D64, Option4!$G$105:$G$116,0)))*conv_2026*N$7</f>
        <v>731468.82979371632</v>
      </c>
      <c r="O64" s="31">
        <f>(INDEX(Option4!O$105:O$116, MATCH($D64, Option4!$G$105:$G$116,0)))*conv_2026*O$7</f>
        <v>648198.30137555383</v>
      </c>
      <c r="P64" s="31">
        <f>(INDEX(Option4!P$105:P$116, MATCH($D64, Option4!$G$105:$G$116,0)))*conv_2026*P$7</f>
        <v>564927.77295739145</v>
      </c>
      <c r="Q64" s="31">
        <f>(INDEX(Option4!Q$105:Q$116, MATCH($D64, Option4!$G$105:$G$116,0)))*conv_2026*Q$7</f>
        <v>871223.38236664387</v>
      </c>
      <c r="R64" s="31">
        <f>(INDEX(Option4!R$105:R$116, MATCH($D64, Option4!$G$105:$G$116,0)))*conv_2026*R$7</f>
        <v>790562.47164819599</v>
      </c>
      <c r="S64" s="31">
        <f>(INDEX(Option4!S$105:S$116, MATCH($D64, Option4!$G$105:$G$116,0)))*conv_2026*S$7</f>
        <v>781167.84792922379</v>
      </c>
      <c r="T64" s="31">
        <f>(INDEX(Option4!T$105:T$116, MATCH($D64, Option4!$G$105:$G$116,0)))*conv_2026*T$7</f>
        <v>781167.84792922379</v>
      </c>
      <c r="U64" s="31">
        <f>(INDEX(Option4!U$105:U$116, MATCH($D64, Option4!$G$105:$G$116,0)))*conv_2026*U$7</f>
        <v>781167.84792922379</v>
      </c>
      <c r="V64" s="31">
        <f>(INDEX(Option4!V$105:V$116, MATCH($D64, Option4!$G$105:$G$116,0)))*conv_2026*V$7</f>
        <v>391601.71010180935</v>
      </c>
      <c r="W64" s="31">
        <f>(INDEX(Option4!W$105:W$116, MATCH($D64, Option4!$G$105:$G$116,0)))*conv_2026*W$7</f>
        <v>391601.71010180935</v>
      </c>
      <c r="X64" s="31">
        <f>(INDEX(Option4!X$105:X$116, MATCH($D64, Option4!$G$105:$G$116,0)))*conv_2026*X$7</f>
        <v>391601.71010180935</v>
      </c>
      <c r="Y64" s="31">
        <f>(INDEX(Option4!Y$105:Y$116, MATCH($D64, Option4!$G$105:$G$116,0)))*conv_2026*Y$7</f>
        <v>391601.71010180935</v>
      </c>
      <c r="Z64" s="31">
        <f>(INDEX(Option4!Z$105:Z$116, MATCH($D64, Option4!$G$105:$G$116,0)))*conv_2026*Z$7</f>
        <v>391601.71010180935</v>
      </c>
      <c r="AA64" s="31">
        <f>(INDEX(Option4!AA$105:AA$116, MATCH($D64, Option4!$G$105:$G$116,0)))*conv_2026*AA$7</f>
        <v>391601.71010180935</v>
      </c>
      <c r="AB64" s="31">
        <f>(INDEX(Option4!AB$105:AB$116, MATCH($D64, Option4!$G$105:$G$116,0)))*conv_2026*AB$7</f>
        <v>391601.71010180935</v>
      </c>
      <c r="AC64" s="31">
        <f>(INDEX(Option4!AC$105:AC$116, MATCH($D64, Option4!$G$105:$G$116,0)))*conv_2026*AC$7</f>
        <v>0</v>
      </c>
      <c r="AD64" s="31">
        <f>(INDEX(Option4!AD$105:AD$116, MATCH($D64, Option4!$G$105:$G$116,0)))*conv_2026*AD$7</f>
        <v>0</v>
      </c>
      <c r="AE64" s="31">
        <f>(INDEX(Option4!AE$105:AE$116, MATCH($D64, Option4!$G$105:$G$116,0)))*conv_2026*AE$7</f>
        <v>0</v>
      </c>
      <c r="AF64" s="31">
        <f>(INDEX(Option4!AF$105:AF$116, MATCH($D64, Option4!$G$105:$G$116,0)))*conv_2026*AF$7</f>
        <v>0</v>
      </c>
      <c r="AG64" s="31">
        <f>(INDEX(Option4!AG$105:AG$116, MATCH($D64, Option4!$G$105:$G$116,0)))*conv_2026*AG$7</f>
        <v>0</v>
      </c>
    </row>
    <row r="65" spans="1:35" s="8" customFormat="1" x14ac:dyDescent="0.2">
      <c r="A65" s="256" t="s">
        <v>133</v>
      </c>
      <c r="B65" s="256" t="str">
        <f>Option4!A116</f>
        <v>sens</v>
      </c>
      <c r="C65" s="256">
        <f>Option4!C116</f>
        <v>0</v>
      </c>
      <c r="D65" s="256" t="str">
        <f t="shared" si="7"/>
        <v>Option 4sens</v>
      </c>
      <c r="E65" s="257"/>
      <c r="F65" s="31">
        <f t="shared" si="6"/>
        <v>9391841.1433454882</v>
      </c>
      <c r="H65" s="31">
        <f>(INDEX(Option4!H$105:H$116, MATCH($D65, Option4!$G$105:$G$116,0)))*conv_2026*H$7</f>
        <v>0</v>
      </c>
      <c r="I65" s="31">
        <f>(INDEX(Option4!I$105:I$116, MATCH($D65, Option4!$G$105:$G$116,0)))*conv_2026*I$7</f>
        <v>779132.27565482946</v>
      </c>
      <c r="J65" s="31">
        <f>(INDEX(Option4!J$105:J$116, MATCH($D65, Option4!$G$105:$G$116,0)))*conv_2026*J$7</f>
        <v>690642.5118372381</v>
      </c>
      <c r="K65" s="31">
        <f>(INDEX(Option4!K$105:K$116, MATCH($D65, Option4!$G$105:$G$116,0)))*conv_2026*K$7</f>
        <v>602152.74801964662</v>
      </c>
      <c r="L65" s="31">
        <f>(INDEX(Option4!L$105:L$116, MATCH($D65, Option4!$G$105:$G$116,0)))*conv_2026*L$7</f>
        <v>903229.1220294704</v>
      </c>
      <c r="M65" s="31">
        <f>(INDEX(Option4!M$105:M$116, MATCH($D65, Option4!$G$105:$G$116,0)))*conv_2026*M$7</f>
        <v>817348.97591159365</v>
      </c>
      <c r="N65" s="31">
        <f>(INDEX(Option4!N$105:N$116, MATCH($D65, Option4!$G$105:$G$116,0)))*conv_2026*N$7</f>
        <v>731468.82979371632</v>
      </c>
      <c r="O65" s="31">
        <f>(INDEX(Option4!O$105:O$116, MATCH($D65, Option4!$G$105:$G$116,0)))*conv_2026*O$7</f>
        <v>648198.30137555383</v>
      </c>
      <c r="P65" s="31">
        <f>(INDEX(Option4!P$105:P$116, MATCH($D65, Option4!$G$105:$G$116,0)))*conv_2026*P$7</f>
        <v>564927.77295739145</v>
      </c>
      <c r="Q65" s="31">
        <f>(INDEX(Option4!Q$105:Q$116, MATCH($D65, Option4!$G$105:$G$116,0)))*conv_2026*Q$7</f>
        <v>871223.38236664387</v>
      </c>
      <c r="R65" s="31">
        <f>(INDEX(Option4!R$105:R$116, MATCH($D65, Option4!$G$105:$G$116,0)))*conv_2026*R$7</f>
        <v>790562.47164819599</v>
      </c>
      <c r="S65" s="31">
        <f>(INDEX(Option4!S$105:S$116, MATCH($D65, Option4!$G$105:$G$116,0)))*conv_2026*S$7</f>
        <v>781167.84792922379</v>
      </c>
      <c r="T65" s="31">
        <f>(INDEX(Option4!T$105:T$116, MATCH($D65, Option4!$G$105:$G$116,0)))*conv_2026*T$7</f>
        <v>781167.84792922379</v>
      </c>
      <c r="U65" s="31">
        <f>(INDEX(Option4!U$105:U$116, MATCH($D65, Option4!$G$105:$G$116,0)))*conv_2026*U$7</f>
        <v>781167.84792922379</v>
      </c>
      <c r="V65" s="31">
        <f>(INDEX(Option4!V$105:V$116, MATCH($D65, Option4!$G$105:$G$116,0)))*conv_2026*V$7</f>
        <v>391601.71010180935</v>
      </c>
      <c r="W65" s="31">
        <f>(INDEX(Option4!W$105:W$116, MATCH($D65, Option4!$G$105:$G$116,0)))*conv_2026*W$7</f>
        <v>391601.71010180935</v>
      </c>
      <c r="X65" s="31">
        <f>(INDEX(Option4!X$105:X$116, MATCH($D65, Option4!$G$105:$G$116,0)))*conv_2026*X$7</f>
        <v>391601.71010180935</v>
      </c>
      <c r="Y65" s="31">
        <f>(INDEX(Option4!Y$105:Y$116, MATCH($D65, Option4!$G$105:$G$116,0)))*conv_2026*Y$7</f>
        <v>391601.71010180935</v>
      </c>
      <c r="Z65" s="31">
        <f>(INDEX(Option4!Z$105:Z$116, MATCH($D65, Option4!$G$105:$G$116,0)))*conv_2026*Z$7</f>
        <v>391601.71010180935</v>
      </c>
      <c r="AA65" s="31">
        <f>(INDEX(Option4!AA$105:AA$116, MATCH($D65, Option4!$G$105:$G$116,0)))*conv_2026*AA$7</f>
        <v>391601.71010180935</v>
      </c>
      <c r="AB65" s="31">
        <f>(INDEX(Option4!AB$105:AB$116, MATCH($D65, Option4!$G$105:$G$116,0)))*conv_2026*AB$7</f>
        <v>391601.71010180935</v>
      </c>
      <c r="AC65" s="31">
        <f>(INDEX(Option4!AC$105:AC$116, MATCH($D65, Option4!$G$105:$G$116,0)))*conv_2026*AC$7</f>
        <v>0</v>
      </c>
      <c r="AD65" s="31">
        <f>(INDEX(Option4!AD$105:AD$116, MATCH($D65, Option4!$G$105:$G$116,0)))*conv_2026*AD$7</f>
        <v>0</v>
      </c>
      <c r="AE65" s="31">
        <f>(INDEX(Option4!AE$105:AE$116, MATCH($D65, Option4!$G$105:$G$116,0)))*conv_2026*AE$7</f>
        <v>0</v>
      </c>
      <c r="AF65" s="31">
        <f>(INDEX(Option4!AF$105:AF$116, MATCH($D65, Option4!$G$105:$G$116,0)))*conv_2026*AF$7</f>
        <v>0</v>
      </c>
      <c r="AG65" s="31">
        <f>(INDEX(Option4!AG$105:AG$116, MATCH($D65, Option4!$G$105:$G$116,0)))*conv_2026*AG$7</f>
        <v>0</v>
      </c>
    </row>
    <row r="66" spans="1:35" s="8" customFormat="1" x14ac:dyDescent="0.2">
      <c r="A66" s="256"/>
      <c r="B66" s="256"/>
      <c r="C66" s="256"/>
      <c r="D66" s="256"/>
      <c r="E66" s="256"/>
      <c r="F66" s="31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</row>
    <row r="67" spans="1:35" s="8" customFormat="1" x14ac:dyDescent="0.2">
      <c r="A67" s="256"/>
      <c r="B67" s="256"/>
      <c r="C67" s="256"/>
      <c r="D67" s="256"/>
      <c r="E67" s="256"/>
      <c r="F67" s="31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</row>
    <row r="68" spans="1:35" s="8" customFormat="1" x14ac:dyDescent="0.2">
      <c r="A68" s="256"/>
      <c r="B68" s="256"/>
      <c r="C68" s="256"/>
      <c r="D68" s="256"/>
      <c r="E68" s="256"/>
      <c r="F68" s="31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</row>
    <row r="69" spans="1:35" s="8" customFormat="1" x14ac:dyDescent="0.2">
      <c r="A69" s="256"/>
      <c r="B69" s="256"/>
      <c r="C69" s="256"/>
      <c r="D69" s="256"/>
      <c r="E69" s="256"/>
      <c r="F69" s="31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</row>
    <row r="70" spans="1:35" s="8" customFormat="1" x14ac:dyDescent="0.2">
      <c r="A70" s="256" t="s">
        <v>153</v>
      </c>
      <c r="B70" s="256" t="s">
        <v>119</v>
      </c>
      <c r="C70" s="256" t="s">
        <v>186</v>
      </c>
      <c r="D70" s="256" t="str">
        <f>A70&amp;B70</f>
        <v>Option 5NPV</v>
      </c>
      <c r="E70" s="257"/>
      <c r="F70" s="31">
        <f t="shared" ref="F70:F79" si="8">SUMPRODUCT($H70:$AG70, $H$5:$AG$5)</f>
        <v>6903164.0736644501</v>
      </c>
      <c r="G70" s="249"/>
      <c r="H70" s="31">
        <f>(INDEX(Option5!H$105:H$116, MATCH($D70, Option5!$G$105:$G$116,0)))*conv_2026*H$7</f>
        <v>0</v>
      </c>
      <c r="I70" s="31">
        <f>(INDEX(Option5!I$105:I$116, MATCH($D70, Option5!$G$105:$G$116,0)))*conv_2026*I$7</f>
        <v>0</v>
      </c>
      <c r="J70" s="31">
        <f>(INDEX(Option5!J$105:J$116, MATCH($D70, Option5!$G$105:$G$116,0)))*conv_2026*J$7</f>
        <v>295857.13861039461</v>
      </c>
      <c r="K70" s="31">
        <f>(INDEX(Option5!K$105:K$116, MATCH($D70, Option5!$G$105:$G$116,0)))*conv_2026*K$7</f>
        <v>204757.7570930887</v>
      </c>
      <c r="L70" s="31">
        <f>(INDEX(Option5!L$105:L$116, MATCH($D70, Option5!$G$105:$G$116,0)))*conv_2026*L$7</f>
        <v>503224.51340319723</v>
      </c>
      <c r="M70" s="31">
        <f>(INDEX(Option5!M$105:M$116, MATCH($D70, Option5!$G$105:$G$116,0)))*conv_2026*M$7</f>
        <v>414734.74958560587</v>
      </c>
      <c r="N70" s="31">
        <f>(INDEX(Option5!N$105:N$116, MATCH($D70, Option5!$G$105:$G$116,0)))*conv_2026*N$7</f>
        <v>326244.98576801462</v>
      </c>
      <c r="O70" s="31">
        <f>(INDEX(Option5!O$105:O$116, MATCH($D70, Option5!$G$105:$G$116,0)))*conv_2026*O$7</f>
        <v>629930.97747755237</v>
      </c>
      <c r="P70" s="31">
        <f>(INDEX(Option5!P$105:P$116, MATCH($D70, Option5!$G$105:$G$116,0)))*conv_2026*P$7</f>
        <v>546660.44905939011</v>
      </c>
      <c r="Q70" s="31">
        <f>(INDEX(Option5!Q$105:Q$116, MATCH($D70, Option5!$G$105:$G$116,0)))*conv_2026*Q$7</f>
        <v>852956.05846864241</v>
      </c>
      <c r="R70" s="31">
        <f>(INDEX(Option5!R$105:R$116, MATCH($D70, Option5!$G$105:$G$116,0)))*conv_2026*R$7</f>
        <v>796161.28780394711</v>
      </c>
      <c r="S70" s="31">
        <f>(INDEX(Option5!S$105:S$116, MATCH($D70, Option5!$G$105:$G$116,0)))*conv_2026*S$7</f>
        <v>796161.28780394711</v>
      </c>
      <c r="T70" s="31">
        <f>(INDEX(Option5!T$105:T$116, MATCH($D70, Option5!$G$105:$G$116,0)))*conv_2026*T$7</f>
        <v>796161.28780394711</v>
      </c>
      <c r="U70" s="31">
        <f>(INDEX(Option5!U$105:U$116, MATCH($D70, Option5!$G$105:$G$116,0)))*conv_2026*U$7</f>
        <v>796161.28780394711</v>
      </c>
      <c r="V70" s="31">
        <f>(INDEX(Option5!V$105:V$116, MATCH($D70, Option5!$G$105:$G$116,0)))*conv_2026*V$7</f>
        <v>406595.14997653262</v>
      </c>
      <c r="W70" s="31">
        <f>(INDEX(Option5!W$105:W$116, MATCH($D70, Option5!$G$105:$G$116,0)))*conv_2026*W$7</f>
        <v>406595.14997653262</v>
      </c>
      <c r="X70" s="31">
        <f>(INDEX(Option5!X$105:X$116, MATCH($D70, Option5!$G$105:$G$116,0)))*conv_2026*X$7</f>
        <v>406595.14997653262</v>
      </c>
      <c r="Y70" s="31">
        <f>(INDEX(Option5!Y$105:Y$116, MATCH($D70, Option5!$G$105:$G$116,0)))*conv_2026*Y$7</f>
        <v>406595.14997653262</v>
      </c>
      <c r="Z70" s="31">
        <f>(INDEX(Option5!Z$105:Z$116, MATCH($D70, Option5!$G$105:$G$116,0)))*conv_2026*Z$7</f>
        <v>406595.14997653262</v>
      </c>
      <c r="AA70" s="31">
        <f>(INDEX(Option5!AA$105:AA$116, MATCH($D70, Option5!$G$105:$G$116,0)))*conv_2026*AA$7</f>
        <v>406595.14997653262</v>
      </c>
      <c r="AB70" s="31">
        <f>(INDEX(Option5!AB$105:AB$116, MATCH($D70, Option5!$G$105:$G$116,0)))*conv_2026*AB$7</f>
        <v>406595.14997653262</v>
      </c>
      <c r="AC70" s="31">
        <f>(INDEX(Option5!AC$105:AC$116, MATCH($D70, Option5!$G$105:$G$116,0)))*conv_2026*AC$7</f>
        <v>0</v>
      </c>
      <c r="AD70" s="31">
        <f>(INDEX(Option5!AD$105:AD$116, MATCH($D70, Option5!$G$105:$G$116,0)))*conv_2026*AD$7</f>
        <v>0</v>
      </c>
      <c r="AE70" s="31">
        <f>(INDEX(Option5!AE$105:AE$116, MATCH($D70, Option5!$G$105:$G$116,0)))*conv_2026*AE$7</f>
        <v>0</v>
      </c>
      <c r="AF70" s="31">
        <f>(INDEX(Option5!AF$105:AF$116, MATCH($D70, Option5!$G$105:$G$116,0)))*conv_2026*AF$7</f>
        <v>0</v>
      </c>
      <c r="AG70" s="31">
        <f>(INDEX(Option5!AG$105:AG$116, MATCH($D70, Option5!$G$105:$G$116,0)))*conv_2026*AG$7</f>
        <v>0</v>
      </c>
      <c r="AH70" s="7"/>
      <c r="AI70" s="7"/>
    </row>
    <row r="71" spans="1:35" s="8" customFormat="1" x14ac:dyDescent="0.2">
      <c r="A71" s="248"/>
      <c r="B71" s="248"/>
      <c r="C71" s="248"/>
      <c r="D71" s="248"/>
      <c r="E71" s="248"/>
      <c r="F71" s="248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7"/>
      <c r="AI71" s="7"/>
    </row>
    <row r="72" spans="1:35" s="8" customFormat="1" x14ac:dyDescent="0.2">
      <c r="A72" s="256" t="s">
        <v>153</v>
      </c>
      <c r="B72" s="256" t="str">
        <f>Option5!A109</f>
        <v>sens1</v>
      </c>
      <c r="C72" s="256" t="str">
        <f>Option5!C109</f>
        <v>Capex 10% higher</v>
      </c>
      <c r="D72" s="256" t="str">
        <f t="shared" ref="D72:D79" si="9">A72&amp;B72</f>
        <v>Option 5sens1</v>
      </c>
      <c r="E72" s="257"/>
      <c r="F72" s="31">
        <f t="shared" si="8"/>
        <v>6128282.360778085</v>
      </c>
      <c r="G72" s="249"/>
      <c r="H72" s="31">
        <f>(INDEX(Option5!H$105:H$116, MATCH($D72, Option5!$G$105:$G$116,0)))*conv_2026*H$7</f>
        <v>0</v>
      </c>
      <c r="I72" s="31">
        <f>(INDEX(Option5!I$105:I$116, MATCH($D72, Option5!$G$105:$G$116,0)))*conv_2026*I$7</f>
        <v>0</v>
      </c>
      <c r="J72" s="31">
        <f>(INDEX(Option5!J$105:J$116, MATCH($D72, Option5!$G$105:$G$116,0)))*conv_2026*J$7</f>
        <v>286486.23868869257</v>
      </c>
      <c r="K72" s="31">
        <f>(INDEX(Option5!K$105:K$116, MATCH($D72, Option5!$G$105:$G$116,0)))*conv_2026*K$7</f>
        <v>186276.91901965608</v>
      </c>
      <c r="L72" s="31">
        <f>(INDEX(Option5!L$105:L$116, MATCH($D72, Option5!$G$105:$G$116,0)))*conv_2026*L$7</f>
        <v>475633.73717803403</v>
      </c>
      <c r="M72" s="31">
        <f>(INDEX(Option5!M$105:M$116, MATCH($D72, Option5!$G$105:$G$116,0)))*conv_2026*M$7</f>
        <v>378294.99697868351</v>
      </c>
      <c r="N72" s="31">
        <f>(INDEX(Option5!N$105:N$116, MATCH($D72, Option5!$G$105:$G$116,0)))*conv_2026*N$7</f>
        <v>280956.25677933311</v>
      </c>
      <c r="O72" s="31">
        <f>(INDEX(Option5!O$105:O$116, MATCH($D72, Option5!$G$105:$G$116,0)))*conv_2026*O$7</f>
        <v>576054.23387708329</v>
      </c>
      <c r="P72" s="31">
        <f>(INDEX(Option5!P$105:P$116, MATCH($D72, Option5!$G$105:$G$116,0)))*conv_2026*P$7</f>
        <v>484456.65261710464</v>
      </c>
      <c r="Q72" s="31">
        <f>(INDEX(Option5!Q$105:Q$116, MATCH($D72, Option5!$G$105:$G$116,0)))*conv_2026*Q$7</f>
        <v>782425.20918454067</v>
      </c>
      <c r="R72" s="31">
        <f>(INDEX(Option5!R$105:R$116, MATCH($D72, Option5!$G$105:$G$116,0)))*conv_2026*R$7</f>
        <v>719950.96145337587</v>
      </c>
      <c r="S72" s="31">
        <f>(INDEX(Option5!S$105:S$116, MATCH($D72, Option5!$G$105:$G$116,0)))*conv_2026*S$7</f>
        <v>719950.96145337587</v>
      </c>
      <c r="T72" s="31">
        <f>(INDEX(Option5!T$105:T$116, MATCH($D72, Option5!$G$105:$G$116,0)))*conv_2026*T$7</f>
        <v>719950.96145337587</v>
      </c>
      <c r="U72" s="31">
        <f>(INDEX(Option5!U$105:U$116, MATCH($D72, Option5!$G$105:$G$116,0)))*conv_2026*U$7</f>
        <v>719950.96145337587</v>
      </c>
      <c r="V72" s="31">
        <f>(INDEX(Option5!V$105:V$116, MATCH($D72, Option5!$G$105:$G$116,0)))*conv_2026*V$7</f>
        <v>330384.82362596138</v>
      </c>
      <c r="W72" s="31">
        <f>(INDEX(Option5!W$105:W$116, MATCH($D72, Option5!$G$105:$G$116,0)))*conv_2026*W$7</f>
        <v>330384.82362596138</v>
      </c>
      <c r="X72" s="31">
        <f>(INDEX(Option5!X$105:X$116, MATCH($D72, Option5!$G$105:$G$116,0)))*conv_2026*X$7</f>
        <v>330384.82362596138</v>
      </c>
      <c r="Y72" s="31">
        <f>(INDEX(Option5!Y$105:Y$116, MATCH($D72, Option5!$G$105:$G$116,0)))*conv_2026*Y$7</f>
        <v>330384.82362596138</v>
      </c>
      <c r="Z72" s="31">
        <f>(INDEX(Option5!Z$105:Z$116, MATCH($D72, Option5!$G$105:$G$116,0)))*conv_2026*Z$7</f>
        <v>330384.82362596138</v>
      </c>
      <c r="AA72" s="31">
        <f>(INDEX(Option5!AA$105:AA$116, MATCH($D72, Option5!$G$105:$G$116,0)))*conv_2026*AA$7</f>
        <v>330384.82362596138</v>
      </c>
      <c r="AB72" s="31">
        <f>(INDEX(Option5!AB$105:AB$116, MATCH($D72, Option5!$G$105:$G$116,0)))*conv_2026*AB$7</f>
        <v>330384.82362596138</v>
      </c>
      <c r="AC72" s="31">
        <f>(INDEX(Option5!AC$105:AC$116, MATCH($D72, Option5!$G$105:$G$116,0)))*conv_2026*AC$7</f>
        <v>0</v>
      </c>
      <c r="AD72" s="31">
        <f>(INDEX(Option5!AD$105:AD$116, MATCH($D72, Option5!$G$105:$G$116,0)))*conv_2026*AD$7</f>
        <v>0</v>
      </c>
      <c r="AE72" s="31">
        <f>(INDEX(Option5!AE$105:AE$116, MATCH($D72, Option5!$G$105:$G$116,0)))*conv_2026*AE$7</f>
        <v>0</v>
      </c>
      <c r="AF72" s="31">
        <f>(INDEX(Option5!AF$105:AF$116, MATCH($D72, Option5!$G$105:$G$116,0)))*conv_2026*AF$7</f>
        <v>0</v>
      </c>
      <c r="AG72" s="31">
        <f>(INDEX(Option5!AG$105:AG$116, MATCH($D72, Option5!$G$105:$G$116,0)))*conv_2026*AG$7</f>
        <v>0</v>
      </c>
      <c r="AH72" s="7"/>
      <c r="AI72" s="7"/>
    </row>
    <row r="73" spans="1:35" s="8" customFormat="1" x14ac:dyDescent="0.2">
      <c r="A73" s="256" t="s">
        <v>153</v>
      </c>
      <c r="B73" s="256" t="str">
        <f>Option5!A110</f>
        <v>sens2</v>
      </c>
      <c r="C73" s="256" t="str">
        <f>Option5!C110</f>
        <v>Capex 10% lower</v>
      </c>
      <c r="D73" s="256" t="str">
        <f t="shared" si="9"/>
        <v>Option 5sens2</v>
      </c>
      <c r="E73" s="257"/>
      <c r="F73" s="31">
        <f t="shared" si="8"/>
        <v>7678045.7865508143</v>
      </c>
      <c r="G73" s="256"/>
      <c r="H73" s="31">
        <f>(INDEX(Option5!H$105:H$116, MATCH($D73, Option5!$G$105:$G$116,0)))*conv_2026*H$7</f>
        <v>0</v>
      </c>
      <c r="I73" s="31">
        <f>(INDEX(Option5!I$105:I$116, MATCH($D73, Option5!$G$105:$G$116,0)))*conv_2026*I$7</f>
        <v>0</v>
      </c>
      <c r="J73" s="31">
        <f>(INDEX(Option5!J$105:J$116, MATCH($D73, Option5!$G$105:$G$116,0)))*conv_2026*J$7</f>
        <v>305228.03853209666</v>
      </c>
      <c r="K73" s="31">
        <f>(INDEX(Option5!K$105:K$116, MATCH($D73, Option5!$G$105:$G$116,0)))*conv_2026*K$7</f>
        <v>223238.59516652132</v>
      </c>
      <c r="L73" s="31">
        <f>(INDEX(Option5!L$105:L$116, MATCH($D73, Option5!$G$105:$G$116,0)))*conv_2026*L$7</f>
        <v>530815.28962836042</v>
      </c>
      <c r="M73" s="31">
        <f>(INDEX(Option5!M$105:M$116, MATCH($D73, Option5!$G$105:$G$116,0)))*conv_2026*M$7</f>
        <v>451174.50219252828</v>
      </c>
      <c r="N73" s="31">
        <f>(INDEX(Option5!N$105:N$116, MATCH($D73, Option5!$G$105:$G$116,0)))*conv_2026*N$7</f>
        <v>371533.71475669608</v>
      </c>
      <c r="O73" s="31">
        <f>(INDEX(Option5!O$105:O$116, MATCH($D73, Option5!$G$105:$G$116,0)))*conv_2026*O$7</f>
        <v>683807.72107802168</v>
      </c>
      <c r="P73" s="31">
        <f>(INDEX(Option5!P$105:P$116, MATCH($D73, Option5!$G$105:$G$116,0)))*conv_2026*P$7</f>
        <v>608864.24550167553</v>
      </c>
      <c r="Q73" s="31">
        <f>(INDEX(Option5!Q$105:Q$116, MATCH($D73, Option5!$G$105:$G$116,0)))*conv_2026*Q$7</f>
        <v>923486.90775274416</v>
      </c>
      <c r="R73" s="31">
        <f>(INDEX(Option5!R$105:R$116, MATCH($D73, Option5!$G$105:$G$116,0)))*conv_2026*R$7</f>
        <v>872371.61415451835</v>
      </c>
      <c r="S73" s="31">
        <f>(INDEX(Option5!S$105:S$116, MATCH($D73, Option5!$G$105:$G$116,0)))*conv_2026*S$7</f>
        <v>872371.61415451835</v>
      </c>
      <c r="T73" s="31">
        <f>(INDEX(Option5!T$105:T$116, MATCH($D73, Option5!$G$105:$G$116,0)))*conv_2026*T$7</f>
        <v>872371.61415451835</v>
      </c>
      <c r="U73" s="31">
        <f>(INDEX(Option5!U$105:U$116, MATCH($D73, Option5!$G$105:$G$116,0)))*conv_2026*U$7</f>
        <v>872371.61415451835</v>
      </c>
      <c r="V73" s="31">
        <f>(INDEX(Option5!V$105:V$116, MATCH($D73, Option5!$G$105:$G$116,0)))*conv_2026*V$7</f>
        <v>482805.47632710385</v>
      </c>
      <c r="W73" s="31">
        <f>(INDEX(Option5!W$105:W$116, MATCH($D73, Option5!$G$105:$G$116,0)))*conv_2026*W$7</f>
        <v>482805.47632710385</v>
      </c>
      <c r="X73" s="31">
        <f>(INDEX(Option5!X$105:X$116, MATCH($D73, Option5!$G$105:$G$116,0)))*conv_2026*X$7</f>
        <v>482805.47632710385</v>
      </c>
      <c r="Y73" s="31">
        <f>(INDEX(Option5!Y$105:Y$116, MATCH($D73, Option5!$G$105:$G$116,0)))*conv_2026*Y$7</f>
        <v>482805.47632710385</v>
      </c>
      <c r="Z73" s="31">
        <f>(INDEX(Option5!Z$105:Z$116, MATCH($D73, Option5!$G$105:$G$116,0)))*conv_2026*Z$7</f>
        <v>482805.47632710385</v>
      </c>
      <c r="AA73" s="31">
        <f>(INDEX(Option5!AA$105:AA$116, MATCH($D73, Option5!$G$105:$G$116,0)))*conv_2026*AA$7</f>
        <v>482805.47632710385</v>
      </c>
      <c r="AB73" s="31">
        <f>(INDEX(Option5!AB$105:AB$116, MATCH($D73, Option5!$G$105:$G$116,0)))*conv_2026*AB$7</f>
        <v>482805.47632710385</v>
      </c>
      <c r="AC73" s="31">
        <f>(INDEX(Option5!AC$105:AC$116, MATCH($D73, Option5!$G$105:$G$116,0)))*conv_2026*AC$7</f>
        <v>0</v>
      </c>
      <c r="AD73" s="31">
        <f>(INDEX(Option5!AD$105:AD$116, MATCH($D73, Option5!$G$105:$G$116,0)))*conv_2026*AD$7</f>
        <v>0</v>
      </c>
      <c r="AE73" s="31">
        <f>(INDEX(Option5!AE$105:AE$116, MATCH($D73, Option5!$G$105:$G$116,0)))*conv_2026*AE$7</f>
        <v>0</v>
      </c>
      <c r="AF73" s="31">
        <f>(INDEX(Option5!AF$105:AF$116, MATCH($D73, Option5!$G$105:$G$116,0)))*conv_2026*AF$7</f>
        <v>0</v>
      </c>
      <c r="AG73" s="31">
        <f>(INDEX(Option5!AG$105:AG$116, MATCH($D73, Option5!$G$105:$G$116,0)))*conv_2026*AG$7</f>
        <v>0</v>
      </c>
    </row>
    <row r="74" spans="1:35" s="8" customFormat="1" x14ac:dyDescent="0.2">
      <c r="A74" s="256" t="s">
        <v>153</v>
      </c>
      <c r="B74" s="256" t="str">
        <f>Option5!A111</f>
        <v>sens3</v>
      </c>
      <c r="C74" s="256" t="str">
        <f>Option5!C111</f>
        <v>Total benefits 10% higher</v>
      </c>
      <c r="D74" s="256" t="str">
        <f t="shared" si="9"/>
        <v>Option 5sens3</v>
      </c>
      <c r="E74" s="257"/>
      <c r="F74" s="31">
        <f t="shared" si="8"/>
        <v>8368362.1939172596</v>
      </c>
      <c r="H74" s="31">
        <f>(INDEX(Option5!H$105:H$116, MATCH($D74, Option5!$G$105:$G$116,0)))*conv_2026*H$7</f>
        <v>0</v>
      </c>
      <c r="I74" s="31">
        <f>(INDEX(Option5!I$105:I$116, MATCH($D74, Option5!$G$105:$G$116,0)))*conv_2026*I$7</f>
        <v>0</v>
      </c>
      <c r="J74" s="31">
        <f>(INDEX(Option5!J$105:J$116, MATCH($D74, Option5!$G$105:$G$116,0)))*conv_2026*J$7</f>
        <v>334813.75239313609</v>
      </c>
      <c r="K74" s="31">
        <f>(INDEX(Option5!K$105:K$116, MATCH($D74, Option5!$G$105:$G$116,0)))*conv_2026*K$7</f>
        <v>243714.37087583021</v>
      </c>
      <c r="L74" s="31">
        <f>(INDEX(Option5!L$105:L$116, MATCH($D74, Option5!$G$105:$G$116,0)))*conv_2026*L$7</f>
        <v>581137.74096868013</v>
      </c>
      <c r="M74" s="31">
        <f>(INDEX(Option5!M$105:M$116, MATCH($D74, Option5!$G$105:$G$116,0)))*conv_2026*M$7</f>
        <v>492647.97715108882</v>
      </c>
      <c r="N74" s="31">
        <f>(INDEX(Option5!N$105:N$116, MATCH($D74, Option5!$G$105:$G$116,0)))*conv_2026*N$7</f>
        <v>404158.21333349758</v>
      </c>
      <c r="O74" s="31">
        <f>(INDEX(Option5!O$105:O$116, MATCH($D74, Option5!$G$105:$G$116,0)))*conv_2026*O$7</f>
        <v>746800.81882577692</v>
      </c>
      <c r="P74" s="31">
        <f>(INDEX(Option5!P$105:P$116, MATCH($D74, Option5!$G$105:$G$116,0)))*conv_2026*P$7</f>
        <v>663530.29040761455</v>
      </c>
      <c r="Q74" s="31">
        <f>(INDEX(Option5!Q$105:Q$116, MATCH($D74, Option5!$G$105:$G$116,0)))*conv_2026*Q$7</f>
        <v>1008782.5135996084</v>
      </c>
      <c r="R74" s="31">
        <f>(INDEX(Option5!R$105:R$116, MATCH($D74, Option5!$G$105:$G$116,0)))*conv_2026*R$7</f>
        <v>951987.74293491291</v>
      </c>
      <c r="S74" s="31">
        <f>(INDEX(Option5!S$105:S$116, MATCH($D74, Option5!$G$105:$G$116,0)))*conv_2026*S$7</f>
        <v>951987.74293491291</v>
      </c>
      <c r="T74" s="31">
        <f>(INDEX(Option5!T$105:T$116, MATCH($D74, Option5!$G$105:$G$116,0)))*conv_2026*T$7</f>
        <v>951987.74293491291</v>
      </c>
      <c r="U74" s="31">
        <f>(INDEX(Option5!U$105:U$116, MATCH($D74, Option5!$G$105:$G$116,0)))*conv_2026*U$7</f>
        <v>951987.74293491291</v>
      </c>
      <c r="V74" s="31">
        <f>(INDEX(Option5!V$105:V$116, MATCH($D74, Option5!$G$105:$G$116,0)))*conv_2026*V$7</f>
        <v>523464.99132475711</v>
      </c>
      <c r="W74" s="31">
        <f>(INDEX(Option5!W$105:W$116, MATCH($D74, Option5!$G$105:$G$116,0)))*conv_2026*W$7</f>
        <v>523464.99132475711</v>
      </c>
      <c r="X74" s="31">
        <f>(INDEX(Option5!X$105:X$116, MATCH($D74, Option5!$G$105:$G$116,0)))*conv_2026*X$7</f>
        <v>523464.99132475711</v>
      </c>
      <c r="Y74" s="31">
        <f>(INDEX(Option5!Y$105:Y$116, MATCH($D74, Option5!$G$105:$G$116,0)))*conv_2026*Y$7</f>
        <v>523464.99132475711</v>
      </c>
      <c r="Z74" s="31">
        <f>(INDEX(Option5!Z$105:Z$116, MATCH($D74, Option5!$G$105:$G$116,0)))*conv_2026*Z$7</f>
        <v>523464.99132475711</v>
      </c>
      <c r="AA74" s="31">
        <f>(INDEX(Option5!AA$105:AA$116, MATCH($D74, Option5!$G$105:$G$116,0)))*conv_2026*AA$7</f>
        <v>523464.99132475711</v>
      </c>
      <c r="AB74" s="31">
        <f>(INDEX(Option5!AB$105:AB$116, MATCH($D74, Option5!$G$105:$G$116,0)))*conv_2026*AB$7</f>
        <v>523464.99132475711</v>
      </c>
      <c r="AC74" s="31">
        <f>(INDEX(Option5!AC$105:AC$116, MATCH($D74, Option5!$G$105:$G$116,0)))*conv_2026*AC$7</f>
        <v>0</v>
      </c>
      <c r="AD74" s="31">
        <f>(INDEX(Option5!AD$105:AD$116, MATCH($D74, Option5!$G$105:$G$116,0)))*conv_2026*AD$7</f>
        <v>0</v>
      </c>
      <c r="AE74" s="31">
        <f>(INDEX(Option5!AE$105:AE$116, MATCH($D74, Option5!$G$105:$G$116,0)))*conv_2026*AE$7</f>
        <v>0</v>
      </c>
      <c r="AF74" s="31">
        <f>(INDEX(Option5!AF$105:AF$116, MATCH($D74, Option5!$G$105:$G$116,0)))*conv_2026*AF$7</f>
        <v>0</v>
      </c>
      <c r="AG74" s="31">
        <f>(INDEX(Option5!AG$105:AG$116, MATCH($D74, Option5!$G$105:$G$116,0)))*conv_2026*AG$7</f>
        <v>0</v>
      </c>
    </row>
    <row r="75" spans="1:35" s="8" customFormat="1" x14ac:dyDescent="0.2">
      <c r="A75" s="256" t="s">
        <v>153</v>
      </c>
      <c r="B75" s="256" t="str">
        <f>Option5!A112</f>
        <v>sens4</v>
      </c>
      <c r="C75" s="256" t="str">
        <f>Option5!C112</f>
        <v>Total benefits 10% lower</v>
      </c>
      <c r="D75" s="256" t="str">
        <f t="shared" si="9"/>
        <v>Option 5sens4</v>
      </c>
      <c r="E75" s="257"/>
      <c r="F75" s="31">
        <f t="shared" si="8"/>
        <v>5437965.9534116387</v>
      </c>
      <c r="H75" s="31">
        <f>(INDEX(Option5!H$105:H$116, MATCH($D75, Option5!$G$105:$G$116,0)))*conv_2026*H$7</f>
        <v>0</v>
      </c>
      <c r="I75" s="31">
        <f>(INDEX(Option5!I$105:I$116, MATCH($D75, Option5!$G$105:$G$116,0)))*conv_2026*I$7</f>
        <v>0</v>
      </c>
      <c r="J75" s="31">
        <f>(INDEX(Option5!J$105:J$116, MATCH($D75, Option5!$G$105:$G$116,0)))*conv_2026*J$7</f>
        <v>256900.52482765311</v>
      </c>
      <c r="K75" s="31">
        <f>(INDEX(Option5!K$105:K$116, MATCH($D75, Option5!$G$105:$G$116,0)))*conv_2026*K$7</f>
        <v>165801.14331034719</v>
      </c>
      <c r="L75" s="31">
        <f>(INDEX(Option5!L$105:L$116, MATCH($D75, Option5!$G$105:$G$116,0)))*conv_2026*L$7</f>
        <v>425311.28583771433</v>
      </c>
      <c r="M75" s="31">
        <f>(INDEX(Option5!M$105:M$116, MATCH($D75, Option5!$G$105:$G$116,0)))*conv_2026*M$7</f>
        <v>336821.52202012297</v>
      </c>
      <c r="N75" s="31">
        <f>(INDEX(Option5!N$105:N$116, MATCH($D75, Option5!$G$105:$G$116,0)))*conv_2026*N$7</f>
        <v>248331.75820253164</v>
      </c>
      <c r="O75" s="31">
        <f>(INDEX(Option5!O$105:O$116, MATCH($D75, Option5!$G$105:$G$116,0)))*conv_2026*O$7</f>
        <v>513061.13612932799</v>
      </c>
      <c r="P75" s="31">
        <f>(INDEX(Option5!P$105:P$116, MATCH($D75, Option5!$G$105:$G$116,0)))*conv_2026*P$7</f>
        <v>429790.60771116562</v>
      </c>
      <c r="Q75" s="31">
        <f>(INDEX(Option5!Q$105:Q$116, MATCH($D75, Option5!$G$105:$G$116,0)))*conv_2026*Q$7</f>
        <v>697129.6033376765</v>
      </c>
      <c r="R75" s="31">
        <f>(INDEX(Option5!R$105:R$116, MATCH($D75, Option5!$G$105:$G$116,0)))*conv_2026*R$7</f>
        <v>640334.8326729812</v>
      </c>
      <c r="S75" s="31">
        <f>(INDEX(Option5!S$105:S$116, MATCH($D75, Option5!$G$105:$G$116,0)))*conv_2026*S$7</f>
        <v>640334.8326729812</v>
      </c>
      <c r="T75" s="31">
        <f>(INDEX(Option5!T$105:T$116, MATCH($D75, Option5!$G$105:$G$116,0)))*conv_2026*T$7</f>
        <v>640334.8326729812</v>
      </c>
      <c r="U75" s="31">
        <f>(INDEX(Option5!U$105:U$116, MATCH($D75, Option5!$G$105:$G$116,0)))*conv_2026*U$7</f>
        <v>640334.8326729812</v>
      </c>
      <c r="V75" s="31">
        <f>(INDEX(Option5!V$105:V$116, MATCH($D75, Option5!$G$105:$G$116,0)))*conv_2026*V$7</f>
        <v>289725.30862830812</v>
      </c>
      <c r="W75" s="31">
        <f>(INDEX(Option5!W$105:W$116, MATCH($D75, Option5!$G$105:$G$116,0)))*conv_2026*W$7</f>
        <v>289725.30862830812</v>
      </c>
      <c r="X75" s="31">
        <f>(INDEX(Option5!X$105:X$116, MATCH($D75, Option5!$G$105:$G$116,0)))*conv_2026*X$7</f>
        <v>289725.30862830812</v>
      </c>
      <c r="Y75" s="31">
        <f>(INDEX(Option5!Y$105:Y$116, MATCH($D75, Option5!$G$105:$G$116,0)))*conv_2026*Y$7</f>
        <v>289725.30862830812</v>
      </c>
      <c r="Z75" s="31">
        <f>(INDEX(Option5!Z$105:Z$116, MATCH($D75, Option5!$G$105:$G$116,0)))*conv_2026*Z$7</f>
        <v>289725.30862830812</v>
      </c>
      <c r="AA75" s="31">
        <f>(INDEX(Option5!AA$105:AA$116, MATCH($D75, Option5!$G$105:$G$116,0)))*conv_2026*AA$7</f>
        <v>289725.30862830812</v>
      </c>
      <c r="AB75" s="31">
        <f>(INDEX(Option5!AB$105:AB$116, MATCH($D75, Option5!$G$105:$G$116,0)))*conv_2026*AB$7</f>
        <v>289725.30862830812</v>
      </c>
      <c r="AC75" s="31">
        <f>(INDEX(Option5!AC$105:AC$116, MATCH($D75, Option5!$G$105:$G$116,0)))*conv_2026*AC$7</f>
        <v>0</v>
      </c>
      <c r="AD75" s="31">
        <f>(INDEX(Option5!AD$105:AD$116, MATCH($D75, Option5!$G$105:$G$116,0)))*conv_2026*AD$7</f>
        <v>0</v>
      </c>
      <c r="AE75" s="31">
        <f>(INDEX(Option5!AE$105:AE$116, MATCH($D75, Option5!$G$105:$G$116,0)))*conv_2026*AE$7</f>
        <v>0</v>
      </c>
      <c r="AF75" s="31">
        <f>(INDEX(Option5!AF$105:AF$116, MATCH($D75, Option5!$G$105:$G$116,0)))*conv_2026*AF$7</f>
        <v>0</v>
      </c>
      <c r="AG75" s="31">
        <f>(INDEX(Option5!AG$105:AG$116, MATCH($D75, Option5!$G$105:$G$116,0)))*conv_2026*AG$7</f>
        <v>0</v>
      </c>
    </row>
    <row r="76" spans="1:35" s="8" customFormat="1" x14ac:dyDescent="0.2">
      <c r="A76" s="256" t="s">
        <v>153</v>
      </c>
      <c r="B76" s="256" t="str">
        <f>Option5!A113</f>
        <v>sens5</v>
      </c>
      <c r="C76" s="256" t="str">
        <f>Option5!C113</f>
        <v>Capex 10% higher &amp; Total benefits 10% lower</v>
      </c>
      <c r="D76" s="256" t="str">
        <f t="shared" si="9"/>
        <v>Option 5sens5</v>
      </c>
      <c r="E76" s="257"/>
      <c r="F76" s="31">
        <f t="shared" si="8"/>
        <v>4663084.2405252745</v>
      </c>
      <c r="H76" s="31">
        <f>(INDEX(Option5!H$105:H$116, MATCH($D76, Option5!$G$105:$G$116,0)))*conv_2026*H$7</f>
        <v>0</v>
      </c>
      <c r="I76" s="31">
        <f>(INDEX(Option5!I$105:I$116, MATCH($D76, Option5!$G$105:$G$116,0)))*conv_2026*I$7</f>
        <v>0</v>
      </c>
      <c r="J76" s="31">
        <f>(INDEX(Option5!J$105:J$116, MATCH($D76, Option5!$G$105:$G$116,0)))*conv_2026*J$7</f>
        <v>247529.62490595103</v>
      </c>
      <c r="K76" s="31">
        <f>(INDEX(Option5!K$105:K$116, MATCH($D76, Option5!$G$105:$G$116,0)))*conv_2026*K$7</f>
        <v>147320.30523691457</v>
      </c>
      <c r="L76" s="31">
        <f>(INDEX(Option5!L$105:L$116, MATCH($D76, Option5!$G$105:$G$116,0)))*conv_2026*L$7</f>
        <v>397720.50961255108</v>
      </c>
      <c r="M76" s="31">
        <f>(INDEX(Option5!M$105:M$116, MATCH($D76, Option5!$G$105:$G$116,0)))*conv_2026*M$7</f>
        <v>300381.76941320056</v>
      </c>
      <c r="N76" s="31">
        <f>(INDEX(Option5!N$105:N$116, MATCH($D76, Option5!$G$105:$G$116,0)))*conv_2026*N$7</f>
        <v>203043.0292138501</v>
      </c>
      <c r="O76" s="31">
        <f>(INDEX(Option5!O$105:O$116, MATCH($D76, Option5!$G$105:$G$116,0)))*conv_2026*O$7</f>
        <v>459184.39252885879</v>
      </c>
      <c r="P76" s="31">
        <f>(INDEX(Option5!P$105:P$116, MATCH($D76, Option5!$G$105:$G$116,0)))*conv_2026*P$7</f>
        <v>367586.81126888015</v>
      </c>
      <c r="Q76" s="31">
        <f>(INDEX(Option5!Q$105:Q$116, MATCH($D76, Option5!$G$105:$G$116,0)))*conv_2026*Q$7</f>
        <v>626598.75405357487</v>
      </c>
      <c r="R76" s="31">
        <f>(INDEX(Option5!R$105:R$116, MATCH($D76, Option5!$G$105:$G$116,0)))*conv_2026*R$7</f>
        <v>564124.50632240996</v>
      </c>
      <c r="S76" s="31">
        <f>(INDEX(Option5!S$105:S$116, MATCH($D76, Option5!$G$105:$G$116,0)))*conv_2026*S$7</f>
        <v>564124.50632240996</v>
      </c>
      <c r="T76" s="31">
        <f>(INDEX(Option5!T$105:T$116, MATCH($D76, Option5!$G$105:$G$116,0)))*conv_2026*T$7</f>
        <v>564124.50632240996</v>
      </c>
      <c r="U76" s="31">
        <f>(INDEX(Option5!U$105:U$116, MATCH($D76, Option5!$G$105:$G$116,0)))*conv_2026*U$7</f>
        <v>564124.50632240996</v>
      </c>
      <c r="V76" s="31">
        <f>(INDEX(Option5!V$105:V$116, MATCH($D76, Option5!$G$105:$G$116,0)))*conv_2026*V$7</f>
        <v>213514.98227773688</v>
      </c>
      <c r="W76" s="31">
        <f>(INDEX(Option5!W$105:W$116, MATCH($D76, Option5!$G$105:$G$116,0)))*conv_2026*W$7</f>
        <v>213514.98227773688</v>
      </c>
      <c r="X76" s="31">
        <f>(INDEX(Option5!X$105:X$116, MATCH($D76, Option5!$G$105:$G$116,0)))*conv_2026*X$7</f>
        <v>213514.98227773688</v>
      </c>
      <c r="Y76" s="31">
        <f>(INDEX(Option5!Y$105:Y$116, MATCH($D76, Option5!$G$105:$G$116,0)))*conv_2026*Y$7</f>
        <v>213514.98227773688</v>
      </c>
      <c r="Z76" s="31">
        <f>(INDEX(Option5!Z$105:Z$116, MATCH($D76, Option5!$G$105:$G$116,0)))*conv_2026*Z$7</f>
        <v>213514.98227773688</v>
      </c>
      <c r="AA76" s="31">
        <f>(INDEX(Option5!AA$105:AA$116, MATCH($D76, Option5!$G$105:$G$116,0)))*conv_2026*AA$7</f>
        <v>213514.98227773688</v>
      </c>
      <c r="AB76" s="31">
        <f>(INDEX(Option5!AB$105:AB$116, MATCH($D76, Option5!$G$105:$G$116,0)))*conv_2026*AB$7</f>
        <v>213514.98227773688</v>
      </c>
      <c r="AC76" s="31">
        <f>(INDEX(Option5!AC$105:AC$116, MATCH($D76, Option5!$G$105:$G$116,0)))*conv_2026*AC$7</f>
        <v>0</v>
      </c>
      <c r="AD76" s="31">
        <f>(INDEX(Option5!AD$105:AD$116, MATCH($D76, Option5!$G$105:$G$116,0)))*conv_2026*AD$7</f>
        <v>0</v>
      </c>
      <c r="AE76" s="31">
        <f>(INDEX(Option5!AE$105:AE$116, MATCH($D76, Option5!$G$105:$G$116,0)))*conv_2026*AE$7</f>
        <v>0</v>
      </c>
      <c r="AF76" s="31">
        <f>(INDEX(Option5!AF$105:AF$116, MATCH($D76, Option5!$G$105:$G$116,0)))*conv_2026*AF$7</f>
        <v>0</v>
      </c>
      <c r="AG76" s="31">
        <f>(INDEX(Option5!AG$105:AG$116, MATCH($D76, Option5!$G$105:$G$116,0)))*conv_2026*AG$7</f>
        <v>0</v>
      </c>
    </row>
    <row r="77" spans="1:35" s="8" customFormat="1" x14ac:dyDescent="0.2">
      <c r="A77" s="256" t="s">
        <v>153</v>
      </c>
      <c r="B77" s="256" t="str">
        <f>Option5!A114</f>
        <v>sens</v>
      </c>
      <c r="C77" s="256">
        <f>Option5!C114</f>
        <v>0</v>
      </c>
      <c r="D77" s="256" t="str">
        <f t="shared" si="9"/>
        <v>Option 5sens</v>
      </c>
      <c r="E77" s="257"/>
      <c r="F77" s="31">
        <f t="shared" si="8"/>
        <v>6903164.0736644501</v>
      </c>
      <c r="H77" s="31">
        <f>(INDEX(Option5!H$105:H$116, MATCH($D77, Option5!$G$105:$G$116,0)))*conv_2026*H$7</f>
        <v>0</v>
      </c>
      <c r="I77" s="31">
        <f>(INDEX(Option5!I$105:I$116, MATCH($D77, Option5!$G$105:$G$116,0)))*conv_2026*I$7</f>
        <v>0</v>
      </c>
      <c r="J77" s="31">
        <f>(INDEX(Option5!J$105:J$116, MATCH($D77, Option5!$G$105:$G$116,0)))*conv_2026*J$7</f>
        <v>295857.13861039461</v>
      </c>
      <c r="K77" s="31">
        <f>(INDEX(Option5!K$105:K$116, MATCH($D77, Option5!$G$105:$G$116,0)))*conv_2026*K$7</f>
        <v>204757.7570930887</v>
      </c>
      <c r="L77" s="31">
        <f>(INDEX(Option5!L$105:L$116, MATCH($D77, Option5!$G$105:$G$116,0)))*conv_2026*L$7</f>
        <v>503224.51340319723</v>
      </c>
      <c r="M77" s="31">
        <f>(INDEX(Option5!M$105:M$116, MATCH($D77, Option5!$G$105:$G$116,0)))*conv_2026*M$7</f>
        <v>414734.74958560587</v>
      </c>
      <c r="N77" s="31">
        <f>(INDEX(Option5!N$105:N$116, MATCH($D77, Option5!$G$105:$G$116,0)))*conv_2026*N$7</f>
        <v>326244.98576801462</v>
      </c>
      <c r="O77" s="31">
        <f>(INDEX(Option5!O$105:O$116, MATCH($D77, Option5!$G$105:$G$116,0)))*conv_2026*O$7</f>
        <v>629930.97747755237</v>
      </c>
      <c r="P77" s="31">
        <f>(INDEX(Option5!P$105:P$116, MATCH($D77, Option5!$G$105:$G$116,0)))*conv_2026*P$7</f>
        <v>546660.44905939011</v>
      </c>
      <c r="Q77" s="31">
        <f>(INDEX(Option5!Q$105:Q$116, MATCH($D77, Option5!$G$105:$G$116,0)))*conv_2026*Q$7</f>
        <v>852956.05846864241</v>
      </c>
      <c r="R77" s="31">
        <f>(INDEX(Option5!R$105:R$116, MATCH($D77, Option5!$G$105:$G$116,0)))*conv_2026*R$7</f>
        <v>796161.28780394711</v>
      </c>
      <c r="S77" s="31">
        <f>(INDEX(Option5!S$105:S$116, MATCH($D77, Option5!$G$105:$G$116,0)))*conv_2026*S$7</f>
        <v>796161.28780394711</v>
      </c>
      <c r="T77" s="31">
        <f>(INDEX(Option5!T$105:T$116, MATCH($D77, Option5!$G$105:$G$116,0)))*conv_2026*T$7</f>
        <v>796161.28780394711</v>
      </c>
      <c r="U77" s="31">
        <f>(INDEX(Option5!U$105:U$116, MATCH($D77, Option5!$G$105:$G$116,0)))*conv_2026*U$7</f>
        <v>796161.28780394711</v>
      </c>
      <c r="V77" s="31">
        <f>(INDEX(Option5!V$105:V$116, MATCH($D77, Option5!$G$105:$G$116,0)))*conv_2026*V$7</f>
        <v>406595.14997653262</v>
      </c>
      <c r="W77" s="31">
        <f>(INDEX(Option5!W$105:W$116, MATCH($D77, Option5!$G$105:$G$116,0)))*conv_2026*W$7</f>
        <v>406595.14997653262</v>
      </c>
      <c r="X77" s="31">
        <f>(INDEX(Option5!X$105:X$116, MATCH($D77, Option5!$G$105:$G$116,0)))*conv_2026*X$7</f>
        <v>406595.14997653262</v>
      </c>
      <c r="Y77" s="31">
        <f>(INDEX(Option5!Y$105:Y$116, MATCH($D77, Option5!$G$105:$G$116,0)))*conv_2026*Y$7</f>
        <v>406595.14997653262</v>
      </c>
      <c r="Z77" s="31">
        <f>(INDEX(Option5!Z$105:Z$116, MATCH($D77, Option5!$G$105:$G$116,0)))*conv_2026*Z$7</f>
        <v>406595.14997653262</v>
      </c>
      <c r="AA77" s="31">
        <f>(INDEX(Option5!AA$105:AA$116, MATCH($D77, Option5!$G$105:$G$116,0)))*conv_2026*AA$7</f>
        <v>406595.14997653262</v>
      </c>
      <c r="AB77" s="31">
        <f>(INDEX(Option5!AB$105:AB$116, MATCH($D77, Option5!$G$105:$G$116,0)))*conv_2026*AB$7</f>
        <v>406595.14997653262</v>
      </c>
      <c r="AC77" s="31">
        <f>(INDEX(Option5!AC$105:AC$116, MATCH($D77, Option5!$G$105:$G$116,0)))*conv_2026*AC$7</f>
        <v>0</v>
      </c>
      <c r="AD77" s="31">
        <f>(INDEX(Option5!AD$105:AD$116, MATCH($D77, Option5!$G$105:$G$116,0)))*conv_2026*AD$7</f>
        <v>0</v>
      </c>
      <c r="AE77" s="31">
        <f>(INDEX(Option5!AE$105:AE$116, MATCH($D77, Option5!$G$105:$G$116,0)))*conv_2026*AE$7</f>
        <v>0</v>
      </c>
      <c r="AF77" s="31">
        <f>(INDEX(Option5!AF$105:AF$116, MATCH($D77, Option5!$G$105:$G$116,0)))*conv_2026*AF$7</f>
        <v>0</v>
      </c>
      <c r="AG77" s="31">
        <f>(INDEX(Option5!AG$105:AG$116, MATCH($D77, Option5!$G$105:$G$116,0)))*conv_2026*AG$7</f>
        <v>0</v>
      </c>
    </row>
    <row r="78" spans="1:35" s="8" customFormat="1" x14ac:dyDescent="0.2">
      <c r="A78" s="256" t="s">
        <v>153</v>
      </c>
      <c r="B78" s="256" t="str">
        <f>Option5!A115</f>
        <v>sens</v>
      </c>
      <c r="C78" s="256">
        <f>Option5!C115</f>
        <v>0</v>
      </c>
      <c r="D78" s="256" t="str">
        <f t="shared" si="9"/>
        <v>Option 5sens</v>
      </c>
      <c r="E78" s="257"/>
      <c r="F78" s="31">
        <f t="shared" si="8"/>
        <v>6903164.0736644501</v>
      </c>
      <c r="H78" s="31">
        <f>(INDEX(Option5!H$105:H$116, MATCH($D78, Option5!$G$105:$G$116,0)))*conv_2026*H$7</f>
        <v>0</v>
      </c>
      <c r="I78" s="31">
        <f>(INDEX(Option5!I$105:I$116, MATCH($D78, Option5!$G$105:$G$116,0)))*conv_2026*I$7</f>
        <v>0</v>
      </c>
      <c r="J78" s="31">
        <f>(INDEX(Option5!J$105:J$116, MATCH($D78, Option5!$G$105:$G$116,0)))*conv_2026*J$7</f>
        <v>295857.13861039461</v>
      </c>
      <c r="K78" s="31">
        <f>(INDEX(Option5!K$105:K$116, MATCH($D78, Option5!$G$105:$G$116,0)))*conv_2026*K$7</f>
        <v>204757.7570930887</v>
      </c>
      <c r="L78" s="31">
        <f>(INDEX(Option5!L$105:L$116, MATCH($D78, Option5!$G$105:$G$116,0)))*conv_2026*L$7</f>
        <v>503224.51340319723</v>
      </c>
      <c r="M78" s="31">
        <f>(INDEX(Option5!M$105:M$116, MATCH($D78, Option5!$G$105:$G$116,0)))*conv_2026*M$7</f>
        <v>414734.74958560587</v>
      </c>
      <c r="N78" s="31">
        <f>(INDEX(Option5!N$105:N$116, MATCH($D78, Option5!$G$105:$G$116,0)))*conv_2026*N$7</f>
        <v>326244.98576801462</v>
      </c>
      <c r="O78" s="31">
        <f>(INDEX(Option5!O$105:O$116, MATCH($D78, Option5!$G$105:$G$116,0)))*conv_2026*O$7</f>
        <v>629930.97747755237</v>
      </c>
      <c r="P78" s="31">
        <f>(INDEX(Option5!P$105:P$116, MATCH($D78, Option5!$G$105:$G$116,0)))*conv_2026*P$7</f>
        <v>546660.44905939011</v>
      </c>
      <c r="Q78" s="31">
        <f>(INDEX(Option5!Q$105:Q$116, MATCH($D78, Option5!$G$105:$G$116,0)))*conv_2026*Q$7</f>
        <v>852956.05846864241</v>
      </c>
      <c r="R78" s="31">
        <f>(INDEX(Option5!R$105:R$116, MATCH($D78, Option5!$G$105:$G$116,0)))*conv_2026*R$7</f>
        <v>796161.28780394711</v>
      </c>
      <c r="S78" s="31">
        <f>(INDEX(Option5!S$105:S$116, MATCH($D78, Option5!$G$105:$G$116,0)))*conv_2026*S$7</f>
        <v>796161.28780394711</v>
      </c>
      <c r="T78" s="31">
        <f>(INDEX(Option5!T$105:T$116, MATCH($D78, Option5!$G$105:$G$116,0)))*conv_2026*T$7</f>
        <v>796161.28780394711</v>
      </c>
      <c r="U78" s="31">
        <f>(INDEX(Option5!U$105:U$116, MATCH($D78, Option5!$G$105:$G$116,0)))*conv_2026*U$7</f>
        <v>796161.28780394711</v>
      </c>
      <c r="V78" s="31">
        <f>(INDEX(Option5!V$105:V$116, MATCH($D78, Option5!$G$105:$G$116,0)))*conv_2026*V$7</f>
        <v>406595.14997653262</v>
      </c>
      <c r="W78" s="31">
        <f>(INDEX(Option5!W$105:W$116, MATCH($D78, Option5!$G$105:$G$116,0)))*conv_2026*W$7</f>
        <v>406595.14997653262</v>
      </c>
      <c r="X78" s="31">
        <f>(INDEX(Option5!X$105:X$116, MATCH($D78, Option5!$G$105:$G$116,0)))*conv_2026*X$7</f>
        <v>406595.14997653262</v>
      </c>
      <c r="Y78" s="31">
        <f>(INDEX(Option5!Y$105:Y$116, MATCH($D78, Option5!$G$105:$G$116,0)))*conv_2026*Y$7</f>
        <v>406595.14997653262</v>
      </c>
      <c r="Z78" s="31">
        <f>(INDEX(Option5!Z$105:Z$116, MATCH($D78, Option5!$G$105:$G$116,0)))*conv_2026*Z$7</f>
        <v>406595.14997653262</v>
      </c>
      <c r="AA78" s="31">
        <f>(INDEX(Option5!AA$105:AA$116, MATCH($D78, Option5!$G$105:$G$116,0)))*conv_2026*AA$7</f>
        <v>406595.14997653262</v>
      </c>
      <c r="AB78" s="31">
        <f>(INDEX(Option5!AB$105:AB$116, MATCH($D78, Option5!$G$105:$G$116,0)))*conv_2026*AB$7</f>
        <v>406595.14997653262</v>
      </c>
      <c r="AC78" s="31">
        <f>(INDEX(Option5!AC$105:AC$116, MATCH($D78, Option5!$G$105:$G$116,0)))*conv_2026*AC$7</f>
        <v>0</v>
      </c>
      <c r="AD78" s="31">
        <f>(INDEX(Option5!AD$105:AD$116, MATCH($D78, Option5!$G$105:$G$116,0)))*conv_2026*AD$7</f>
        <v>0</v>
      </c>
      <c r="AE78" s="31">
        <f>(INDEX(Option5!AE$105:AE$116, MATCH($D78, Option5!$G$105:$G$116,0)))*conv_2026*AE$7</f>
        <v>0</v>
      </c>
      <c r="AF78" s="31">
        <f>(INDEX(Option5!AF$105:AF$116, MATCH($D78, Option5!$G$105:$G$116,0)))*conv_2026*AF$7</f>
        <v>0</v>
      </c>
      <c r="AG78" s="31">
        <f>(INDEX(Option5!AG$105:AG$116, MATCH($D78, Option5!$G$105:$G$116,0)))*conv_2026*AG$7</f>
        <v>0</v>
      </c>
    </row>
    <row r="79" spans="1:35" s="8" customFormat="1" x14ac:dyDescent="0.2">
      <c r="A79" s="256" t="s">
        <v>153</v>
      </c>
      <c r="B79" s="256" t="str">
        <f>Option5!A116</f>
        <v>sens</v>
      </c>
      <c r="C79" s="256">
        <f>Option5!C116</f>
        <v>0</v>
      </c>
      <c r="D79" s="256" t="str">
        <f t="shared" si="9"/>
        <v>Option 5sens</v>
      </c>
      <c r="E79" s="257"/>
      <c r="F79" s="31">
        <f t="shared" si="8"/>
        <v>6903164.0736644501</v>
      </c>
      <c r="H79" s="31">
        <f>(INDEX(Option5!H$105:H$116, MATCH($D79, Option5!$G$105:$G$116,0)))*conv_2026*H$7</f>
        <v>0</v>
      </c>
      <c r="I79" s="31">
        <f>(INDEX(Option5!I$105:I$116, MATCH($D79, Option5!$G$105:$G$116,0)))*conv_2026*I$7</f>
        <v>0</v>
      </c>
      <c r="J79" s="31">
        <f>(INDEX(Option5!J$105:J$116, MATCH($D79, Option5!$G$105:$G$116,0)))*conv_2026*J$7</f>
        <v>295857.13861039461</v>
      </c>
      <c r="K79" s="31">
        <f>(INDEX(Option5!K$105:K$116, MATCH($D79, Option5!$G$105:$G$116,0)))*conv_2026*K$7</f>
        <v>204757.7570930887</v>
      </c>
      <c r="L79" s="31">
        <f>(INDEX(Option5!L$105:L$116, MATCH($D79, Option5!$G$105:$G$116,0)))*conv_2026*L$7</f>
        <v>503224.51340319723</v>
      </c>
      <c r="M79" s="31">
        <f>(INDEX(Option5!M$105:M$116, MATCH($D79, Option5!$G$105:$G$116,0)))*conv_2026*M$7</f>
        <v>414734.74958560587</v>
      </c>
      <c r="N79" s="31">
        <f>(INDEX(Option5!N$105:N$116, MATCH($D79, Option5!$G$105:$G$116,0)))*conv_2026*N$7</f>
        <v>326244.98576801462</v>
      </c>
      <c r="O79" s="31">
        <f>(INDEX(Option5!O$105:O$116, MATCH($D79, Option5!$G$105:$G$116,0)))*conv_2026*O$7</f>
        <v>629930.97747755237</v>
      </c>
      <c r="P79" s="31">
        <f>(INDEX(Option5!P$105:P$116, MATCH($D79, Option5!$G$105:$G$116,0)))*conv_2026*P$7</f>
        <v>546660.44905939011</v>
      </c>
      <c r="Q79" s="31">
        <f>(INDEX(Option5!Q$105:Q$116, MATCH($D79, Option5!$G$105:$G$116,0)))*conv_2026*Q$7</f>
        <v>852956.05846864241</v>
      </c>
      <c r="R79" s="31">
        <f>(INDEX(Option5!R$105:R$116, MATCH($D79, Option5!$G$105:$G$116,0)))*conv_2026*R$7</f>
        <v>796161.28780394711</v>
      </c>
      <c r="S79" s="31">
        <f>(INDEX(Option5!S$105:S$116, MATCH($D79, Option5!$G$105:$G$116,0)))*conv_2026*S$7</f>
        <v>796161.28780394711</v>
      </c>
      <c r="T79" s="31">
        <f>(INDEX(Option5!T$105:T$116, MATCH($D79, Option5!$G$105:$G$116,0)))*conv_2026*T$7</f>
        <v>796161.28780394711</v>
      </c>
      <c r="U79" s="31">
        <f>(INDEX(Option5!U$105:U$116, MATCH($D79, Option5!$G$105:$G$116,0)))*conv_2026*U$7</f>
        <v>796161.28780394711</v>
      </c>
      <c r="V79" s="31">
        <f>(INDEX(Option5!V$105:V$116, MATCH($D79, Option5!$G$105:$G$116,0)))*conv_2026*V$7</f>
        <v>406595.14997653262</v>
      </c>
      <c r="W79" s="31">
        <f>(INDEX(Option5!W$105:W$116, MATCH($D79, Option5!$G$105:$G$116,0)))*conv_2026*W$7</f>
        <v>406595.14997653262</v>
      </c>
      <c r="X79" s="31">
        <f>(INDEX(Option5!X$105:X$116, MATCH($D79, Option5!$G$105:$G$116,0)))*conv_2026*X$7</f>
        <v>406595.14997653262</v>
      </c>
      <c r="Y79" s="31">
        <f>(INDEX(Option5!Y$105:Y$116, MATCH($D79, Option5!$G$105:$G$116,0)))*conv_2026*Y$7</f>
        <v>406595.14997653262</v>
      </c>
      <c r="Z79" s="31">
        <f>(INDEX(Option5!Z$105:Z$116, MATCH($D79, Option5!$G$105:$G$116,0)))*conv_2026*Z$7</f>
        <v>406595.14997653262</v>
      </c>
      <c r="AA79" s="31">
        <f>(INDEX(Option5!AA$105:AA$116, MATCH($D79, Option5!$G$105:$G$116,0)))*conv_2026*AA$7</f>
        <v>406595.14997653262</v>
      </c>
      <c r="AB79" s="31">
        <f>(INDEX(Option5!AB$105:AB$116, MATCH($D79, Option5!$G$105:$G$116,0)))*conv_2026*AB$7</f>
        <v>406595.14997653262</v>
      </c>
      <c r="AC79" s="31">
        <f>(INDEX(Option5!AC$105:AC$116, MATCH($D79, Option5!$G$105:$G$116,0)))*conv_2026*AC$7</f>
        <v>0</v>
      </c>
      <c r="AD79" s="31">
        <f>(INDEX(Option5!AD$105:AD$116, MATCH($D79, Option5!$G$105:$G$116,0)))*conv_2026*AD$7</f>
        <v>0</v>
      </c>
      <c r="AE79" s="31">
        <f>(INDEX(Option5!AE$105:AE$116, MATCH($D79, Option5!$G$105:$G$116,0)))*conv_2026*AE$7</f>
        <v>0</v>
      </c>
      <c r="AF79" s="31">
        <f>(INDEX(Option5!AF$105:AF$116, MATCH($D79, Option5!$G$105:$G$116,0)))*conv_2026*AF$7</f>
        <v>0</v>
      </c>
      <c r="AG79" s="31">
        <f>(INDEX(Option5!AG$105:AG$116, MATCH($D79, Option5!$G$105:$G$116,0)))*conv_2026*AG$7</f>
        <v>0</v>
      </c>
    </row>
    <row r="80" spans="1:35" s="8" customFormat="1" x14ac:dyDescent="0.2">
      <c r="F80" s="252"/>
    </row>
    <row r="81" spans="1:34" s="8" customFormat="1" x14ac:dyDescent="0.2">
      <c r="F81" s="252"/>
    </row>
    <row r="82" spans="1:34" s="8" customFormat="1" x14ac:dyDescent="0.2">
      <c r="F82" s="252"/>
    </row>
    <row r="83" spans="1:34" s="8" customFormat="1" x14ac:dyDescent="0.2">
      <c r="F83" s="252"/>
    </row>
    <row r="84" spans="1:34" s="8" customFormat="1" ht="15" x14ac:dyDescent="0.25">
      <c r="A84" s="204" t="s">
        <v>157</v>
      </c>
      <c r="B84" s="54"/>
      <c r="C84" s="19"/>
      <c r="D84" s="19"/>
      <c r="E84" s="83"/>
      <c r="F84" s="19"/>
      <c r="G84" s="225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10"/>
      <c r="AH84" s="10"/>
    </row>
    <row r="85" spans="1:34" s="8" customFormat="1" x14ac:dyDescent="0.2">
      <c r="F85" s="252"/>
    </row>
    <row r="86" spans="1:34" s="8" customFormat="1" x14ac:dyDescent="0.2">
      <c r="F86" s="252"/>
    </row>
    <row r="87" spans="1:34" s="8" customFormat="1" x14ac:dyDescent="0.2">
      <c r="E87" s="252"/>
    </row>
    <row r="88" spans="1:34" s="8" customFormat="1" x14ac:dyDescent="0.2">
      <c r="C88" s="278" t="b" cm="1">
        <f t="array" ref="C88:G88">TRANSPOSE(Data!F9:F13)</f>
        <v>0</v>
      </c>
      <c r="D88" s="278" t="b">
        <v>0</v>
      </c>
      <c r="E88" s="279" t="b">
        <v>0</v>
      </c>
      <c r="F88" s="278" t="b">
        <v>0</v>
      </c>
      <c r="G88" s="278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80" t="str" cm="1">
        <f t="array" ref="C89:G89">TRANSPOSE(options)</f>
        <v>Option 1 (base case)</v>
      </c>
      <c r="D89" s="280" t="str">
        <v>Option 2</v>
      </c>
      <c r="E89" s="280" t="str">
        <v>Option 3</v>
      </c>
      <c r="F89" s="280" t="str">
        <v>Option 4</v>
      </c>
      <c r="G89" s="280" t="str">
        <v>Option 5</v>
      </c>
      <c r="I89" s="280" t="s">
        <v>228</v>
      </c>
      <c r="K89" s="286" t="s">
        <v>229</v>
      </c>
    </row>
    <row r="90" spans="1:34" s="8" customFormat="1" x14ac:dyDescent="0.2">
      <c r="A90" s="264" t="s">
        <v>119</v>
      </c>
      <c r="B90" s="264" t="s">
        <v>219</v>
      </c>
      <c r="C90" s="105">
        <f t="shared" ref="C90:G98" si="10">IF(OR($B90=0,C$88),"", INDEX($F$14:$F$81, MATCH(C$89&amp;$A90,$D$14:$D$81,0))/10^6)</f>
        <v>-1.9556325189494175</v>
      </c>
      <c r="D90" s="105">
        <f t="shared" si="10"/>
        <v>9.8388330195765388</v>
      </c>
      <c r="E90" s="105">
        <f t="shared" si="10"/>
        <v>7.7143634572861011</v>
      </c>
      <c r="F90" s="105">
        <f t="shared" si="10"/>
        <v>9.3918411433454878</v>
      </c>
      <c r="G90" s="105">
        <f t="shared" si="10"/>
        <v>6.90316407366445</v>
      </c>
      <c r="H90" s="188"/>
      <c r="I90" s="105">
        <f t="shared" ref="I90:I98" si="11">_xlfn.MAXIFS(C90:G90,_xlfn.ANCHORARRAY( C$88),FALSE)</f>
        <v>9.8388330195765388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4" t="str">
        <f>"sens"&amp;Assumptions!B111</f>
        <v>sens1</v>
      </c>
      <c r="B91" s="264" t="str">
        <f>Assumptions!C111</f>
        <v>Capex 10% higher</v>
      </c>
      <c r="C91" s="105">
        <f t="shared" si="10"/>
        <v>-1.523176581968537</v>
      </c>
      <c r="D91" s="105">
        <f t="shared" si="10"/>
        <v>8.9776782240208171</v>
      </c>
      <c r="E91" s="105">
        <f t="shared" si="10"/>
        <v>6.8579967424661854</v>
      </c>
      <c r="F91" s="105">
        <f t="shared" si="10"/>
        <v>8.616351043128244</v>
      </c>
      <c r="G91" s="105">
        <f t="shared" si="10"/>
        <v>6.1282823607780852</v>
      </c>
      <c r="H91" s="188"/>
      <c r="I91" s="105">
        <f t="shared" si="11"/>
        <v>8.9776782240208171</v>
      </c>
      <c r="K91" s="8" t="str">
        <f t="shared" si="12"/>
        <v>Option 2</v>
      </c>
    </row>
    <row r="92" spans="1:34" s="8" customFormat="1" x14ac:dyDescent="0.2">
      <c r="A92" s="264" t="str">
        <f>"sens"&amp;Assumptions!B112</f>
        <v>sens2</v>
      </c>
      <c r="B92" s="264" t="str">
        <f>Assumptions!C112</f>
        <v>Capex 10% lower</v>
      </c>
      <c r="C92" s="105">
        <f t="shared" si="10"/>
        <v>-1.246235385246985</v>
      </c>
      <c r="D92" s="105">
        <f t="shared" si="10"/>
        <v>10.69998781513226</v>
      </c>
      <c r="E92" s="105">
        <f t="shared" si="10"/>
        <v>8.5707301721060141</v>
      </c>
      <c r="F92" s="105">
        <f t="shared" si="10"/>
        <v>10.167331243562733</v>
      </c>
      <c r="G92" s="105">
        <f t="shared" si="10"/>
        <v>7.6780457865508147</v>
      </c>
      <c r="H92" s="188"/>
      <c r="I92" s="105">
        <f t="shared" si="11"/>
        <v>10.69998781513226</v>
      </c>
      <c r="K92" s="8" t="str">
        <f t="shared" si="12"/>
        <v>Option 2</v>
      </c>
    </row>
    <row r="93" spans="1:34" s="8" customFormat="1" x14ac:dyDescent="0.2">
      <c r="A93" s="264" t="str">
        <f>"sens"&amp;Assumptions!B113</f>
        <v>sens3</v>
      </c>
      <c r="B93" s="264" t="str">
        <f>Assumptions!C113</f>
        <v>Total benefits 10% higher</v>
      </c>
      <c r="C93" s="105">
        <f t="shared" si="10"/>
        <v>-1.3847059836077611</v>
      </c>
      <c r="D93" s="105">
        <f t="shared" si="10"/>
        <v>11.683871117089915</v>
      </c>
      <c r="E93" s="105">
        <f t="shared" si="10"/>
        <v>9.3421665178346238</v>
      </c>
      <c r="F93" s="105">
        <f t="shared" si="10"/>
        <v>11.106515357897282</v>
      </c>
      <c r="G93" s="105">
        <f t="shared" si="10"/>
        <v>8.3683621939172603</v>
      </c>
      <c r="H93" s="188"/>
      <c r="I93" s="105">
        <f t="shared" si="11"/>
        <v>11.683871117089915</v>
      </c>
      <c r="K93" s="8" t="str">
        <f t="shared" si="12"/>
        <v>Option 2</v>
      </c>
    </row>
    <row r="94" spans="1:34" s="8" customFormat="1" x14ac:dyDescent="0.2">
      <c r="A94" s="264" t="str">
        <f>"sens"&amp;Assumptions!B114</f>
        <v>sens4</v>
      </c>
      <c r="B94" s="264" t="str">
        <f>Assumptions!C114</f>
        <v>Total benefits 10% lower</v>
      </c>
      <c r="C94" s="105">
        <f t="shared" si="10"/>
        <v>-1.3847059836077611</v>
      </c>
      <c r="D94" s="105">
        <f t="shared" si="10"/>
        <v>7.9937949220631568</v>
      </c>
      <c r="E94" s="105">
        <f t="shared" si="10"/>
        <v>6.0865603967375748</v>
      </c>
      <c r="F94" s="105">
        <f t="shared" si="10"/>
        <v>7.6771669287936968</v>
      </c>
      <c r="G94" s="105">
        <f t="shared" si="10"/>
        <v>5.4379659534116387</v>
      </c>
      <c r="H94" s="188"/>
      <c r="I94" s="105">
        <f t="shared" si="11"/>
        <v>7.9937949220631568</v>
      </c>
      <c r="K94" s="8" t="str">
        <f t="shared" si="12"/>
        <v>Option 2</v>
      </c>
    </row>
    <row r="95" spans="1:34" s="8" customFormat="1" x14ac:dyDescent="0.2">
      <c r="A95" s="264" t="str">
        <f>"sens"&amp;Assumptions!B115</f>
        <v>sens5</v>
      </c>
      <c r="B95" s="264" t="str">
        <f>Assumptions!C115</f>
        <v>Capex 10% higher &amp; Total benefits 10% lower</v>
      </c>
      <c r="C95" s="105">
        <f t="shared" si="10"/>
        <v>-1.523176581968537</v>
      </c>
      <c r="D95" s="105">
        <f t="shared" si="10"/>
        <v>7.1326401265074351</v>
      </c>
      <c r="E95" s="105">
        <f t="shared" si="10"/>
        <v>5.2301936819176591</v>
      </c>
      <c r="F95" s="105">
        <f t="shared" si="10"/>
        <v>6.9016768285764538</v>
      </c>
      <c r="G95" s="105">
        <f t="shared" si="10"/>
        <v>4.6630842405252748</v>
      </c>
      <c r="H95" s="188"/>
      <c r="I95" s="105">
        <f t="shared" si="11"/>
        <v>7.1326401265074351</v>
      </c>
      <c r="K95" s="8" t="str">
        <f t="shared" si="12"/>
        <v>Option 2</v>
      </c>
    </row>
    <row r="96" spans="1:34" s="8" customFormat="1" x14ac:dyDescent="0.2">
      <c r="A96" s="264" t="str">
        <f>"sens"&amp;Assumptions!B116</f>
        <v>sens</v>
      </c>
      <c r="B96" s="264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8"/>
      <c r="I96" s="105">
        <f t="shared" si="11"/>
        <v>0</v>
      </c>
      <c r="K96" s="8" t="str">
        <f t="shared" si="12"/>
        <v/>
      </c>
    </row>
    <row r="97" spans="1:11" x14ac:dyDescent="0.2">
      <c r="A97" s="264" t="str">
        <f>"sens"&amp;Assumptions!B117</f>
        <v>sens</v>
      </c>
      <c r="B97" s="264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5"/>
      <c r="I97" s="105">
        <f t="shared" si="11"/>
        <v>0</v>
      </c>
      <c r="K97" s="8" t="str">
        <f t="shared" si="12"/>
        <v/>
      </c>
    </row>
    <row r="98" spans="1:11" x14ac:dyDescent="0.2">
      <c r="A98" s="264" t="str">
        <f>"sens"&amp;Assumptions!B118</f>
        <v>sens</v>
      </c>
      <c r="B98" s="264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5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7E2D-523D-45DA-8AE7-E9B197443815}">
  <sheetPr codeName="Sheet10">
    <tabColor rgb="FFFFFF00"/>
  </sheetPr>
  <dimension ref="A1:AT35"/>
  <sheetViews>
    <sheetView showGridLines="0" zoomScale="90" zoomScaleNormal="9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F13" sqref="F13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3.125" style="1" customWidth="1"/>
    <col min="4" max="31" width="10.375" style="1" customWidth="1"/>
    <col min="32" max="16384" width="8" style="1"/>
  </cols>
  <sheetData>
    <row r="1" spans="1:46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46" ht="18.75" x14ac:dyDescent="0.3">
      <c r="A2" s="56" t="str">
        <f>proj</f>
        <v>Replace compound filled cable terminations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46" ht="18.75" x14ac:dyDescent="0.3">
      <c r="A3" s="5" t="s">
        <v>248</v>
      </c>
      <c r="B3" s="323"/>
      <c r="C3" s="5"/>
      <c r="D3" s="5"/>
      <c r="E3" s="5"/>
      <c r="F3" s="5"/>
      <c r="G3" s="5"/>
    </row>
    <row r="5" spans="1:46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</row>
    <row r="6" spans="1:46" customFormat="1" x14ac:dyDescent="0.2"/>
    <row r="7" spans="1:46" customFormat="1" x14ac:dyDescent="0.2">
      <c r="C7" s="1" t="s">
        <v>263</v>
      </c>
      <c r="D7" s="325"/>
      <c r="E7" s="331">
        <v>100000</v>
      </c>
    </row>
    <row r="8" spans="1:46" customFormat="1" x14ac:dyDescent="0.2"/>
    <row r="9" spans="1:46" x14ac:dyDescent="0.2">
      <c r="C9" s="329" t="s">
        <v>266</v>
      </c>
      <c r="D9" s="329"/>
      <c r="E9" s="327">
        <v>55000</v>
      </c>
      <c r="F9"/>
    </row>
    <row r="10" spans="1:46" x14ac:dyDescent="0.2">
      <c r="C10" s="329"/>
      <c r="D10" s="329"/>
      <c r="E10" s="329"/>
      <c r="F10"/>
      <c r="G10" s="329"/>
    </row>
    <row r="11" spans="1:46" customFormat="1" x14ac:dyDescent="0.2"/>
    <row r="12" spans="1:46" ht="15" x14ac:dyDescent="0.25">
      <c r="C12" s="3" t="s">
        <v>249</v>
      </c>
      <c r="D12" s="3"/>
      <c r="E12" s="3"/>
      <c r="F12" s="3"/>
      <c r="G12" s="20" t="str">
        <f>Sensitivity_calcs!I9</f>
        <v>2026-27</v>
      </c>
      <c r="H12" s="20" t="str">
        <f>Sensitivity_calcs!J9</f>
        <v>2027-28</v>
      </c>
      <c r="I12" s="20" t="str">
        <f>Sensitivity_calcs!K9</f>
        <v>2028-29</v>
      </c>
      <c r="J12" s="20" t="str">
        <f>Sensitivity_calcs!L9</f>
        <v>2029-30</v>
      </c>
      <c r="K12" s="20" t="str">
        <f>Sensitivity_calcs!M9</f>
        <v>2030-31</v>
      </c>
      <c r="L12" s="20" t="str">
        <f>Sensitivity_calcs!N9</f>
        <v>2031-32</v>
      </c>
      <c r="M12" s="20" t="str">
        <f>Sensitivity_calcs!O9</f>
        <v>2032-33</v>
      </c>
      <c r="N12" s="20" t="str">
        <f>Sensitivity_calcs!P9</f>
        <v>2033-34</v>
      </c>
      <c r="O12" s="20" t="str">
        <f>Sensitivity_calcs!Q9</f>
        <v>2034-35</v>
      </c>
      <c r="P12" s="20" t="str">
        <f>Sensitivity_calcs!R9</f>
        <v>2035-36</v>
      </c>
      <c r="Q12" s="20" t="str">
        <f>Sensitivity_calcs!S9</f>
        <v>2036-37</v>
      </c>
      <c r="R12" s="20" t="str">
        <f>Sensitivity_calcs!T9</f>
        <v>2037-38</v>
      </c>
      <c r="S12" s="20" t="str">
        <f>Sensitivity_calcs!U9</f>
        <v>2038-39</v>
      </c>
      <c r="T12" s="20" t="str">
        <f>Sensitivity_calcs!V9</f>
        <v>2039-40</v>
      </c>
      <c r="U12" s="20" t="str">
        <f>Sensitivity_calcs!W9</f>
        <v>2040-41</v>
      </c>
      <c r="V12" s="20" t="str">
        <f>Sensitivity_calcs!X9</f>
        <v>2041-42</v>
      </c>
      <c r="W12" s="20" t="str">
        <f>Sensitivity_calcs!Y9</f>
        <v>2042-43</v>
      </c>
      <c r="X12" s="20" t="str">
        <f>Sensitivity_calcs!Z9</f>
        <v>2043-44</v>
      </c>
      <c r="Y12" s="20" t="str">
        <f>Sensitivity_calcs!AA9</f>
        <v>2044-45</v>
      </c>
      <c r="Z12" s="20" t="str">
        <f>Sensitivity_calcs!AB9</f>
        <v>2045-46</v>
      </c>
      <c r="AA12" s="20" t="str">
        <f>Sensitivity_calcs!AC9</f>
        <v>2046-47</v>
      </c>
      <c r="AB12" s="20" t="str">
        <f>Sensitivity_calcs!AD9</f>
        <v>2047-48</v>
      </c>
      <c r="AC12" s="20" t="str">
        <f>Sensitivity_calcs!AE9</f>
        <v>2048-49</v>
      </c>
      <c r="AD12" s="20" t="str">
        <f>Sensitivity_calcs!AF9</f>
        <v>2049-50</v>
      </c>
      <c r="AE12" s="20" t="str">
        <f>Sensitivity_calcs!AG9</f>
        <v>2050-51</v>
      </c>
    </row>
    <row r="13" spans="1:46" x14ac:dyDescent="0.2">
      <c r="C13" s="1" t="s">
        <v>144</v>
      </c>
      <c r="D13" s="1">
        <v>0</v>
      </c>
      <c r="G13" s="333">
        <f>ROUND(MAX(MIN($D13, Workings_risks!$E$13-SUM(Workings_costs!$E13:F13)-SUM(Workings_costs!$D21:G21)),0),5)</f>
        <v>0</v>
      </c>
      <c r="H13" s="333">
        <f>ROUND(MAX(MIN($D13, Workings_risks!$E$13-SUM(Workings_costs!$E13:G13)-SUM(Workings_costs!$D21:H21)),0),5)</f>
        <v>0</v>
      </c>
      <c r="I13" s="333">
        <f>ROUND(MAX(MIN($D13, Workings_risks!$E$13-SUM(Workings_costs!$E13:H13)-SUM(Workings_costs!$D21:I21)),0),5)</f>
        <v>0</v>
      </c>
      <c r="J13" s="333">
        <f>ROUND(MAX(MIN($D13, Workings_risks!$E$13-SUM(Workings_costs!$E13:I13)-SUM(Workings_costs!$D21:J21)),0),5)</f>
        <v>0</v>
      </c>
      <c r="K13" s="333">
        <f>ROUND(MAX(MIN($D13, Workings_risks!$E$13-SUM(Workings_costs!$E13:J13)-SUM(Workings_costs!$D21:K21)),0),5)</f>
        <v>0</v>
      </c>
      <c r="L13" s="333">
        <f>ROUND(MAX(MIN($D13, Workings_risks!$E$13-SUM(Workings_costs!$E13:K13)-SUM(Workings_costs!$D21:L21)),0),5)</f>
        <v>0</v>
      </c>
      <c r="M13" s="333">
        <f>ROUND(MAX(MIN($D13, Workings_risks!$E$13-SUM(Workings_costs!$E13:L13)-SUM(Workings_costs!$D21:M21)),0),5)</f>
        <v>0</v>
      </c>
      <c r="N13" s="333">
        <f>ROUND(MAX(MIN($D13, Workings_risks!$E$13-SUM(Workings_costs!$E13:M13)-SUM(Workings_costs!$D21:N21)),0),5)</f>
        <v>0</v>
      </c>
      <c r="O13" s="333">
        <f>ROUND(MAX(MIN($D13, Workings_risks!$E$13-SUM(Workings_costs!$E13:N13)-SUM(Workings_costs!$D21:O21)),0),5)</f>
        <v>0</v>
      </c>
      <c r="P13" s="333">
        <f>ROUND(MAX(MIN($D13, Workings_risks!$E$13-SUM(Workings_costs!$E13:O13)-SUM(Workings_costs!$D21:P21)),0),5)</f>
        <v>0</v>
      </c>
      <c r="Q13" s="333">
        <f>ROUND(MAX(MIN($D13, Workings_risks!$E$13-SUM(Workings_costs!$E13:P13)-SUM(Workings_costs!$D21:Q21)),0),5)</f>
        <v>0</v>
      </c>
      <c r="R13" s="333">
        <f>ROUND(MAX(MIN($D13, Workings_risks!$E$13-SUM(Workings_costs!$E13:Q13)-SUM(Workings_costs!$D21:R21)),0),5)</f>
        <v>0</v>
      </c>
      <c r="S13" s="333">
        <f>ROUND(MAX(MIN($D13, Workings_risks!$E$13-SUM(Workings_costs!$E13:R13)-SUM(Workings_costs!$D21:S21)),0),5)</f>
        <v>0</v>
      </c>
      <c r="T13" s="333">
        <f>ROUND(MAX(MIN($D13, Workings_risks!$E$13-SUM(Workings_costs!$E13:S13)-SUM(Workings_costs!$D21:T21)),0),5)</f>
        <v>0</v>
      </c>
      <c r="U13" s="333">
        <f>ROUND(MAX(MIN($D13, Workings_risks!$E$13-SUM(Workings_costs!$E13:T13)-SUM(Workings_costs!$D21:U21)),0),5)</f>
        <v>0</v>
      </c>
      <c r="V13" s="333">
        <f>ROUND(MAX(MIN($D13, Workings_risks!$E$13-SUM(Workings_costs!$E13:U13)-SUM(Workings_costs!$D21:V21)),0),5)</f>
        <v>0</v>
      </c>
      <c r="W13" s="333">
        <f>ROUND(MAX(MIN($D13, Workings_risks!$E$13-SUM(Workings_costs!$E13:V13)-SUM(Workings_costs!$D21:W21)),0),5)</f>
        <v>0</v>
      </c>
      <c r="X13" s="333">
        <f>ROUND(MAX(MIN($D13, Workings_risks!$E$13-SUM(Workings_costs!$E13:W13)-SUM(Workings_costs!$D21:X21)),0),5)</f>
        <v>0</v>
      </c>
      <c r="Y13" s="333">
        <f>ROUND(MAX(MIN($D13, Workings_risks!$E$13-SUM(Workings_costs!$E13:X13)-SUM(Workings_costs!$D21:Y21)),0),5)</f>
        <v>0</v>
      </c>
      <c r="Z13" s="333">
        <f>ROUND(MAX(MIN($D13, Workings_risks!$E$13-SUM(Workings_costs!$E13:Y13)-SUM(Workings_costs!$D21:Z21)),0),5)</f>
        <v>0</v>
      </c>
      <c r="AA13" s="333">
        <f>ROUND(MAX(MIN($D13, Workings_risks!$E$13-SUM(Workings_costs!$E13:Z13)-SUM(Workings_costs!$D21:AA21)),0),5)</f>
        <v>0</v>
      </c>
      <c r="AB13" s="333">
        <f>ROUND(MAX(MIN($D13, Workings_risks!$E$13-SUM(Workings_costs!$E13:AA13)-SUM(Workings_costs!$D21:AB21)),0),5)</f>
        <v>0</v>
      </c>
      <c r="AC13" s="333">
        <f>ROUND(MAX(MIN($D13, Workings_risks!$E$13-SUM(Workings_costs!$E13:AB13)-SUM(Workings_costs!$D21:AC21)),0),5)</f>
        <v>0</v>
      </c>
      <c r="AD13" s="333">
        <f>ROUND(MAX(MIN($D13, Workings_risks!$E$13-SUM(Workings_costs!$E13:AC13)-SUM(Workings_costs!$D21:AD21)),0),5)</f>
        <v>0</v>
      </c>
      <c r="AE13" s="333">
        <f>ROUND(MAX(MIN($D13, Workings_risks!$E$13-SUM(Workings_costs!$E13:AD13)-SUM(Workings_costs!$D21:AE21)),0),5)</f>
        <v>0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x14ac:dyDescent="0.2">
      <c r="C14" s="1" t="s">
        <v>131</v>
      </c>
      <c r="D14" s="326">
        <v>24</v>
      </c>
      <c r="G14" s="333">
        <f>ROUND(MAX(MIN($D14, Workings_risks!$E$13-SUM(Workings_costs!$E14:F14)-SUM(Workings_costs!$D22:G22)),0),5)</f>
        <v>24</v>
      </c>
      <c r="H14" s="333">
        <f>ROUND(MAX(MIN($D14, Workings_risks!$E$13-SUM(Workings_costs!$E14:G14)-SUM(Workings_costs!$D22:H22)),0),5)</f>
        <v>24</v>
      </c>
      <c r="I14" s="333">
        <f>ROUND(MAX(MIN($D14, Workings_risks!$E$13-SUM(Workings_costs!$E14:H14)-SUM(Workings_costs!$D22:I22)),0),5)</f>
        <v>24</v>
      </c>
      <c r="J14" s="333">
        <f>ROUND(MAX(MIN($D14, Workings_risks!$E$13-SUM(Workings_costs!$E14:I14)-SUM(Workings_costs!$D22:J22)),0),5)</f>
        <v>24</v>
      </c>
      <c r="K14" s="333">
        <f>ROUND(MAX(MIN($D14, Workings_risks!$E$13-SUM(Workings_costs!$E14:J14)-SUM(Workings_costs!$D22:K22)),0),5)</f>
        <v>24</v>
      </c>
      <c r="L14" s="333">
        <f>ROUND(MAX(MIN($D14, Workings_risks!$E$13-SUM(Workings_costs!$E14:K14)-SUM(Workings_costs!$D22:L22)),0),5)</f>
        <v>24</v>
      </c>
      <c r="M14" s="333">
        <f>ROUND(MAX(MIN($D14, Workings_risks!$E$13-SUM(Workings_costs!$E14:L14)-SUM(Workings_costs!$D22:M22)),0),5)</f>
        <v>14.98</v>
      </c>
      <c r="N14" s="333">
        <f>ROUND(MAX(MIN($D14, Workings_risks!$E$13-SUM(Workings_costs!$E14:M14)-SUM(Workings_costs!$D22:N22)),0),5)</f>
        <v>0</v>
      </c>
      <c r="O14" s="333">
        <f>ROUND(MAX(MIN($D14, Workings_risks!$E$13-SUM(Workings_costs!$E14:N14)-SUM(Workings_costs!$D22:O22)),0),5)</f>
        <v>0</v>
      </c>
      <c r="P14" s="333">
        <f>ROUND(MAX(MIN($D14, Workings_risks!$E$13-SUM(Workings_costs!$E14:O14)-SUM(Workings_costs!$D22:P22)),0),5)</f>
        <v>0</v>
      </c>
      <c r="Q14" s="333">
        <f>ROUND(MAX(MIN($D14, Workings_risks!$E$13-SUM(Workings_costs!$E14:P14)-SUM(Workings_costs!$D22:Q22)),0),5)</f>
        <v>0</v>
      </c>
      <c r="R14" s="333">
        <f>ROUND(MAX(MIN($D14, Workings_risks!$E$13-SUM(Workings_costs!$E14:Q14)-SUM(Workings_costs!$D22:R22)),0),5)</f>
        <v>0</v>
      </c>
      <c r="S14" s="333">
        <f>ROUND(MAX(MIN($D14, Workings_risks!$E$13-SUM(Workings_costs!$E14:R14)-SUM(Workings_costs!$D22:S22)),0),5)</f>
        <v>0</v>
      </c>
      <c r="T14" s="333">
        <f>ROUND(MAX(MIN($D14, Workings_risks!$E$13-SUM(Workings_costs!$E14:S14)-SUM(Workings_costs!$D22:T22)),0),5)</f>
        <v>0</v>
      </c>
      <c r="U14" s="333">
        <f>ROUND(MAX(MIN($D14, Workings_risks!$E$13-SUM(Workings_costs!$E14:T14)-SUM(Workings_costs!$D22:U22)),0),5)</f>
        <v>0</v>
      </c>
      <c r="V14" s="333">
        <f>ROUND(MAX(MIN($D14, Workings_risks!$E$13-SUM(Workings_costs!$E14:U14)-SUM(Workings_costs!$D22:V22)),0),5)</f>
        <v>0</v>
      </c>
      <c r="W14" s="333">
        <f>ROUND(MAX(MIN($D14, Workings_risks!$E$13-SUM(Workings_costs!$E14:V14)-SUM(Workings_costs!$D22:W22)),0),5)</f>
        <v>0</v>
      </c>
      <c r="X14" s="333">
        <f>ROUND(MAX(MIN($D14, Workings_risks!$E$13-SUM(Workings_costs!$E14:W14)-SUM(Workings_costs!$D22:X22)),0),5)</f>
        <v>0</v>
      </c>
      <c r="Y14" s="333">
        <f>ROUND(MAX(MIN($D14, Workings_risks!$E$13-SUM(Workings_costs!$E14:X14)-SUM(Workings_costs!$D22:Y22)),0),5)</f>
        <v>0</v>
      </c>
      <c r="Z14" s="333">
        <f>ROUND(MAX(MIN($D14, Workings_risks!$E$13-SUM(Workings_costs!$E14:Y14)-SUM(Workings_costs!$D22:Z22)),0),5)</f>
        <v>0</v>
      </c>
      <c r="AA14" s="333">
        <f>ROUND(MAX(MIN($D14, Workings_risks!$E$13-SUM(Workings_costs!$E14:Z14)-SUM(Workings_costs!$D22:AA22)),0),5)</f>
        <v>0</v>
      </c>
      <c r="AB14" s="333">
        <f>ROUND(MAX(MIN($D14, Workings_risks!$E$13-SUM(Workings_costs!$E14:AA14)-SUM(Workings_costs!$D22:AB22)),0),5)</f>
        <v>0</v>
      </c>
      <c r="AC14" s="333">
        <f>ROUND(MAX(MIN($D14, Workings_risks!$E$13-SUM(Workings_costs!$E14:AB14)-SUM(Workings_costs!$D22:AC22)),0),5)</f>
        <v>0</v>
      </c>
      <c r="AD14" s="333">
        <f>ROUND(MAX(MIN($D14, Workings_risks!$E$13-SUM(Workings_costs!$E14:AC14)-SUM(Workings_costs!$D22:AD22)),0),5)</f>
        <v>0</v>
      </c>
      <c r="AE14" s="333">
        <f>ROUND(MAX(MIN($D14, Workings_risks!$E$13-SUM(Workings_costs!$E14:AD14)-SUM(Workings_costs!$D22:AE22)),0),5)</f>
        <v>0</v>
      </c>
    </row>
    <row r="15" spans="1:46" x14ac:dyDescent="0.2">
      <c r="C15" s="1" t="s">
        <v>132</v>
      </c>
      <c r="D15" s="326">
        <v>24</v>
      </c>
      <c r="G15" s="333">
        <f>ROUND(MAX(MIN($D15, Workings_risks!$E$13-SUM(Workings_costs!$E15:F15)-SUM(Workings_costs!$D23:G23)),0),5)</f>
        <v>24</v>
      </c>
      <c r="H15" s="333">
        <f>ROUND(MAX(MIN($D15, Workings_risks!$E$13-SUM(Workings_costs!$E15:G15)-SUM(Workings_costs!$D23:H23)),0),5)</f>
        <v>24</v>
      </c>
      <c r="I15" s="333">
        <f>ROUND(MAX(MIN($D15, Workings_risks!$E$13-SUM(Workings_costs!$E15:H15)-SUM(Workings_costs!$D23:I23)),0),5)</f>
        <v>24</v>
      </c>
      <c r="J15" s="333">
        <f>ROUND(MAX(MIN($D15, Workings_risks!$E$13-SUM(Workings_costs!$E15:I15)-SUM(Workings_costs!$D23:J23)),0),5)</f>
        <v>24</v>
      </c>
      <c r="K15" s="333">
        <f>ROUND(MAX(MIN($D15, Workings_risks!$E$13-SUM(Workings_costs!$E15:J15)-SUM(Workings_costs!$D23:K23)),0),5)</f>
        <v>24</v>
      </c>
      <c r="L15" s="333">
        <f>ROUND(MAX(MIN($D15, Workings_risks!$E$13-SUM(Workings_costs!$E15:K15)-SUM(Workings_costs!$D23:L23)),0),5)</f>
        <v>24</v>
      </c>
      <c r="M15" s="333">
        <f>ROUND(MAX(MIN($D15, Workings_risks!$E$13-SUM(Workings_costs!$E15:L15)-SUM(Workings_costs!$D23:M23)),0),5)</f>
        <v>8.9700000000000006</v>
      </c>
      <c r="N15" s="333">
        <f>ROUND(MAX(MIN($D15, Workings_risks!$E$13-SUM(Workings_costs!$E15:M15)-SUM(Workings_costs!$D23:N23)),0),5)</f>
        <v>0</v>
      </c>
      <c r="O15" s="333">
        <f>ROUND(MAX(MIN($D15, Workings_risks!$E$13-SUM(Workings_costs!$E15:N15)-SUM(Workings_costs!$D23:O23)),0),5)</f>
        <v>0</v>
      </c>
      <c r="P15" s="333">
        <f>ROUND(MAX(MIN($D15, Workings_risks!$E$13-SUM(Workings_costs!$E15:O15)-SUM(Workings_costs!$D23:P23)),0),5)</f>
        <v>0</v>
      </c>
      <c r="Q15" s="333">
        <f>ROUND(MAX(MIN($D15, Workings_risks!$E$13-SUM(Workings_costs!$E15:P15)-SUM(Workings_costs!$D23:Q23)),0),5)</f>
        <v>0</v>
      </c>
      <c r="R15" s="333">
        <f>ROUND(MAX(MIN($D15, Workings_risks!$E$13-SUM(Workings_costs!$E15:Q15)-SUM(Workings_costs!$D23:R23)),0),5)</f>
        <v>0</v>
      </c>
      <c r="S15" s="333">
        <f>ROUND(MAX(MIN($D15, Workings_risks!$E$13-SUM(Workings_costs!$E15:R15)-SUM(Workings_costs!$D23:S23)),0),5)</f>
        <v>0</v>
      </c>
      <c r="T15" s="333">
        <f>ROUND(MAX(MIN($D15, Workings_risks!$E$13-SUM(Workings_costs!$E15:S15)-SUM(Workings_costs!$D23:T23)),0),5)</f>
        <v>0</v>
      </c>
      <c r="U15" s="333">
        <f>ROUND(MAX(MIN($D15, Workings_risks!$E$13-SUM(Workings_costs!$E15:T15)-SUM(Workings_costs!$D23:U23)),0),5)</f>
        <v>0</v>
      </c>
      <c r="V15" s="333">
        <f>ROUND(MAX(MIN($D15, Workings_risks!$E$13-SUM(Workings_costs!$E15:U15)-SUM(Workings_costs!$D23:V23)),0),5)</f>
        <v>0</v>
      </c>
      <c r="W15" s="333">
        <f>ROUND(MAX(MIN($D15, Workings_risks!$E$13-SUM(Workings_costs!$E15:V15)-SUM(Workings_costs!$D23:W23)),0),5)</f>
        <v>0</v>
      </c>
      <c r="X15" s="333">
        <f>ROUND(MAX(MIN($D15, Workings_risks!$E$13-SUM(Workings_costs!$E15:W15)-SUM(Workings_costs!$D23:X23)),0),5)</f>
        <v>0</v>
      </c>
      <c r="Y15" s="333">
        <f>ROUND(MAX(MIN($D15, Workings_risks!$E$13-SUM(Workings_costs!$E15:X15)-SUM(Workings_costs!$D23:Y23)),0),5)</f>
        <v>0</v>
      </c>
      <c r="Z15" s="333">
        <f>ROUND(MAX(MIN($D15, Workings_risks!$E$13-SUM(Workings_costs!$E15:Y15)-SUM(Workings_costs!$D23:Z23)),0),5)</f>
        <v>0</v>
      </c>
      <c r="AA15" s="333">
        <f>ROUND(MAX(MIN($D15, Workings_risks!$E$13-SUM(Workings_costs!$E15:Z15)-SUM(Workings_costs!$D23:AA23)),0),5)</f>
        <v>0</v>
      </c>
      <c r="AB15" s="333">
        <f>ROUND(MAX(MIN($D15, Workings_risks!$E$13-SUM(Workings_costs!$E15:AA15)-SUM(Workings_costs!$D23:AB23)),0),5)</f>
        <v>0</v>
      </c>
      <c r="AC15" s="333">
        <f>ROUND(MAX(MIN($D15, Workings_risks!$E$13-SUM(Workings_costs!$E15:AB15)-SUM(Workings_costs!$D23:AC23)),0),5)</f>
        <v>0</v>
      </c>
      <c r="AD15" s="333">
        <f>ROUND(MAX(MIN($D15, Workings_risks!$E$13-SUM(Workings_costs!$E15:AC15)-SUM(Workings_costs!$D23:AD23)),0),5)</f>
        <v>0</v>
      </c>
      <c r="AE15" s="333">
        <f>ROUND(MAX(MIN($D15, Workings_risks!$E$13-SUM(Workings_costs!$E15:AD15)-SUM(Workings_costs!$D23:AE23)),0),5)</f>
        <v>0</v>
      </c>
    </row>
    <row r="16" spans="1:46" x14ac:dyDescent="0.2">
      <c r="C16" s="1" t="s">
        <v>133</v>
      </c>
      <c r="D16" s="326">
        <v>17</v>
      </c>
      <c r="G16" s="333">
        <f>ROUND(MAX(MIN($D16, Workings_risks!$E$13-SUM(Workings_costs!$E16:F16)-SUM(Workings_costs!$D24:G24)),0),5)</f>
        <v>17</v>
      </c>
      <c r="H16" s="333">
        <f>ROUND(MAX(MIN($D16, Workings_risks!$E$13-SUM(Workings_costs!$E16:G16)-SUM(Workings_costs!$D24:H24)),0),5)</f>
        <v>17</v>
      </c>
      <c r="I16" s="333">
        <f>ROUND(MAX(MIN($D16, Workings_risks!$E$13-SUM(Workings_costs!$E16:H16)-SUM(Workings_costs!$D24:I24)),0),5)</f>
        <v>17</v>
      </c>
      <c r="J16" s="333">
        <f>ROUND(MAX(MIN($D16, Workings_risks!$E$13-SUM(Workings_costs!$E16:I16)-SUM(Workings_costs!$D24:J24)),0),5)</f>
        <v>17</v>
      </c>
      <c r="K16" s="333">
        <f>ROUND(MAX(MIN($D16, Workings_risks!$E$13-SUM(Workings_costs!$E16:J16)-SUM(Workings_costs!$D24:K24)),0),5)</f>
        <v>17</v>
      </c>
      <c r="L16" s="333">
        <f>ROUND(MAX(MIN($D16, Workings_risks!$E$13-SUM(Workings_costs!$E16:K16)-SUM(Workings_costs!$D24:L24)),0),5)</f>
        <v>17</v>
      </c>
      <c r="M16" s="333">
        <f>ROUND(MAX(MIN($D16, Workings_risks!$E$13-SUM(Workings_costs!$E16:L16)-SUM(Workings_costs!$D24:M24)),0),5)</f>
        <v>17</v>
      </c>
      <c r="N16" s="333">
        <f>ROUND(MAX(MIN($D16, Workings_risks!$E$13-SUM(Workings_costs!$E16:M16)-SUM(Workings_costs!$D24:N24)),0),5)</f>
        <v>17</v>
      </c>
      <c r="O16" s="333">
        <f>ROUND(MAX(MIN($D16, Workings_risks!$E$13-SUM(Workings_costs!$E16:N16)-SUM(Workings_costs!$D24:O24)),0),5)</f>
        <v>17</v>
      </c>
      <c r="P16" s="333">
        <f>ROUND(MAX(MIN($D16, Workings_risks!$E$13-SUM(Workings_costs!$E16:O16)-SUM(Workings_costs!$D24:P24)),0),5)</f>
        <v>1.98</v>
      </c>
      <c r="Q16" s="333">
        <f>ROUND(MAX(MIN($D16, Workings_risks!$E$13-SUM(Workings_costs!$E16:P16)-SUM(Workings_costs!$D24:Q24)),0),5)</f>
        <v>0</v>
      </c>
      <c r="R16" s="333">
        <f>ROUND(MAX(MIN($D16, Workings_risks!$E$13-SUM(Workings_costs!$E16:Q16)-SUM(Workings_costs!$D24:R24)),0),5)</f>
        <v>0</v>
      </c>
      <c r="S16" s="333">
        <f>ROUND(MAX(MIN($D16, Workings_risks!$E$13-SUM(Workings_costs!$E16:R16)-SUM(Workings_costs!$D24:S24)),0),5)</f>
        <v>0</v>
      </c>
      <c r="T16" s="333">
        <f>ROUND(MAX(MIN($D16, Workings_risks!$E$13-SUM(Workings_costs!$E16:S16)-SUM(Workings_costs!$D24:T24)),0),5)</f>
        <v>0</v>
      </c>
      <c r="U16" s="333">
        <f>ROUND(MAX(MIN($D16, Workings_risks!$E$13-SUM(Workings_costs!$E16:T16)-SUM(Workings_costs!$D24:U24)),0),5)</f>
        <v>0</v>
      </c>
      <c r="V16" s="333">
        <f>ROUND(MAX(MIN($D16, Workings_risks!$E$13-SUM(Workings_costs!$E16:U16)-SUM(Workings_costs!$D24:V24)),0),5)</f>
        <v>0</v>
      </c>
      <c r="W16" s="333">
        <f>ROUND(MAX(MIN($D16, Workings_risks!$E$13-SUM(Workings_costs!$E16:V16)-SUM(Workings_costs!$D24:W24)),0),5)</f>
        <v>0</v>
      </c>
      <c r="X16" s="333">
        <f>ROUND(MAX(MIN($D16, Workings_risks!$E$13-SUM(Workings_costs!$E16:W16)-SUM(Workings_costs!$D24:X24)),0),5)</f>
        <v>0</v>
      </c>
      <c r="Y16" s="333">
        <f>ROUND(MAX(MIN($D16, Workings_risks!$E$13-SUM(Workings_costs!$E16:X16)-SUM(Workings_costs!$D24:Y24)),0),5)</f>
        <v>0</v>
      </c>
      <c r="Z16" s="333">
        <f>ROUND(MAX(MIN($D16, Workings_risks!$E$13-SUM(Workings_costs!$E16:Y16)-SUM(Workings_costs!$D24:Z24)),0),5)</f>
        <v>0</v>
      </c>
      <c r="AA16" s="333">
        <f>ROUND(MAX(MIN($D16, Workings_risks!$E$13-SUM(Workings_costs!$E16:Z16)-SUM(Workings_costs!$D24:AA24)),0),5)</f>
        <v>0</v>
      </c>
      <c r="AB16" s="333">
        <f>ROUND(MAX(MIN($D16, Workings_risks!$E$13-SUM(Workings_costs!$E16:AA16)-SUM(Workings_costs!$D24:AB24)),0),5)</f>
        <v>0</v>
      </c>
      <c r="AC16" s="333">
        <f>ROUND(MAX(MIN($D16, Workings_risks!$E$13-SUM(Workings_costs!$E16:AB16)-SUM(Workings_costs!$D24:AC24)),0),5)</f>
        <v>0</v>
      </c>
      <c r="AD16" s="333">
        <f>ROUND(MAX(MIN($D16, Workings_risks!$E$13-SUM(Workings_costs!$E16:AC16)-SUM(Workings_costs!$D24:AD24)),0),5)</f>
        <v>0</v>
      </c>
      <c r="AE16" s="333">
        <f>ROUND(MAX(MIN($D16, Workings_risks!$E$13-SUM(Workings_costs!$E16:AD16)-SUM(Workings_costs!$D24:AE24)),0),5)</f>
        <v>0</v>
      </c>
    </row>
    <row r="17" spans="3:31" x14ac:dyDescent="0.2">
      <c r="C17" s="1" t="s">
        <v>153</v>
      </c>
      <c r="D17" s="326">
        <v>17</v>
      </c>
      <c r="G17" s="333">
        <f>ROUND(MAX(MIN($D17, Workings_risks!$E$13-SUM(Workings_costs!$E17:F17)-SUM(Workings_costs!$D25:G25)),0),5)</f>
        <v>17</v>
      </c>
      <c r="H17" s="333">
        <f>ROUND(MAX(MIN($D17, Workings_risks!$E$13-SUM(Workings_costs!$E17:G17)-SUM(Workings_costs!$D25:H25)),0),5)</f>
        <v>17</v>
      </c>
      <c r="I17" s="333">
        <f>ROUND(MAX(MIN($D17, Workings_risks!$E$13-SUM(Workings_costs!$E17:H17)-SUM(Workings_costs!$D25:I25)),0),5)</f>
        <v>17</v>
      </c>
      <c r="J17" s="333">
        <f>ROUND(MAX(MIN($D17, Workings_risks!$E$13-SUM(Workings_costs!$E17:I17)-SUM(Workings_costs!$D25:J25)),0),5)</f>
        <v>17</v>
      </c>
      <c r="K17" s="333">
        <f>ROUND(MAX(MIN($D17, Workings_risks!$E$13-SUM(Workings_costs!$E17:J17)-SUM(Workings_costs!$D25:K25)),0),5)</f>
        <v>17</v>
      </c>
      <c r="L17" s="333">
        <f>ROUND(MAX(MIN($D17, Workings_risks!$E$13-SUM(Workings_costs!$E17:K17)-SUM(Workings_costs!$D25:L25)),0),5)</f>
        <v>17</v>
      </c>
      <c r="M17" s="333">
        <f>ROUND(MAX(MIN($D17, Workings_risks!$E$13-SUM(Workings_costs!$E17:L17)-SUM(Workings_costs!$D25:M25)),0),5)</f>
        <v>17</v>
      </c>
      <c r="N17" s="333">
        <f>ROUND(MAX(MIN($D17, Workings_risks!$E$13-SUM(Workings_costs!$E17:M17)-SUM(Workings_costs!$D25:N25)),0),5)</f>
        <v>17</v>
      </c>
      <c r="O17" s="333">
        <f>ROUND(MAX(MIN($D17, Workings_risks!$E$13-SUM(Workings_costs!$E17:N17)-SUM(Workings_costs!$D25:O25)),0),5)</f>
        <v>11.97</v>
      </c>
      <c r="P17" s="333">
        <f>ROUND(MAX(MIN($D17, Workings_risks!$E$13-SUM(Workings_costs!$E17:O17)-SUM(Workings_costs!$D25:P25)),0),5)</f>
        <v>0</v>
      </c>
      <c r="Q17" s="333">
        <f>ROUND(MAX(MIN($D17, Workings_risks!$E$13-SUM(Workings_costs!$E17:P17)-SUM(Workings_costs!$D25:Q25)),0),5)</f>
        <v>0</v>
      </c>
      <c r="R17" s="333">
        <f>ROUND(MAX(MIN($D17, Workings_risks!$E$13-SUM(Workings_costs!$E17:Q17)-SUM(Workings_costs!$D25:R25)),0),5)</f>
        <v>0</v>
      </c>
      <c r="S17" s="333">
        <f>ROUND(MAX(MIN($D17, Workings_risks!$E$13-SUM(Workings_costs!$E17:R17)-SUM(Workings_costs!$D25:S25)),0),5)</f>
        <v>0</v>
      </c>
      <c r="T17" s="333">
        <f>ROUND(MAX(MIN($D17, Workings_risks!$E$13-SUM(Workings_costs!$E17:S17)-SUM(Workings_costs!$D25:T25)),0),5)</f>
        <v>0</v>
      </c>
      <c r="U17" s="333">
        <f>ROUND(MAX(MIN($D17, Workings_risks!$E$13-SUM(Workings_costs!$E17:T17)-SUM(Workings_costs!$D25:U25)),0),5)</f>
        <v>0</v>
      </c>
      <c r="V17" s="333">
        <f>ROUND(MAX(MIN($D17, Workings_risks!$E$13-SUM(Workings_costs!$E17:U17)-SUM(Workings_costs!$D25:V25)),0),5)</f>
        <v>0</v>
      </c>
      <c r="W17" s="333">
        <f>ROUND(MAX(MIN($D17, Workings_risks!$E$13-SUM(Workings_costs!$E17:V17)-SUM(Workings_costs!$D25:W25)),0),5)</f>
        <v>0</v>
      </c>
      <c r="X17" s="333">
        <f>ROUND(MAX(MIN($D17, Workings_risks!$E$13-SUM(Workings_costs!$E17:W17)-SUM(Workings_costs!$D25:X25)),0),5)</f>
        <v>0</v>
      </c>
      <c r="Y17" s="333">
        <f>ROUND(MAX(MIN($D17, Workings_risks!$E$13-SUM(Workings_costs!$E17:X17)-SUM(Workings_costs!$D25:Y25)),0),5)</f>
        <v>0</v>
      </c>
      <c r="Z17" s="333">
        <f>ROUND(MAX(MIN($D17, Workings_risks!$E$13-SUM(Workings_costs!$E17:Y17)-SUM(Workings_costs!$D25:Z25)),0),5)</f>
        <v>0</v>
      </c>
      <c r="AA17" s="333">
        <f>ROUND(MAX(MIN($D17, Workings_risks!$E$13-SUM(Workings_costs!$E17:Z17)-SUM(Workings_costs!$D25:AA25)),0),5)</f>
        <v>0</v>
      </c>
      <c r="AB17" s="333">
        <f>ROUND(MAX(MIN($D17, Workings_risks!$E$13-SUM(Workings_costs!$E17:AA17)-SUM(Workings_costs!$D25:AB25)),0),5)</f>
        <v>0</v>
      </c>
      <c r="AC17" s="333">
        <f>ROUND(MAX(MIN($D17, Workings_risks!$E$13-SUM(Workings_costs!$E17:AB17)-SUM(Workings_costs!$D25:AC25)),0),5)</f>
        <v>0</v>
      </c>
      <c r="AD17" s="333">
        <f>ROUND(MAX(MIN($D17, Workings_risks!$E$13-SUM(Workings_costs!$E17:AC17)-SUM(Workings_costs!$D25:AD25)),0),5)</f>
        <v>0</v>
      </c>
      <c r="AE17" s="333">
        <f>ROUND(MAX(MIN($D17, Workings_risks!$E$13-SUM(Workings_costs!$E17:AD17)-SUM(Workings_costs!$D25:AE25)),0),5)</f>
        <v>0</v>
      </c>
    </row>
    <row r="20" spans="3:31" x14ac:dyDescent="0.2">
      <c r="C20" s="1" t="s">
        <v>265</v>
      </c>
      <c r="D20" s="1" t="s">
        <v>264</v>
      </c>
    </row>
    <row r="21" spans="3:31" x14ac:dyDescent="0.2">
      <c r="C21" s="1" t="s">
        <v>144</v>
      </c>
      <c r="D21" s="335">
        <v>0.03</v>
      </c>
      <c r="F21" s="255"/>
      <c r="G21" s="333">
        <f>ROUND($D21*(G31),0)</f>
        <v>5</v>
      </c>
      <c r="H21" s="333">
        <f t="shared" ref="H21:AE21" si="0">ROUND($D21*(H31),0)</f>
        <v>5</v>
      </c>
      <c r="I21" s="333">
        <f t="shared" si="0"/>
        <v>5</v>
      </c>
      <c r="J21" s="333">
        <f t="shared" si="0"/>
        <v>5</v>
      </c>
      <c r="K21" s="333">
        <f t="shared" si="0"/>
        <v>5</v>
      </c>
      <c r="L21" s="333">
        <f t="shared" si="0"/>
        <v>4</v>
      </c>
      <c r="M21" s="333">
        <f t="shared" si="0"/>
        <v>4</v>
      </c>
      <c r="N21" s="333">
        <f t="shared" si="0"/>
        <v>4</v>
      </c>
      <c r="O21" s="333">
        <f t="shared" si="0"/>
        <v>4</v>
      </c>
      <c r="P21" s="333">
        <f t="shared" si="0"/>
        <v>4</v>
      </c>
      <c r="Q21" s="333">
        <f t="shared" si="0"/>
        <v>4</v>
      </c>
      <c r="R21" s="333">
        <f t="shared" si="0"/>
        <v>4</v>
      </c>
      <c r="S21" s="333">
        <f t="shared" si="0"/>
        <v>4</v>
      </c>
      <c r="T21" s="333">
        <f t="shared" si="0"/>
        <v>3</v>
      </c>
      <c r="U21" s="333">
        <f t="shared" si="0"/>
        <v>3</v>
      </c>
      <c r="V21" s="333">
        <f t="shared" si="0"/>
        <v>3</v>
      </c>
      <c r="W21" s="333">
        <f t="shared" si="0"/>
        <v>3</v>
      </c>
      <c r="X21" s="333">
        <f t="shared" si="0"/>
        <v>3</v>
      </c>
      <c r="Y21" s="333">
        <f t="shared" si="0"/>
        <v>3</v>
      </c>
      <c r="Z21" s="333">
        <f t="shared" si="0"/>
        <v>3</v>
      </c>
      <c r="AA21" s="333">
        <f t="shared" si="0"/>
        <v>3</v>
      </c>
      <c r="AB21" s="333">
        <f t="shared" si="0"/>
        <v>3</v>
      </c>
      <c r="AC21" s="333">
        <f t="shared" si="0"/>
        <v>3</v>
      </c>
      <c r="AD21" s="333">
        <f t="shared" si="0"/>
        <v>3</v>
      </c>
      <c r="AE21" s="333">
        <f t="shared" si="0"/>
        <v>2</v>
      </c>
    </row>
    <row r="22" spans="3:31" x14ac:dyDescent="0.2">
      <c r="C22" s="1" t="s">
        <v>131</v>
      </c>
      <c r="D22" s="335">
        <v>0.02</v>
      </c>
      <c r="F22" s="255"/>
      <c r="G22" s="333">
        <f>ROUND($D22*(G32),0)</f>
        <v>3</v>
      </c>
      <c r="H22" s="333">
        <f t="shared" ref="H22:AE22" si="1">ROUND($D22*(H32),0)</f>
        <v>3</v>
      </c>
      <c r="I22" s="333">
        <f t="shared" si="1"/>
        <v>2</v>
      </c>
      <c r="J22" s="333">
        <f t="shared" si="1"/>
        <v>2</v>
      </c>
      <c r="K22" s="333">
        <f t="shared" si="1"/>
        <v>1</v>
      </c>
      <c r="L22" s="333">
        <f t="shared" si="1"/>
        <v>1</v>
      </c>
      <c r="M22" s="333">
        <f t="shared" si="1"/>
        <v>0</v>
      </c>
      <c r="N22" s="333">
        <f t="shared" si="1"/>
        <v>0</v>
      </c>
      <c r="O22" s="333">
        <f t="shared" si="1"/>
        <v>0</v>
      </c>
      <c r="P22" s="333">
        <f t="shared" si="1"/>
        <v>0</v>
      </c>
      <c r="Q22" s="333">
        <f t="shared" si="1"/>
        <v>0</v>
      </c>
      <c r="R22" s="333">
        <f t="shared" si="1"/>
        <v>0</v>
      </c>
      <c r="S22" s="333">
        <f t="shared" si="1"/>
        <v>0</v>
      </c>
      <c r="T22" s="333">
        <f t="shared" si="1"/>
        <v>0</v>
      </c>
      <c r="U22" s="333">
        <f t="shared" si="1"/>
        <v>0</v>
      </c>
      <c r="V22" s="333">
        <f t="shared" si="1"/>
        <v>0</v>
      </c>
      <c r="W22" s="333">
        <f t="shared" si="1"/>
        <v>0</v>
      </c>
      <c r="X22" s="333">
        <f t="shared" si="1"/>
        <v>0</v>
      </c>
      <c r="Y22" s="333">
        <f t="shared" si="1"/>
        <v>0</v>
      </c>
      <c r="Z22" s="333">
        <f t="shared" si="1"/>
        <v>0</v>
      </c>
      <c r="AA22" s="333">
        <f t="shared" si="1"/>
        <v>0</v>
      </c>
      <c r="AB22" s="333">
        <f t="shared" si="1"/>
        <v>0</v>
      </c>
      <c r="AC22" s="333">
        <f t="shared" si="1"/>
        <v>0</v>
      </c>
      <c r="AD22" s="333">
        <f t="shared" si="1"/>
        <v>0</v>
      </c>
      <c r="AE22" s="333">
        <f t="shared" si="1"/>
        <v>0</v>
      </c>
    </row>
    <row r="23" spans="3:31" x14ac:dyDescent="0.2">
      <c r="C23" s="1" t="s">
        <v>132</v>
      </c>
      <c r="D23" s="335">
        <v>0.03</v>
      </c>
      <c r="F23" s="255"/>
      <c r="G23" s="333">
        <f>ROUND($D23*(G33),0)</f>
        <v>5</v>
      </c>
      <c r="H23" s="333">
        <f t="shared" ref="H23:AE23" si="2">ROUND($D23*(H33),0)</f>
        <v>4</v>
      </c>
      <c r="I23" s="333">
        <f t="shared" si="2"/>
        <v>3</v>
      </c>
      <c r="J23" s="333">
        <f t="shared" si="2"/>
        <v>3</v>
      </c>
      <c r="K23" s="333">
        <f t="shared" si="2"/>
        <v>2</v>
      </c>
      <c r="L23" s="333">
        <f t="shared" si="2"/>
        <v>1</v>
      </c>
      <c r="M23" s="333">
        <f t="shared" si="2"/>
        <v>0</v>
      </c>
      <c r="N23" s="333">
        <f t="shared" si="2"/>
        <v>0</v>
      </c>
      <c r="O23" s="333">
        <f t="shared" si="2"/>
        <v>0</v>
      </c>
      <c r="P23" s="333">
        <f t="shared" si="2"/>
        <v>0</v>
      </c>
      <c r="Q23" s="333">
        <f t="shared" si="2"/>
        <v>0</v>
      </c>
      <c r="R23" s="333">
        <f t="shared" si="2"/>
        <v>0</v>
      </c>
      <c r="S23" s="333">
        <f t="shared" si="2"/>
        <v>0</v>
      </c>
      <c r="T23" s="333">
        <f t="shared" si="2"/>
        <v>0</v>
      </c>
      <c r="U23" s="333">
        <f t="shared" si="2"/>
        <v>0</v>
      </c>
      <c r="V23" s="333">
        <f t="shared" si="2"/>
        <v>0</v>
      </c>
      <c r="W23" s="333">
        <f t="shared" si="2"/>
        <v>0</v>
      </c>
      <c r="X23" s="333">
        <f t="shared" si="2"/>
        <v>0</v>
      </c>
      <c r="Y23" s="333">
        <f t="shared" si="2"/>
        <v>0</v>
      </c>
      <c r="Z23" s="333">
        <f t="shared" si="2"/>
        <v>0</v>
      </c>
      <c r="AA23" s="333">
        <f t="shared" si="2"/>
        <v>0</v>
      </c>
      <c r="AB23" s="333">
        <f t="shared" si="2"/>
        <v>0</v>
      </c>
      <c r="AC23" s="333">
        <f t="shared" si="2"/>
        <v>0</v>
      </c>
      <c r="AD23" s="333">
        <f t="shared" si="2"/>
        <v>0</v>
      </c>
      <c r="AE23" s="333">
        <f t="shared" si="2"/>
        <v>0</v>
      </c>
    </row>
    <row r="24" spans="3:31" x14ac:dyDescent="0.2">
      <c r="C24" s="1" t="s">
        <v>133</v>
      </c>
      <c r="D24" s="335">
        <v>0.02</v>
      </c>
      <c r="F24" s="255"/>
      <c r="G24" s="333">
        <f>ROUND($D24*(G34),0)</f>
        <v>3</v>
      </c>
      <c r="H24" s="333">
        <f t="shared" ref="H24:AE24" si="3">ROUND($D24*(H34),0)</f>
        <v>3</v>
      </c>
      <c r="I24" s="333">
        <f t="shared" si="3"/>
        <v>3</v>
      </c>
      <c r="J24" s="333">
        <f t="shared" si="3"/>
        <v>2</v>
      </c>
      <c r="K24" s="333">
        <f t="shared" si="3"/>
        <v>2</v>
      </c>
      <c r="L24" s="333">
        <f t="shared" si="3"/>
        <v>1</v>
      </c>
      <c r="M24" s="333">
        <f t="shared" si="3"/>
        <v>1</v>
      </c>
      <c r="N24" s="333">
        <f t="shared" si="3"/>
        <v>1</v>
      </c>
      <c r="O24" s="333">
        <f t="shared" si="3"/>
        <v>0</v>
      </c>
      <c r="P24" s="333">
        <f t="shared" si="3"/>
        <v>0</v>
      </c>
      <c r="Q24" s="333">
        <f t="shared" si="3"/>
        <v>0</v>
      </c>
      <c r="R24" s="333">
        <f t="shared" si="3"/>
        <v>0</v>
      </c>
      <c r="S24" s="333">
        <f t="shared" si="3"/>
        <v>0</v>
      </c>
      <c r="T24" s="333">
        <f t="shared" si="3"/>
        <v>0</v>
      </c>
      <c r="U24" s="333">
        <f t="shared" si="3"/>
        <v>0</v>
      </c>
      <c r="V24" s="333">
        <f t="shared" si="3"/>
        <v>0</v>
      </c>
      <c r="W24" s="333">
        <f t="shared" si="3"/>
        <v>0</v>
      </c>
      <c r="X24" s="333">
        <f t="shared" si="3"/>
        <v>0</v>
      </c>
      <c r="Y24" s="333">
        <f t="shared" si="3"/>
        <v>0</v>
      </c>
      <c r="Z24" s="333">
        <f t="shared" si="3"/>
        <v>0</v>
      </c>
      <c r="AA24" s="333">
        <f t="shared" si="3"/>
        <v>0</v>
      </c>
      <c r="AB24" s="333">
        <f t="shared" si="3"/>
        <v>0</v>
      </c>
      <c r="AC24" s="333">
        <f t="shared" si="3"/>
        <v>0</v>
      </c>
      <c r="AD24" s="333">
        <f t="shared" si="3"/>
        <v>0</v>
      </c>
      <c r="AE24" s="333">
        <f t="shared" si="3"/>
        <v>0</v>
      </c>
    </row>
    <row r="25" spans="3:31" x14ac:dyDescent="0.2">
      <c r="C25" s="1" t="s">
        <v>153</v>
      </c>
      <c r="D25" s="335">
        <v>0.03</v>
      </c>
      <c r="F25" s="255"/>
      <c r="G25" s="333">
        <f>ROUND($D25*(G35),0)</f>
        <v>5</v>
      </c>
      <c r="H25" s="333">
        <f t="shared" ref="H25:O25" si="4">ROUND($D25*(H35),0)</f>
        <v>4</v>
      </c>
      <c r="I25" s="333">
        <f t="shared" si="4"/>
        <v>4</v>
      </c>
      <c r="J25" s="333">
        <f t="shared" si="4"/>
        <v>3</v>
      </c>
      <c r="K25" s="333">
        <f t="shared" si="4"/>
        <v>3</v>
      </c>
      <c r="L25" s="333">
        <f t="shared" si="4"/>
        <v>2</v>
      </c>
      <c r="M25" s="333">
        <f t="shared" si="4"/>
        <v>1</v>
      </c>
      <c r="N25" s="333">
        <f t="shared" si="4"/>
        <v>1</v>
      </c>
      <c r="O25" s="333">
        <f t="shared" si="4"/>
        <v>0</v>
      </c>
      <c r="P25" s="333">
        <f t="shared" ref="P25:AE25" si="5">ROUND($D25*(P35),0)</f>
        <v>0</v>
      </c>
      <c r="Q25" s="333">
        <f t="shared" si="5"/>
        <v>0</v>
      </c>
      <c r="R25" s="333">
        <f t="shared" si="5"/>
        <v>0</v>
      </c>
      <c r="S25" s="333">
        <f t="shared" si="5"/>
        <v>0</v>
      </c>
      <c r="T25" s="333">
        <f t="shared" si="5"/>
        <v>0</v>
      </c>
      <c r="U25" s="333">
        <f t="shared" si="5"/>
        <v>0</v>
      </c>
      <c r="V25" s="333">
        <f t="shared" si="5"/>
        <v>0</v>
      </c>
      <c r="W25" s="333">
        <f t="shared" si="5"/>
        <v>0</v>
      </c>
      <c r="X25" s="333">
        <f t="shared" si="5"/>
        <v>0</v>
      </c>
      <c r="Y25" s="333">
        <f t="shared" si="5"/>
        <v>0</v>
      </c>
      <c r="Z25" s="333">
        <f t="shared" si="5"/>
        <v>0</v>
      </c>
      <c r="AA25" s="333">
        <f t="shared" si="5"/>
        <v>0</v>
      </c>
      <c r="AB25" s="333">
        <f t="shared" si="5"/>
        <v>0</v>
      </c>
      <c r="AC25" s="333">
        <f t="shared" si="5"/>
        <v>0</v>
      </c>
      <c r="AD25" s="333">
        <f t="shared" si="5"/>
        <v>0</v>
      </c>
      <c r="AE25" s="333">
        <f t="shared" si="5"/>
        <v>0</v>
      </c>
    </row>
    <row r="30" spans="3:31" x14ac:dyDescent="0.2">
      <c r="C30" s="3" t="s">
        <v>261</v>
      </c>
    </row>
    <row r="31" spans="3:31" x14ac:dyDescent="0.2">
      <c r="C31" s="1" t="str">
        <f>C13</f>
        <v>Option 1 (base case)</v>
      </c>
      <c r="G31" s="336">
        <f>IF(G$12=start, Workings_risks!$E$13,MAX(F31-F13-F21,0))</f>
        <v>171</v>
      </c>
      <c r="H31" s="336">
        <f>IF(H$12=start, Workings_risks!$E$13,MAX(G31-G13-G21,0))</f>
        <v>166</v>
      </c>
      <c r="I31" s="336">
        <f>IF(I$12=start, Workings_risks!$E$13,MAX(H31-H13-H21,0))</f>
        <v>161</v>
      </c>
      <c r="J31" s="336">
        <f>IF(J$12=start, Workings_risks!$E$13,MAX(I31-I13-I21,0))</f>
        <v>156</v>
      </c>
      <c r="K31" s="336">
        <f>IF(K$12=start, Workings_risks!$E$13,MAX(J31-J13-J21,0))</f>
        <v>151</v>
      </c>
      <c r="L31" s="336">
        <f>IF(L$12=start, Workings_risks!$E$13,MAX(K31-K13-K21,0))</f>
        <v>146</v>
      </c>
      <c r="M31" s="336">
        <f>IF(M$12=start, Workings_risks!$E$13,MAX(L31-L13-L21,0))</f>
        <v>142</v>
      </c>
      <c r="N31" s="336">
        <f>IF(N$12=start, Workings_risks!$E$13,MAX(M31-M13-M21,0))</f>
        <v>138</v>
      </c>
      <c r="O31" s="336">
        <f>IF(O$12=start, Workings_risks!$E$13,MAX(N31-N13-N21,0))</f>
        <v>134</v>
      </c>
      <c r="P31" s="336">
        <f>IF(P$12=start, Workings_risks!$E$13,MAX(O31-O13-O21,0))</f>
        <v>130</v>
      </c>
      <c r="Q31" s="336">
        <f>IF(Q$12=start, Workings_risks!$E$13,MAX(P31-P13-P21,0))</f>
        <v>126</v>
      </c>
      <c r="R31" s="336">
        <f>IF(R$12=start, Workings_risks!$E$13,MAX(Q31-Q13-Q21,0))</f>
        <v>122</v>
      </c>
      <c r="S31" s="336">
        <f>IF(S$12=start, Workings_risks!$E$13,MAX(R31-R13-R21,0))</f>
        <v>118</v>
      </c>
      <c r="T31" s="336">
        <f>IF(T$12=start, Workings_risks!$E$13,MAX(S31-S13-S21,0))</f>
        <v>114</v>
      </c>
      <c r="U31" s="336">
        <f>IF(U$12=start, Workings_risks!$E$13,MAX(T31-T13-T21,0))</f>
        <v>111</v>
      </c>
      <c r="V31" s="336">
        <f>IF(V$12=start, Workings_risks!$E$13,MAX(U31-U13-U21,0))</f>
        <v>108</v>
      </c>
      <c r="W31" s="336">
        <f>IF(W$12=start, Workings_risks!$E$13,MAX(V31-V13-V21,0))</f>
        <v>105</v>
      </c>
      <c r="X31" s="336">
        <f>IF(X$12=start, Workings_risks!$E$13,MAX(W31-W13-W21,0))</f>
        <v>102</v>
      </c>
      <c r="Y31" s="336">
        <f>IF(Y$12=start, Workings_risks!$E$13,MAX(X31-X13-X21,0))</f>
        <v>99</v>
      </c>
      <c r="Z31" s="336">
        <f>IF(Z$12=start, Workings_risks!$E$13,MAX(Y31-Y13-Y21,0))</f>
        <v>96</v>
      </c>
      <c r="AA31" s="336">
        <f>IF(AA$12=start, Workings_risks!$E$13,MAX(Z31-Z13-Z21,0))</f>
        <v>93</v>
      </c>
      <c r="AB31" s="336">
        <f>IF(AB$12=start, Workings_risks!$E$13,MAX(AA31-AA13-AA21,0))</f>
        <v>90</v>
      </c>
      <c r="AC31" s="336">
        <f>IF(AC$12=start, Workings_risks!$E$13,MAX(AB31-AB13-AB21,0))</f>
        <v>87</v>
      </c>
      <c r="AD31" s="336">
        <f>IF(AD$12=start, Workings_risks!$E$13,MAX(AC31-AC13-AC21,0))</f>
        <v>84</v>
      </c>
      <c r="AE31" s="336">
        <f>IF(AE$12=start, Workings_risks!$E$13,MAX(AD31-AD13-AD21,0))</f>
        <v>81</v>
      </c>
    </row>
    <row r="32" spans="3:31" x14ac:dyDescent="0.2">
      <c r="C32" s="1" t="str">
        <f>C14</f>
        <v>Option 2</v>
      </c>
      <c r="G32" s="336">
        <f>IF(G$12=start, Workings_risks!$E$13,MAX(F32-F14-F22,0))</f>
        <v>171</v>
      </c>
      <c r="H32" s="336">
        <f>IF(H$12=start, Workings_risks!$E$13,MAX(G32-G14-G22,0))</f>
        <v>144</v>
      </c>
      <c r="I32" s="336">
        <f>IF(I$12=start, Workings_risks!$E$13,MAX(H32-H14-H22,0))</f>
        <v>117</v>
      </c>
      <c r="J32" s="336">
        <f>IF(J$12=start, Workings_risks!$E$13,MAX(I32-I14-I22,0))</f>
        <v>91</v>
      </c>
      <c r="K32" s="336">
        <f>IF(K$12=start, Workings_risks!$E$13,MAX(J32-J14-J22,0))</f>
        <v>65</v>
      </c>
      <c r="L32" s="336">
        <f>IF(L$12=start, Workings_risks!$E$13,MAX(K32-K14-K22,0))</f>
        <v>40</v>
      </c>
      <c r="M32" s="336">
        <f>IF(M$12=start, Workings_risks!$E$13,MAX(L32-L14-L22,0))</f>
        <v>15</v>
      </c>
      <c r="N32" s="336">
        <f>IF(N$12=start, Workings_risks!$E$13,MAX(M32-M14-M22,0))</f>
        <v>1.9999999999999574E-2</v>
      </c>
      <c r="O32" s="336">
        <f>IF(O$12=start, Workings_risks!$E$13,MAX(N32-N14-N22,0))</f>
        <v>1.9999999999999574E-2</v>
      </c>
      <c r="P32" s="336">
        <f>IF(P$12=start, Workings_risks!$E$13,MAX(O32-O14-O22,0))</f>
        <v>1.9999999999999574E-2</v>
      </c>
      <c r="Q32" s="336">
        <f>IF(Q$12=start, Workings_risks!$E$13,MAX(P32-P14-P22,0))</f>
        <v>1.9999999999999574E-2</v>
      </c>
      <c r="R32" s="336">
        <f>IF(R$12=start, Workings_risks!$E$13,MAX(Q32-Q14-Q22,0))</f>
        <v>1.9999999999999574E-2</v>
      </c>
      <c r="S32" s="336">
        <f>IF(S$12=start, Workings_risks!$E$13,MAX(R32-R14-R22,0))</f>
        <v>1.9999999999999574E-2</v>
      </c>
      <c r="T32" s="336">
        <f>IF(T$12=start, Workings_risks!$E$13,MAX(S32-S14-S22,0))</f>
        <v>1.9999999999999574E-2</v>
      </c>
      <c r="U32" s="336">
        <f>IF(U$12=start, Workings_risks!$E$13,MAX(T32-T14-T22,0))</f>
        <v>1.9999999999999574E-2</v>
      </c>
      <c r="V32" s="336">
        <f>IF(V$12=start, Workings_risks!$E$13,MAX(U32-U14-U22,0))</f>
        <v>1.9999999999999574E-2</v>
      </c>
      <c r="W32" s="336">
        <f>IF(W$12=start, Workings_risks!$E$13,MAX(V32-V14-V22,0))</f>
        <v>1.9999999999999574E-2</v>
      </c>
      <c r="X32" s="336">
        <f>IF(X$12=start, Workings_risks!$E$13,MAX(W32-W14-W22,0))</f>
        <v>1.9999999999999574E-2</v>
      </c>
      <c r="Y32" s="336">
        <f>IF(Y$12=start, Workings_risks!$E$13,MAX(X32-X14-X22,0))</f>
        <v>1.9999999999999574E-2</v>
      </c>
      <c r="Z32" s="336">
        <f>IF(Z$12=start, Workings_risks!$E$13,MAX(Y32-Y14-Y22,0))</f>
        <v>1.9999999999999574E-2</v>
      </c>
      <c r="AA32" s="336">
        <f>IF(AA$12=start, Workings_risks!$E$13,MAX(Z32-Z14-Z22,0))</f>
        <v>1.9999999999999574E-2</v>
      </c>
      <c r="AB32" s="336">
        <f>IF(AB$12=start, Workings_risks!$E$13,MAX(AA32-AA14-AA22,0))</f>
        <v>1.9999999999999574E-2</v>
      </c>
      <c r="AC32" s="336">
        <f>IF(AC$12=start, Workings_risks!$E$13,MAX(AB32-AB14-AB22,0))</f>
        <v>1.9999999999999574E-2</v>
      </c>
      <c r="AD32" s="336">
        <f>IF(AD$12=start, Workings_risks!$E$13,MAX(AC32-AC14-AC22,0))</f>
        <v>1.9999999999999574E-2</v>
      </c>
      <c r="AE32" s="336">
        <f>IF(AE$12=start, Workings_risks!$E$13,MAX(AD32-AD14-AD22,0))</f>
        <v>1.9999999999999574E-2</v>
      </c>
    </row>
    <row r="33" spans="3:31" x14ac:dyDescent="0.2">
      <c r="C33" s="1" t="str">
        <f>C15</f>
        <v>Option 3</v>
      </c>
      <c r="G33" s="336">
        <f>IF(G$12=start, Workings_risks!$E$13,MAX(F33-F15-F23,0))</f>
        <v>171</v>
      </c>
      <c r="H33" s="336">
        <f>IF(H$12=start, Workings_risks!$E$13,MAX(G33-G15-G23,0))</f>
        <v>142</v>
      </c>
      <c r="I33" s="336">
        <f>IF(I$12=start, Workings_risks!$E$13,MAX(H33-H15-H23,0))</f>
        <v>114</v>
      </c>
      <c r="J33" s="336">
        <f>IF(J$12=start, Workings_risks!$E$13,MAX(I33-I15-I23,0))</f>
        <v>87</v>
      </c>
      <c r="K33" s="336">
        <f>IF(K$12=start, Workings_risks!$E$13,MAX(J33-J15-J23,0))</f>
        <v>60</v>
      </c>
      <c r="L33" s="336">
        <f>IF(L$12=start, Workings_risks!$E$13,MAX(K33-K15-K23,0))</f>
        <v>34</v>
      </c>
      <c r="M33" s="336">
        <f>IF(M$12=start, Workings_risks!$E$13,MAX(L33-L15-L23,0))</f>
        <v>9</v>
      </c>
      <c r="N33" s="336">
        <f>IF(N$12=start, Workings_risks!$E$13,MAX(M33-M15-M23,0))</f>
        <v>2.9999999999999361E-2</v>
      </c>
      <c r="O33" s="336">
        <f>IF(O$12=start, Workings_risks!$E$13,MAX(N33-N15-N23,0))</f>
        <v>2.9999999999999361E-2</v>
      </c>
      <c r="P33" s="336">
        <f>IF(P$12=start, Workings_risks!$E$13,MAX(O33-O15-O23,0))</f>
        <v>2.9999999999999361E-2</v>
      </c>
      <c r="Q33" s="336">
        <f>IF(Q$12=start, Workings_risks!$E$13,MAX(P33-P15-P23,0))</f>
        <v>2.9999999999999361E-2</v>
      </c>
      <c r="R33" s="336">
        <f>IF(R$12=start, Workings_risks!$E$13,MAX(Q33-Q15-Q23,0))</f>
        <v>2.9999999999999361E-2</v>
      </c>
      <c r="S33" s="336">
        <f>IF(S$12=start, Workings_risks!$E$13,MAX(R33-R15-R23,0))</f>
        <v>2.9999999999999361E-2</v>
      </c>
      <c r="T33" s="336">
        <f>IF(T$12=start, Workings_risks!$E$13,MAX(S33-S15-S23,0))</f>
        <v>2.9999999999999361E-2</v>
      </c>
      <c r="U33" s="336">
        <f>IF(U$12=start, Workings_risks!$E$13,MAX(T33-T15-T23,0))</f>
        <v>2.9999999999999361E-2</v>
      </c>
      <c r="V33" s="336">
        <f>IF(V$12=start, Workings_risks!$E$13,MAX(U33-U15-U23,0))</f>
        <v>2.9999999999999361E-2</v>
      </c>
      <c r="W33" s="336">
        <f>IF(W$12=start, Workings_risks!$E$13,MAX(V33-V15-V23,0))</f>
        <v>2.9999999999999361E-2</v>
      </c>
      <c r="X33" s="336">
        <f>IF(X$12=start, Workings_risks!$E$13,MAX(W33-W15-W23,0))</f>
        <v>2.9999999999999361E-2</v>
      </c>
      <c r="Y33" s="336">
        <f>IF(Y$12=start, Workings_risks!$E$13,MAX(X33-X15-X23,0))</f>
        <v>2.9999999999999361E-2</v>
      </c>
      <c r="Z33" s="336">
        <f>IF(Z$12=start, Workings_risks!$E$13,MAX(Y33-Y15-Y23,0))</f>
        <v>2.9999999999999361E-2</v>
      </c>
      <c r="AA33" s="336">
        <f>IF(AA$12=start, Workings_risks!$E$13,MAX(Z33-Z15-Z23,0))</f>
        <v>2.9999999999999361E-2</v>
      </c>
      <c r="AB33" s="336">
        <f>IF(AB$12=start, Workings_risks!$E$13,MAX(AA33-AA15-AA23,0))</f>
        <v>2.9999999999999361E-2</v>
      </c>
      <c r="AC33" s="336">
        <f>IF(AC$12=start, Workings_risks!$E$13,MAX(AB33-AB15-AB23,0))</f>
        <v>2.9999999999999361E-2</v>
      </c>
      <c r="AD33" s="336">
        <f>IF(AD$12=start, Workings_risks!$E$13,MAX(AC33-AC15-AC23,0))</f>
        <v>2.9999999999999361E-2</v>
      </c>
      <c r="AE33" s="336">
        <f>IF(AE$12=start, Workings_risks!$E$13,MAX(AD33-AD15-AD23,0))</f>
        <v>2.9999999999999361E-2</v>
      </c>
    </row>
    <row r="34" spans="3:31" x14ac:dyDescent="0.2">
      <c r="C34" s="1" t="str">
        <f>C16</f>
        <v>Option 4</v>
      </c>
      <c r="G34" s="336">
        <f>IF(G$12=start, Workings_risks!$E$13,MAX(F34-F16-F24,0))</f>
        <v>171</v>
      </c>
      <c r="H34" s="336">
        <f>IF(H$12=start, Workings_risks!$E$13,MAX(G34-G16-G24,0))</f>
        <v>151</v>
      </c>
      <c r="I34" s="336">
        <f>IF(I$12=start, Workings_risks!$E$13,MAX(H34-H16-H24,0))</f>
        <v>131</v>
      </c>
      <c r="J34" s="336">
        <f>IF(J$12=start, Workings_risks!$E$13,MAX(I34-I16-I24,0))</f>
        <v>111</v>
      </c>
      <c r="K34" s="336">
        <f>IF(K$12=start, Workings_risks!$E$13,MAX(J34-J16-J24,0))</f>
        <v>92</v>
      </c>
      <c r="L34" s="336">
        <f>IF(L$12=start, Workings_risks!$E$13,MAX(K34-K16-K24,0))</f>
        <v>73</v>
      </c>
      <c r="M34" s="336">
        <f>IF(M$12=start, Workings_risks!$E$13,MAX(L34-L16-L24,0))</f>
        <v>55</v>
      </c>
      <c r="N34" s="336">
        <f>IF(N$12=start, Workings_risks!$E$13,MAX(M34-M16-M24,0))</f>
        <v>37</v>
      </c>
      <c r="O34" s="336">
        <f>IF(O$12=start, Workings_risks!$E$13,MAX(N34-N16-N24,0))</f>
        <v>19</v>
      </c>
      <c r="P34" s="336">
        <f>IF(P$12=start, Workings_risks!$E$13,MAX(O34-O16-O24,0))</f>
        <v>2</v>
      </c>
      <c r="Q34" s="336">
        <f>IF(Q$12=start, Workings_risks!$E$13,MAX(P34-P16-P24,0))</f>
        <v>2.0000000000000018E-2</v>
      </c>
      <c r="R34" s="336">
        <f>IF(R$12=start, Workings_risks!$E$13,MAX(Q34-Q16-Q24,0))</f>
        <v>2.0000000000000018E-2</v>
      </c>
      <c r="S34" s="336">
        <f>IF(S$12=start, Workings_risks!$E$13,MAX(R34-R16-R24,0))</f>
        <v>2.0000000000000018E-2</v>
      </c>
      <c r="T34" s="336">
        <f>IF(T$12=start, Workings_risks!$E$13,MAX(S34-S16-S24,0))</f>
        <v>2.0000000000000018E-2</v>
      </c>
      <c r="U34" s="336">
        <f>IF(U$12=start, Workings_risks!$E$13,MAX(T34-T16-T24,0))</f>
        <v>2.0000000000000018E-2</v>
      </c>
      <c r="V34" s="336">
        <f>IF(V$12=start, Workings_risks!$E$13,MAX(U34-U16-U24,0))</f>
        <v>2.0000000000000018E-2</v>
      </c>
      <c r="W34" s="336">
        <f>IF(W$12=start, Workings_risks!$E$13,MAX(V34-V16-V24,0))</f>
        <v>2.0000000000000018E-2</v>
      </c>
      <c r="X34" s="336">
        <f>IF(X$12=start, Workings_risks!$E$13,MAX(W34-W16-W24,0))</f>
        <v>2.0000000000000018E-2</v>
      </c>
      <c r="Y34" s="336">
        <f>IF(Y$12=start, Workings_risks!$E$13,MAX(X34-X16-X24,0))</f>
        <v>2.0000000000000018E-2</v>
      </c>
      <c r="Z34" s="336">
        <f>IF(Z$12=start, Workings_risks!$E$13,MAX(Y34-Y16-Y24,0))</f>
        <v>2.0000000000000018E-2</v>
      </c>
      <c r="AA34" s="336">
        <f>IF(AA$12=start, Workings_risks!$E$13,MAX(Z34-Z16-Z24,0))</f>
        <v>2.0000000000000018E-2</v>
      </c>
      <c r="AB34" s="336">
        <f>IF(AB$12=start, Workings_risks!$E$13,MAX(AA34-AA16-AA24,0))</f>
        <v>2.0000000000000018E-2</v>
      </c>
      <c r="AC34" s="336">
        <f>IF(AC$12=start, Workings_risks!$E$13,MAX(AB34-AB16-AB24,0))</f>
        <v>2.0000000000000018E-2</v>
      </c>
      <c r="AD34" s="336">
        <f>IF(AD$12=start, Workings_risks!$E$13,MAX(AC34-AC16-AC24,0))</f>
        <v>2.0000000000000018E-2</v>
      </c>
      <c r="AE34" s="336">
        <f>IF(AE$12=start, Workings_risks!$E$13,MAX(AD34-AD16-AD24,0))</f>
        <v>2.0000000000000018E-2</v>
      </c>
    </row>
    <row r="35" spans="3:31" x14ac:dyDescent="0.2">
      <c r="C35" s="1" t="str">
        <f>C17</f>
        <v>Option 5</v>
      </c>
      <c r="G35" s="336">
        <f>IF(G$12=start, Workings_risks!$E$13,MAX(F35-F17-F25,0))</f>
        <v>171</v>
      </c>
      <c r="H35" s="336">
        <f>IF(H$12=start, Workings_risks!$E$13,MAX(G35-G17-G25,0))</f>
        <v>149</v>
      </c>
      <c r="I35" s="336">
        <f>IF(I$12=start, Workings_risks!$E$13,MAX(H35-H17-H25,0))</f>
        <v>128</v>
      </c>
      <c r="J35" s="336">
        <f>IF(J$12=start, Workings_risks!$E$13,MAX(I35-I17-I25,0))</f>
        <v>107</v>
      </c>
      <c r="K35" s="336">
        <f>IF(K$12=start, Workings_risks!$E$13,MAX(J35-J17-J25,0))</f>
        <v>87</v>
      </c>
      <c r="L35" s="336">
        <f>IF(L$12=start, Workings_risks!$E$13,MAX(K35-K17-K25,0))</f>
        <v>67</v>
      </c>
      <c r="M35" s="336">
        <f>IF(M$12=start, Workings_risks!$E$13,MAX(L35-L17-L25,0))</f>
        <v>48</v>
      </c>
      <c r="N35" s="336">
        <f>IF(N$12=start, Workings_risks!$E$13,MAX(M35-M17-M25,0))</f>
        <v>30</v>
      </c>
      <c r="O35" s="336">
        <f>IF(O$12=start, Workings_risks!$E$13,MAX(N35-N17-N25,0))</f>
        <v>12</v>
      </c>
      <c r="P35" s="336">
        <f>IF(P$12=start, Workings_risks!$E$13,MAX(O35-O17-O25,0))</f>
        <v>2.9999999999999361E-2</v>
      </c>
      <c r="Q35" s="336">
        <f>IF(Q$12=start, Workings_risks!$E$13,MAX(P35-P17-P25,0))</f>
        <v>2.9999999999999361E-2</v>
      </c>
      <c r="R35" s="336">
        <f>IF(R$12=start, Workings_risks!$E$13,MAX(Q35-Q17-Q25,0))</f>
        <v>2.9999999999999361E-2</v>
      </c>
      <c r="S35" s="336">
        <f>IF(S$12=start, Workings_risks!$E$13,MAX(R35-R17-R25,0))</f>
        <v>2.9999999999999361E-2</v>
      </c>
      <c r="T35" s="336">
        <f>IF(T$12=start, Workings_risks!$E$13,MAX(S35-S17-S25,0))</f>
        <v>2.9999999999999361E-2</v>
      </c>
      <c r="U35" s="336">
        <f>IF(U$12=start, Workings_risks!$E$13,MAX(T35-T17-T25,0))</f>
        <v>2.9999999999999361E-2</v>
      </c>
      <c r="V35" s="336">
        <f>IF(V$12=start, Workings_risks!$E$13,MAX(U35-U17-U25,0))</f>
        <v>2.9999999999999361E-2</v>
      </c>
      <c r="W35" s="336">
        <f>IF(W$12=start, Workings_risks!$E$13,MAX(V35-V17-V25,0))</f>
        <v>2.9999999999999361E-2</v>
      </c>
      <c r="X35" s="336">
        <f>IF(X$12=start, Workings_risks!$E$13,MAX(W35-W17-W25,0))</f>
        <v>2.9999999999999361E-2</v>
      </c>
      <c r="Y35" s="336">
        <f>IF(Y$12=start, Workings_risks!$E$13,MAX(X35-X17-X25,0))</f>
        <v>2.9999999999999361E-2</v>
      </c>
      <c r="Z35" s="336">
        <f>IF(Z$12=start, Workings_risks!$E$13,MAX(Y35-Y17-Y25,0))</f>
        <v>2.9999999999999361E-2</v>
      </c>
      <c r="AA35" s="336">
        <f>IF(AA$12=start, Workings_risks!$E$13,MAX(Z35-Z17-Z25,0))</f>
        <v>2.9999999999999361E-2</v>
      </c>
      <c r="AB35" s="336">
        <f>IF(AB$12=start, Workings_risks!$E$13,MAX(AA35-AA17-AA25,0))</f>
        <v>2.9999999999999361E-2</v>
      </c>
      <c r="AC35" s="336">
        <f>IF(AC$12=start, Workings_risks!$E$13,MAX(AB35-AB17-AB25,0))</f>
        <v>2.9999999999999361E-2</v>
      </c>
      <c r="AD35" s="336">
        <f>IF(AD$12=start, Workings_risks!$E$13,MAX(AC35-AC17-AC25,0))</f>
        <v>2.9999999999999361E-2</v>
      </c>
      <c r="AE35" s="336">
        <f>IF(AE$12=start, Workings_risks!$E$13,MAX(AD35-AD17-AD25,0))</f>
        <v>2.9999999999999361E-2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2CB8-0B9A-46B7-920D-BDDAC6FCB5AA}">
  <sheetPr codeName="Sheet12">
    <tabColor rgb="FFFFFF00"/>
  </sheetPr>
  <dimension ref="A1:AB27"/>
  <sheetViews>
    <sheetView showGridLines="0" zoomScale="90" zoomScaleNormal="90"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28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Replace compound filled cable terminations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250</v>
      </c>
      <c r="B3" s="323"/>
      <c r="C3" s="5"/>
      <c r="D3" s="5"/>
    </row>
    <row r="5" spans="1:28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</row>
    <row r="6" spans="1:28" x14ac:dyDescent="0.2">
      <c r="E6" s="325"/>
      <c r="F6" s="325"/>
      <c r="G6" s="325"/>
      <c r="H6" s="325"/>
      <c r="L6" s="325"/>
      <c r="M6" s="325"/>
      <c r="N6" s="325"/>
      <c r="O6" s="325"/>
      <c r="P6" s="325"/>
      <c r="V6" s="325"/>
      <c r="W6" s="325"/>
      <c r="X6" s="325"/>
      <c r="Y6" s="325"/>
      <c r="Z6" s="325"/>
    </row>
    <row r="7" spans="1:28" x14ac:dyDescent="0.2">
      <c r="E7" s="325"/>
      <c r="F7" s="325"/>
      <c r="G7" s="325"/>
      <c r="H7" s="325"/>
      <c r="L7" s="325"/>
      <c r="M7" s="325"/>
      <c r="N7" s="325"/>
      <c r="O7" s="325"/>
      <c r="P7" s="325"/>
      <c r="V7" s="325"/>
      <c r="W7" s="325"/>
      <c r="X7" s="325"/>
      <c r="Y7" s="325"/>
      <c r="Z7" s="325"/>
    </row>
    <row r="8" spans="1:28" x14ac:dyDescent="0.2">
      <c r="B8" s="6"/>
      <c r="C8" s="6"/>
      <c r="D8" s="6"/>
      <c r="E8" s="329"/>
      <c r="F8" s="329"/>
      <c r="G8" s="325"/>
      <c r="H8" s="325"/>
      <c r="L8" s="325"/>
      <c r="M8" s="325"/>
      <c r="N8" s="325"/>
      <c r="O8" s="325"/>
      <c r="P8" s="325"/>
      <c r="V8" s="325"/>
      <c r="W8" s="325"/>
      <c r="X8" s="325"/>
      <c r="Y8" s="325"/>
      <c r="Z8" s="325"/>
    </row>
    <row r="9" spans="1:28" x14ac:dyDescent="0.2">
      <c r="B9" s="6"/>
      <c r="C9" s="6" t="s">
        <v>260</v>
      </c>
      <c r="D9" s="6"/>
      <c r="E9" s="330">
        <v>4.22</v>
      </c>
      <c r="F9" s="6"/>
      <c r="G9" s="328" t="s">
        <v>251</v>
      </c>
      <c r="L9" s="325"/>
      <c r="M9" s="325"/>
      <c r="N9" s="325"/>
      <c r="O9" s="325"/>
      <c r="P9" s="325"/>
      <c r="V9" s="325"/>
      <c r="W9" s="325"/>
      <c r="X9" s="325"/>
      <c r="Y9" s="325"/>
      <c r="Z9" s="325"/>
    </row>
    <row r="10" spans="1:28" x14ac:dyDescent="0.2">
      <c r="B10" s="6"/>
      <c r="C10" s="6"/>
      <c r="D10" s="6"/>
      <c r="E10" s="6"/>
      <c r="F10" s="6"/>
      <c r="G10" s="6"/>
      <c r="L10" s="325"/>
      <c r="M10" s="325"/>
      <c r="N10" s="325"/>
      <c r="O10" s="325"/>
      <c r="P10" s="325"/>
      <c r="U10"/>
      <c r="V10"/>
      <c r="W10"/>
      <c r="X10"/>
      <c r="Y10"/>
      <c r="Z10" s="325"/>
    </row>
    <row r="11" spans="1:28" x14ac:dyDescent="0.2">
      <c r="B11" s="6"/>
      <c r="C11" s="6" t="s">
        <v>259</v>
      </c>
      <c r="D11" s="6"/>
      <c r="E11" s="330">
        <v>63</v>
      </c>
      <c r="G11" s="328" t="s">
        <v>252</v>
      </c>
      <c r="L11" s="325"/>
      <c r="M11" s="325"/>
      <c r="N11" s="325"/>
      <c r="O11" s="325"/>
      <c r="P11" s="325"/>
      <c r="U11"/>
      <c r="V11"/>
      <c r="W11"/>
      <c r="X11"/>
      <c r="Y11"/>
      <c r="Z11" s="325"/>
    </row>
    <row r="12" spans="1:28" x14ac:dyDescent="0.2">
      <c r="B12" s="6"/>
      <c r="C12" s="329"/>
      <c r="D12" s="329"/>
      <c r="E12" s="329"/>
      <c r="F12" s="329"/>
      <c r="G12" s="233"/>
      <c r="U12"/>
      <c r="V12"/>
      <c r="W12"/>
      <c r="X12"/>
      <c r="Y12"/>
      <c r="Z12" s="325"/>
    </row>
    <row r="13" spans="1:28" x14ac:dyDescent="0.2">
      <c r="B13" s="6"/>
      <c r="C13" s="6" t="s">
        <v>257</v>
      </c>
      <c r="D13" s="6"/>
      <c r="E13" s="330">
        <v>171</v>
      </c>
      <c r="F13" s="6"/>
      <c r="G13" s="233"/>
      <c r="U13"/>
      <c r="V13"/>
      <c r="W13"/>
      <c r="X13"/>
      <c r="Y13"/>
    </row>
    <row r="14" spans="1:28" x14ac:dyDescent="0.2">
      <c r="B14" s="6"/>
      <c r="C14" s="329"/>
      <c r="D14" s="329"/>
      <c r="E14" s="329"/>
      <c r="F14" s="329"/>
      <c r="G14" s="233"/>
      <c r="U14"/>
      <c r="V14"/>
      <c r="W14"/>
      <c r="X14"/>
      <c r="Y14"/>
      <c r="Z14" s="325"/>
    </row>
    <row r="15" spans="1:28" x14ac:dyDescent="0.2">
      <c r="B15" s="6"/>
      <c r="C15" s="329" t="s">
        <v>253</v>
      </c>
      <c r="D15" s="329"/>
      <c r="E15" s="330">
        <v>1.43</v>
      </c>
      <c r="F15" s="329"/>
      <c r="G15" s="233"/>
      <c r="U15"/>
      <c r="V15"/>
      <c r="W15"/>
      <c r="X15"/>
      <c r="Y15"/>
      <c r="Z15" s="325"/>
    </row>
    <row r="16" spans="1:28" x14ac:dyDescent="0.2">
      <c r="B16" s="6"/>
      <c r="C16" s="329"/>
      <c r="D16" s="329"/>
      <c r="E16" s="329"/>
      <c r="F16" s="329"/>
      <c r="G16" s="233"/>
      <c r="U16"/>
      <c r="V16"/>
      <c r="W16"/>
      <c r="X16"/>
      <c r="Y16"/>
      <c r="Z16" s="325"/>
    </row>
    <row r="17" spans="2:26" x14ac:dyDescent="0.2">
      <c r="B17" s="6"/>
      <c r="C17" s="329" t="s">
        <v>255</v>
      </c>
      <c r="D17" s="329"/>
      <c r="E17" s="327">
        <v>33490</v>
      </c>
      <c r="F17" s="6"/>
      <c r="G17" s="328" t="s">
        <v>267</v>
      </c>
      <c r="U17"/>
      <c r="V17"/>
      <c r="W17"/>
      <c r="X17"/>
      <c r="Y17"/>
      <c r="Z17" s="325"/>
    </row>
    <row r="18" spans="2:26" x14ac:dyDescent="0.2">
      <c r="B18" s="6"/>
      <c r="C18" s="329"/>
      <c r="D18" s="329"/>
      <c r="E18" s="329"/>
      <c r="F18" s="6"/>
      <c r="G18" s="328"/>
      <c r="U18"/>
      <c r="V18"/>
      <c r="W18"/>
      <c r="X18"/>
      <c r="Y18"/>
      <c r="Z18" s="325"/>
    </row>
    <row r="19" spans="2:26" x14ac:dyDescent="0.2">
      <c r="B19" s="6"/>
      <c r="C19" s="329" t="s">
        <v>254</v>
      </c>
      <c r="D19" s="329"/>
      <c r="E19" s="327">
        <v>550</v>
      </c>
      <c r="F19" s="6"/>
      <c r="G19" s="328" t="s">
        <v>267</v>
      </c>
      <c r="U19"/>
      <c r="V19"/>
      <c r="W19"/>
      <c r="X19"/>
      <c r="Y19"/>
      <c r="Z19" s="325"/>
    </row>
    <row r="20" spans="2:26" x14ac:dyDescent="0.2">
      <c r="B20" s="6"/>
      <c r="C20" s="329"/>
      <c r="D20" s="329"/>
      <c r="E20" s="329"/>
      <c r="F20" s="6"/>
      <c r="G20" s="328"/>
      <c r="U20"/>
      <c r="V20"/>
      <c r="W20"/>
      <c r="X20"/>
      <c r="Y20"/>
      <c r="Z20" s="325"/>
    </row>
    <row r="21" spans="2:26" x14ac:dyDescent="0.2">
      <c r="B21" s="6"/>
      <c r="C21" s="329" t="s">
        <v>256</v>
      </c>
      <c r="D21" s="329"/>
      <c r="E21" s="327">
        <f>0.2*(50000+15000)</f>
        <v>13000</v>
      </c>
      <c r="F21" s="6"/>
      <c r="G21" s="328"/>
      <c r="U21"/>
      <c r="V21"/>
      <c r="W21"/>
      <c r="X21"/>
      <c r="Y21"/>
    </row>
    <row r="22" spans="2:26" x14ac:dyDescent="0.2">
      <c r="B22" s="6"/>
      <c r="C22" s="6"/>
      <c r="D22" s="6"/>
      <c r="E22" s="329"/>
      <c r="F22" s="329"/>
      <c r="G22" s="325"/>
      <c r="H22" s="325"/>
      <c r="U22"/>
      <c r="V22"/>
      <c r="W22"/>
      <c r="X22"/>
      <c r="Y22"/>
    </row>
    <row r="23" spans="2:26" x14ac:dyDescent="0.2">
      <c r="B23" s="6"/>
      <c r="C23" s="329" t="s">
        <v>264</v>
      </c>
      <c r="D23" s="329"/>
      <c r="E23" s="332">
        <v>0.03</v>
      </c>
      <c r="F23" s="329"/>
      <c r="G23" s="325"/>
      <c r="H23" s="325"/>
      <c r="U23"/>
      <c r="V23"/>
      <c r="W23"/>
      <c r="X23"/>
      <c r="Y23"/>
    </row>
    <row r="24" spans="2:26" x14ac:dyDescent="0.2">
      <c r="B24" s="6"/>
      <c r="C24" s="6"/>
      <c r="D24" s="6"/>
      <c r="E24" s="329"/>
      <c r="F24" s="329"/>
      <c r="G24" s="325"/>
      <c r="H24" s="325"/>
      <c r="U24"/>
      <c r="V24"/>
      <c r="W24"/>
      <c r="X24"/>
      <c r="Y24"/>
    </row>
    <row r="25" spans="2:26" x14ac:dyDescent="0.2">
      <c r="U25"/>
      <c r="V25"/>
      <c r="W25"/>
      <c r="X25"/>
      <c r="Y25"/>
    </row>
    <row r="26" spans="2:26" x14ac:dyDescent="0.2">
      <c r="U26"/>
      <c r="V26"/>
      <c r="W26"/>
      <c r="X26"/>
      <c r="Y26"/>
    </row>
    <row r="27" spans="2:26" x14ac:dyDescent="0.2">
      <c r="U27"/>
      <c r="V27"/>
      <c r="W27"/>
      <c r="X27"/>
      <c r="Y27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3" ht="18.75" x14ac:dyDescent="0.3">
      <c r="A2" s="56" t="str">
        <f>proj</f>
        <v>Replace compound filled cable terminations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5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</row>
    <row r="31" spans="1:34" x14ac:dyDescent="0.2">
      <c r="B31" s="194" t="s">
        <v>1</v>
      </c>
      <c r="C31" s="195" t="s">
        <v>191</v>
      </c>
      <c r="D31" s="196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3">
        <f>Option2!$G$91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3">
        <f>Option3!$G$91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3">
        <f>Option4!$G$91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153</v>
      </c>
      <c r="C35" s="193">
        <f>Option5!$G$91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7" t="s">
        <v>191</v>
      </c>
      <c r="C38" s="197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269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41" t="s">
        <v>209</v>
      </c>
    </row>
    <row r="74" spans="1:4" x14ac:dyDescent="0.2">
      <c r="B74" s="240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Replace compound filled cable terminations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227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0</v>
      </c>
      <c r="F61" s="96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6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224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3"/>
      <c r="W113"/>
      <c r="X113"/>
      <c r="Y113"/>
    </row>
    <row r="114" spans="18:25" x14ac:dyDescent="0.2">
      <c r="R114" s="23"/>
      <c r="U114"/>
      <c r="V114" s="253"/>
      <c r="W114"/>
      <c r="X114"/>
      <c r="Y114"/>
    </row>
    <row r="115" spans="18:25" x14ac:dyDescent="0.2">
      <c r="U115"/>
      <c r="V115" s="253"/>
      <c r="W115"/>
      <c r="X115"/>
      <c r="Y115"/>
    </row>
    <row r="116" spans="18:25" x14ac:dyDescent="0.2">
      <c r="U116"/>
      <c r="V116" s="254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2025-01-27T04:05:29Z</dcterms:modified>
</cp:coreProperties>
</file>