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4AB01E0A-0E94-4AF3-ADA0-8AF1F70706DD}" xr6:coauthVersionLast="47" xr6:coauthVersionMax="47" xr10:uidLastSave="{00000000-0000-0000-0000-000000000000}"/>
  <bookViews>
    <workbookView xWindow="9855" yWindow="0" windowWidth="1905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8" r:id="rId11"/>
    <sheet name="Workings_risks" sheetId="87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Assumptions!$A$1:$P$119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82" l="1"/>
  <c r="AG28" i="73"/>
  <c r="AG28" i="72"/>
  <c r="AG28" i="81"/>
  <c r="I25" i="87"/>
  <c r="I28" i="87" s="1"/>
  <c r="I28" i="68" s="1"/>
  <c r="AG28" i="68"/>
  <c r="K25" i="87"/>
  <c r="K28" i="87" s="1"/>
  <c r="K28" i="68" s="1"/>
  <c r="L25" i="87"/>
  <c r="L28" i="87" s="1"/>
  <c r="L28" i="68" s="1"/>
  <c r="M25" i="87"/>
  <c r="M28" i="87" s="1"/>
  <c r="M28" i="68" s="1"/>
  <c r="N25" i="87"/>
  <c r="N28" i="87" s="1"/>
  <c r="N28" i="68" s="1"/>
  <c r="O25" i="87"/>
  <c r="O28" i="87" s="1"/>
  <c r="O28" i="68" s="1"/>
  <c r="P25" i="87"/>
  <c r="P28" i="87" s="1"/>
  <c r="P28" i="68" s="1"/>
  <c r="Q25" i="87"/>
  <c r="Q28" i="87" s="1"/>
  <c r="Q28" i="68" s="1"/>
  <c r="R25" i="87"/>
  <c r="R28" i="87" s="1"/>
  <c r="R28" i="68" s="1"/>
  <c r="S25" i="87"/>
  <c r="S28" i="87" s="1"/>
  <c r="S28" i="68" s="1"/>
  <c r="T25" i="87"/>
  <c r="T28" i="87" s="1"/>
  <c r="T28" i="68" s="1"/>
  <c r="U25" i="87"/>
  <c r="U28" i="87" s="1"/>
  <c r="U28" i="68" s="1"/>
  <c r="V25" i="87"/>
  <c r="V28" i="87" s="1"/>
  <c r="V28" i="68" s="1"/>
  <c r="W25" i="87"/>
  <c r="W28" i="87" s="1"/>
  <c r="X25" i="87"/>
  <c r="X28" i="87" s="1"/>
  <c r="Y25" i="87"/>
  <c r="Y28" i="87" s="1"/>
  <c r="Z25" i="87"/>
  <c r="Z28" i="87" s="1"/>
  <c r="Z28" i="68" s="1"/>
  <c r="AA25" i="87"/>
  <c r="AA28" i="87" s="1"/>
  <c r="AA28" i="68" s="1"/>
  <c r="AB25" i="87"/>
  <c r="AB28" i="87" s="1"/>
  <c r="AB28" i="68" s="1"/>
  <c r="AC25" i="87"/>
  <c r="AC28" i="87" s="1"/>
  <c r="AC28" i="68" s="1"/>
  <c r="AD25" i="87"/>
  <c r="AD28" i="87" s="1"/>
  <c r="AD28" i="68" s="1"/>
  <c r="AE25" i="87"/>
  <c r="AE28" i="87" s="1"/>
  <c r="AE28" i="68" s="1"/>
  <c r="AF25" i="87"/>
  <c r="AF28" i="87" s="1"/>
  <c r="AF28" i="68" s="1"/>
  <c r="G31" i="72"/>
  <c r="J25" i="87"/>
  <c r="J28" i="87" s="1"/>
  <c r="J28" i="68" s="1"/>
  <c r="I43" i="87"/>
  <c r="I28" i="81" s="1"/>
  <c r="F11" i="87"/>
  <c r="Y28" i="68" l="1"/>
  <c r="X28" i="68"/>
  <c r="W28" i="68"/>
  <c r="F7" i="87"/>
  <c r="H69" i="88"/>
  <c r="H58" i="88"/>
  <c r="H47" i="88"/>
  <c r="H36" i="88"/>
  <c r="H19" i="87" l="1"/>
  <c r="H75" i="87"/>
  <c r="H80" i="87" s="1"/>
  <c r="H49" i="87"/>
  <c r="H54" i="87" s="1"/>
  <c r="H62" i="87"/>
  <c r="H67" i="87" s="1"/>
  <c r="I68" i="87" s="1"/>
  <c r="I69" i="87" s="1"/>
  <c r="I28" i="73" s="1"/>
  <c r="H34" i="87"/>
  <c r="K45" i="88"/>
  <c r="B66" i="88"/>
  <c r="B67" i="88" s="1"/>
  <c r="B68" i="88" s="1"/>
  <c r="B69" i="88" s="1"/>
  <c r="B55" i="88"/>
  <c r="B56" i="88" s="1"/>
  <c r="B57" i="88" s="1"/>
  <c r="B58" i="88" s="1"/>
  <c r="G58" i="88" s="1"/>
  <c r="B44" i="88"/>
  <c r="B45" i="88" s="1"/>
  <c r="B46" i="88" s="1"/>
  <c r="B47" i="88" s="1"/>
  <c r="G47" i="88" s="1"/>
  <c r="B33" i="88"/>
  <c r="B34" i="88" s="1"/>
  <c r="B35" i="88" s="1"/>
  <c r="B36" i="88" s="1"/>
  <c r="G36" i="88" s="1"/>
  <c r="B22" i="88"/>
  <c r="B23" i="88" s="1"/>
  <c r="B24" i="88" s="1"/>
  <c r="B25" i="88" s="1"/>
  <c r="G25" i="88" s="1"/>
  <c r="AC18" i="87" s="1"/>
  <c r="C13" i="88" a="1"/>
  <c r="C13" i="88" s="1"/>
  <c r="J70" i="88"/>
  <c r="K67" i="88"/>
  <c r="J59" i="88"/>
  <c r="K56" i="88"/>
  <c r="J48" i="88"/>
  <c r="K23" i="88"/>
  <c r="K34" i="88"/>
  <c r="L34" i="88" s="1"/>
  <c r="B48" i="88" l="1"/>
  <c r="B49" i="88" s="1"/>
  <c r="B50" i="88" s="1"/>
  <c r="B51" i="88" s="1"/>
  <c r="G51" i="88" s="1"/>
  <c r="B59" i="88"/>
  <c r="B60" i="88" s="1"/>
  <c r="B61" i="88" s="1"/>
  <c r="B62" i="88" s="1"/>
  <c r="AF18" i="87"/>
  <c r="AE18" i="87"/>
  <c r="AD18" i="87"/>
  <c r="B26" i="88"/>
  <c r="B27" i="88" s="1"/>
  <c r="B28" i="88" s="1"/>
  <c r="B29" i="88" s="1"/>
  <c r="G29" i="88" s="1"/>
  <c r="B37" i="88"/>
  <c r="B38" i="88" s="1"/>
  <c r="B39" i="88" s="1"/>
  <c r="B40" i="88" s="1"/>
  <c r="G40" i="88" s="1"/>
  <c r="I81" i="87"/>
  <c r="I82" i="87" s="1"/>
  <c r="I28" i="82" s="1"/>
  <c r="H23" i="88"/>
  <c r="L23" i="88" s="1"/>
  <c r="M23" i="88" s="1"/>
  <c r="G62" i="88"/>
  <c r="G69" i="88"/>
  <c r="B70" i="88"/>
  <c r="B71" i="88" s="1"/>
  <c r="B72" i="88" s="1"/>
  <c r="B73" i="88" s="1"/>
  <c r="L45" i="88"/>
  <c r="M45" i="88" s="1"/>
  <c r="M34" i="88"/>
  <c r="N34" i="88" s="1"/>
  <c r="L67" i="88"/>
  <c r="L56" i="88"/>
  <c r="J37" i="88"/>
  <c r="J26" i="88"/>
  <c r="K25" i="88" s="1"/>
  <c r="I18" i="87" s="1"/>
  <c r="I20" i="87" s="1"/>
  <c r="A2" i="88"/>
  <c r="A1" i="88"/>
  <c r="A2" i="87"/>
  <c r="A1" i="87"/>
  <c r="A40" i="86"/>
  <c r="AE61" i="87" l="1"/>
  <c r="AC33" i="87"/>
  <c r="AD33" i="87"/>
  <c r="AE33" i="87"/>
  <c r="AE48" i="87"/>
  <c r="AD61" i="87"/>
  <c r="AE74" i="87"/>
  <c r="AD74" i="87"/>
  <c r="AC74" i="87"/>
  <c r="AF33" i="87"/>
  <c r="AF74" i="87"/>
  <c r="AC61" i="87"/>
  <c r="AC48" i="87"/>
  <c r="AF61" i="87"/>
  <c r="AF48" i="87"/>
  <c r="I19" i="87"/>
  <c r="AD48" i="87"/>
  <c r="G73" i="88"/>
  <c r="AE14" i="68" s="1"/>
  <c r="K69" i="88"/>
  <c r="I74" i="87" s="1"/>
  <c r="K58" i="88"/>
  <c r="I61" i="87" s="1"/>
  <c r="K47" i="88"/>
  <c r="I48" i="87" s="1"/>
  <c r="K36" i="88"/>
  <c r="N45" i="88"/>
  <c r="M56" i="88"/>
  <c r="N56" i="88" s="1"/>
  <c r="N23" i="88"/>
  <c r="O23" i="88" s="1"/>
  <c r="O34" i="88"/>
  <c r="P34" i="88" s="1"/>
  <c r="M67" i="88"/>
  <c r="N67" i="88" s="1"/>
  <c r="I49" i="87" l="1"/>
  <c r="I50" i="87"/>
  <c r="I63" i="87"/>
  <c r="I62" i="87"/>
  <c r="K37" i="88"/>
  <c r="L36" i="88" s="1"/>
  <c r="J33" i="87" s="1"/>
  <c r="I33" i="87"/>
  <c r="I76" i="87"/>
  <c r="I75" i="87"/>
  <c r="AA14" i="72"/>
  <c r="Y14" i="73"/>
  <c r="AF14" i="72"/>
  <c r="AA14" i="73"/>
  <c r="AG14" i="73"/>
  <c r="AC14" i="73"/>
  <c r="AD14" i="73"/>
  <c r="AE14" i="73"/>
  <c r="Z14" i="73"/>
  <c r="AF14" i="73"/>
  <c r="AB14" i="73"/>
  <c r="Z14" i="72"/>
  <c r="AG14" i="72"/>
  <c r="AB14" i="81"/>
  <c r="Y14" i="81"/>
  <c r="Z14" i="81"/>
  <c r="Y14" i="72"/>
  <c r="AC14" i="72"/>
  <c r="AE14" i="72"/>
  <c r="AA14" i="81"/>
  <c r="AD14" i="72"/>
  <c r="AB14" i="72"/>
  <c r="AC14" i="68"/>
  <c r="AG14" i="81"/>
  <c r="AF14" i="81"/>
  <c r="AC14" i="81"/>
  <c r="AD14" i="81"/>
  <c r="AE14" i="81"/>
  <c r="AD14" i="68"/>
  <c r="AG14" i="68"/>
  <c r="AF14" i="68"/>
  <c r="AG14" i="82"/>
  <c r="AC14" i="82"/>
  <c r="AE14" i="82"/>
  <c r="AF14" i="82"/>
  <c r="Z14" i="82"/>
  <c r="AD14" i="82"/>
  <c r="Y14" i="82"/>
  <c r="AA14" i="82"/>
  <c r="AB14" i="82"/>
  <c r="Q34" i="88"/>
  <c r="R34" i="88" s="1"/>
  <c r="S34" i="88" s="1"/>
  <c r="T34" i="88" s="1"/>
  <c r="O45" i="88"/>
  <c r="K26" i="88"/>
  <c r="K28" i="88"/>
  <c r="K29" i="88"/>
  <c r="I14" i="68" s="1"/>
  <c r="O56" i="88"/>
  <c r="P56" i="88" s="1"/>
  <c r="P23" i="88"/>
  <c r="Q23" i="88" s="1"/>
  <c r="R23" i="88" s="1"/>
  <c r="K73" i="88"/>
  <c r="I14" i="82" s="1"/>
  <c r="K72" i="88"/>
  <c r="K70" i="88"/>
  <c r="L69" i="88" s="1"/>
  <c r="K61" i="88"/>
  <c r="K59" i="88"/>
  <c r="L58" i="88" s="1"/>
  <c r="J61" i="87" s="1"/>
  <c r="K62" i="88"/>
  <c r="I14" i="73" s="1"/>
  <c r="K51" i="88"/>
  <c r="I14" i="72" s="1"/>
  <c r="K48" i="88"/>
  <c r="L47" i="88" s="1"/>
  <c r="J48" i="87" s="1"/>
  <c r="K50" i="88"/>
  <c r="O67" i="88"/>
  <c r="P67" i="88" s="1"/>
  <c r="Q67" i="88" s="1"/>
  <c r="K39" i="88"/>
  <c r="K40" i="88"/>
  <c r="I14" i="81" s="1"/>
  <c r="I9" i="68"/>
  <c r="J63" i="87" l="1"/>
  <c r="I80" i="87"/>
  <c r="I34" i="87"/>
  <c r="I35" i="87"/>
  <c r="L73" i="88"/>
  <c r="J14" i="82" s="1"/>
  <c r="J74" i="87"/>
  <c r="J62" i="87"/>
  <c r="I67" i="87"/>
  <c r="J50" i="87"/>
  <c r="J49" i="87"/>
  <c r="P45" i="88"/>
  <c r="L25" i="88"/>
  <c r="U34" i="88"/>
  <c r="V34" i="88" s="1"/>
  <c r="S23" i="88"/>
  <c r="T23" i="88" s="1"/>
  <c r="Q56" i="88"/>
  <c r="R56" i="88" s="1"/>
  <c r="S56" i="88" s="1"/>
  <c r="R67" i="88"/>
  <c r="S67" i="88" s="1"/>
  <c r="L48" i="88"/>
  <c r="M47" i="88" s="1"/>
  <c r="K48" i="87" s="1"/>
  <c r="L59" i="88"/>
  <c r="M58" i="88" s="1"/>
  <c r="K61" i="87" s="1"/>
  <c r="L62" i="88"/>
  <c r="L61" i="88"/>
  <c r="L51" i="88"/>
  <c r="J14" i="72" s="1"/>
  <c r="L50" i="88"/>
  <c r="L70" i="88"/>
  <c r="M69" i="88" s="1"/>
  <c r="K74" i="87" s="1"/>
  <c r="L72" i="88"/>
  <c r="L39" i="88"/>
  <c r="L40" i="88"/>
  <c r="J14" i="81" s="1"/>
  <c r="L37" i="88"/>
  <c r="M36" i="88" s="1"/>
  <c r="K33" i="87" s="1"/>
  <c r="H9" i="68"/>
  <c r="H9" i="75" s="1"/>
  <c r="H5" i="75" s="1"/>
  <c r="C25" i="62"/>
  <c r="A2" i="43"/>
  <c r="J35" i="87" l="1"/>
  <c r="I55" i="87"/>
  <c r="I56" i="87" s="1"/>
  <c r="I28" i="72" s="1"/>
  <c r="J14" i="73"/>
  <c r="K50" i="87"/>
  <c r="L26" i="88"/>
  <c r="M25" i="88" s="1"/>
  <c r="K18" i="87" s="1"/>
  <c r="J18" i="87"/>
  <c r="K49" i="87"/>
  <c r="J68" i="87"/>
  <c r="J69" i="87" s="1"/>
  <c r="J28" i="73" s="1"/>
  <c r="J67" i="87"/>
  <c r="K62" i="87"/>
  <c r="K63" i="87"/>
  <c r="J81" i="87"/>
  <c r="J82" i="87" s="1"/>
  <c r="J28" i="82" s="1"/>
  <c r="J76" i="87"/>
  <c r="K76" i="87" s="1"/>
  <c r="K35" i="87"/>
  <c r="J34" i="87"/>
  <c r="J75" i="87"/>
  <c r="L29" i="88"/>
  <c r="J14" i="68" s="1"/>
  <c r="L28" i="88"/>
  <c r="U23" i="88"/>
  <c r="V23" i="88" s="1"/>
  <c r="W23" i="88" s="1"/>
  <c r="Q45" i="88"/>
  <c r="R45" i="88" s="1"/>
  <c r="M62" i="88"/>
  <c r="K14" i="73" s="1"/>
  <c r="M73" i="88"/>
  <c r="K14" i="82" s="1"/>
  <c r="M70" i="88"/>
  <c r="N69" i="88" s="1"/>
  <c r="L74" i="87" s="1"/>
  <c r="M72" i="88"/>
  <c r="T67" i="88"/>
  <c r="M59" i="88"/>
  <c r="N58" i="88" s="1"/>
  <c r="L61" i="87" s="1"/>
  <c r="W34" i="88"/>
  <c r="T56" i="88"/>
  <c r="C112" i="43"/>
  <c r="C113" i="43"/>
  <c r="C114" i="43"/>
  <c r="C115" i="43"/>
  <c r="C116" i="43"/>
  <c r="J20" i="87" l="1"/>
  <c r="K20" i="87" s="1"/>
  <c r="J19" i="87"/>
  <c r="J55" i="87" s="1"/>
  <c r="J56" i="87" s="1"/>
  <c r="J28" i="72" s="1"/>
  <c r="L76" i="87"/>
  <c r="K75" i="87"/>
  <c r="J80" i="87"/>
  <c r="K34" i="87"/>
  <c r="L63" i="87"/>
  <c r="L62" i="87"/>
  <c r="K67" i="87"/>
  <c r="K68" i="87"/>
  <c r="K69" i="87" s="1"/>
  <c r="K28" i="73" s="1"/>
  <c r="S45" i="88"/>
  <c r="M61" i="88"/>
  <c r="M51" i="88"/>
  <c r="K14" i="72" s="1"/>
  <c r="M50" i="88"/>
  <c r="M48" i="88"/>
  <c r="N47" i="88" s="1"/>
  <c r="L48" i="87" s="1"/>
  <c r="U67" i="88"/>
  <c r="X34" i="88"/>
  <c r="Y34" i="88" s="1"/>
  <c r="U56" i="88"/>
  <c r="V56" i="88" s="1"/>
  <c r="W56" i="88" s="1"/>
  <c r="X56" i="88" s="1"/>
  <c r="Y56" i="88" s="1"/>
  <c r="Z56" i="88" s="1"/>
  <c r="AA56" i="88" s="1"/>
  <c r="AB56" i="88" s="1"/>
  <c r="AC56" i="88" s="1"/>
  <c r="AD56" i="88" s="1"/>
  <c r="X23" i="88"/>
  <c r="Y23" i="88" s="1"/>
  <c r="Z23" i="88" s="1"/>
  <c r="AA23" i="88" s="1"/>
  <c r="AB23" i="88" s="1"/>
  <c r="AC23" i="88" s="1"/>
  <c r="AD23" i="88" s="1"/>
  <c r="M37" i="88"/>
  <c r="N36" i="88" s="1"/>
  <c r="L33" i="87" s="1"/>
  <c r="L35" i="87" s="1"/>
  <c r="M39" i="88"/>
  <c r="M40" i="88"/>
  <c r="K14" i="81" s="1"/>
  <c r="M29" i="88"/>
  <c r="K14" i="68" s="1"/>
  <c r="M28" i="88"/>
  <c r="M26" i="88"/>
  <c r="N25" i="88" s="1"/>
  <c r="L18" i="87" s="1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40" i="87" l="1"/>
  <c r="J43" i="87" s="1"/>
  <c r="J28" i="81" s="1"/>
  <c r="Z34" i="88"/>
  <c r="K19" i="87"/>
  <c r="L20" i="87"/>
  <c r="L50" i="87"/>
  <c r="L34" i="87"/>
  <c r="L49" i="87"/>
  <c r="L68" i="87"/>
  <c r="L69" i="87" s="1"/>
  <c r="L28" i="73" s="1"/>
  <c r="L67" i="87"/>
  <c r="K81" i="87"/>
  <c r="K82" i="87" s="1"/>
  <c r="K28" i="82" s="1"/>
  <c r="L75" i="87"/>
  <c r="K80" i="87"/>
  <c r="AA34" i="88"/>
  <c r="AB34" i="88" s="1"/>
  <c r="AC34" i="88" s="1"/>
  <c r="T45" i="88"/>
  <c r="N48" i="88"/>
  <c r="O47" i="88" s="1"/>
  <c r="M48" i="87" s="1"/>
  <c r="V67" i="88"/>
  <c r="N39" i="88"/>
  <c r="N26" i="88"/>
  <c r="O25" i="88" s="1"/>
  <c r="M18" i="87" s="1"/>
  <c r="N37" i="88"/>
  <c r="O36" i="88" s="1"/>
  <c r="M33" i="87" s="1"/>
  <c r="M35" i="87" s="1"/>
  <c r="N40" i="88"/>
  <c r="L14" i="81" s="1"/>
  <c r="N28" i="88"/>
  <c r="N29" i="88"/>
  <c r="L14" i="68" s="1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L19" i="87" l="1"/>
  <c r="L40" i="87" s="1"/>
  <c r="L43" i="87" s="1"/>
  <c r="L28" i="81" s="1"/>
  <c r="K55" i="87"/>
  <c r="K56" i="87" s="1"/>
  <c r="K28" i="72" s="1"/>
  <c r="K40" i="87"/>
  <c r="K43" i="87" s="1"/>
  <c r="K28" i="81" s="1"/>
  <c r="M20" i="87"/>
  <c r="L81" i="87"/>
  <c r="L82" i="87" s="1"/>
  <c r="L28" i="82" s="1"/>
  <c r="M49" i="87"/>
  <c r="M34" i="87"/>
  <c r="M68" i="87"/>
  <c r="M69" i="87" s="1"/>
  <c r="M28" i="73" s="1"/>
  <c r="M50" i="87"/>
  <c r="L80" i="87"/>
  <c r="U45" i="88"/>
  <c r="V45" i="88" s="1"/>
  <c r="W45" i="88" s="1"/>
  <c r="X45" i="88" s="1"/>
  <c r="Y45" i="88" s="1"/>
  <c r="Z45" i="88" s="1"/>
  <c r="AA45" i="88" s="1"/>
  <c r="N51" i="88"/>
  <c r="L14" i="72" s="1"/>
  <c r="N50" i="88"/>
  <c r="W67" i="88"/>
  <c r="N73" i="88"/>
  <c r="L14" i="82" s="1"/>
  <c r="N72" i="88"/>
  <c r="N70" i="88"/>
  <c r="N62" i="88"/>
  <c r="L14" i="73" s="1"/>
  <c r="N61" i="88"/>
  <c r="N59" i="88"/>
  <c r="O58" i="88" s="1"/>
  <c r="AD34" i="88"/>
  <c r="O26" i="88"/>
  <c r="P25" i="88" s="1"/>
  <c r="N18" i="87" s="1"/>
  <c r="D38" i="33"/>
  <c r="E16" i="47"/>
  <c r="F9" i="47" s="1"/>
  <c r="M19" i="87" l="1"/>
  <c r="M40" i="87" s="1"/>
  <c r="M43" i="87" s="1"/>
  <c r="M28" i="81" s="1"/>
  <c r="L55" i="87"/>
  <c r="L56" i="87" s="1"/>
  <c r="L28" i="72" s="1"/>
  <c r="N20" i="87"/>
  <c r="M81" i="87"/>
  <c r="M82" i="87" s="1"/>
  <c r="M28" i="82" s="1"/>
  <c r="O62" i="88"/>
  <c r="M14" i="73" s="1"/>
  <c r="M61" i="87"/>
  <c r="AB45" i="88"/>
  <c r="AC45" i="88" s="1"/>
  <c r="AD45" i="88" s="1"/>
  <c r="O61" i="88"/>
  <c r="O69" i="88"/>
  <c r="O72" i="88" s="1"/>
  <c r="O51" i="88"/>
  <c r="M14" i="72" s="1"/>
  <c r="O50" i="88"/>
  <c r="O48" i="88"/>
  <c r="P47" i="88" s="1"/>
  <c r="N48" i="87" s="1"/>
  <c r="O59" i="88"/>
  <c r="P58" i="88" s="1"/>
  <c r="N61" i="87" s="1"/>
  <c r="X67" i="88"/>
  <c r="Y67" i="88" s="1"/>
  <c r="Z67" i="88" s="1"/>
  <c r="AA67" i="88" s="1"/>
  <c r="O37" i="88"/>
  <c r="P36" i="88" s="1"/>
  <c r="N33" i="87" s="1"/>
  <c r="N35" i="87" s="1"/>
  <c r="O39" i="88"/>
  <c r="O40" i="88"/>
  <c r="M14" i="81" s="1"/>
  <c r="O29" i="88"/>
  <c r="M14" i="68" s="1"/>
  <c r="O28" i="88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N19" i="87" l="1"/>
  <c r="N40" i="87" s="1"/>
  <c r="N43" i="87" s="1"/>
  <c r="N28" i="81" s="1"/>
  <c r="M55" i="87"/>
  <c r="M56" i="87" s="1"/>
  <c r="M28" i="72" s="1"/>
  <c r="N49" i="87"/>
  <c r="M62" i="87"/>
  <c r="M63" i="87"/>
  <c r="N63" i="87" s="1"/>
  <c r="N34" i="87"/>
  <c r="O73" i="88"/>
  <c r="M14" i="82" s="1"/>
  <c r="M74" i="87"/>
  <c r="N50" i="87"/>
  <c r="O70" i="88"/>
  <c r="P69" i="88" s="1"/>
  <c r="N74" i="87" s="1"/>
  <c r="AB67" i="88"/>
  <c r="AC67" i="88" s="1"/>
  <c r="AD67" i="88" s="1"/>
  <c r="P48" i="88"/>
  <c r="Q47" i="88" s="1"/>
  <c r="O48" i="87" s="1"/>
  <c r="P59" i="88"/>
  <c r="Q58" i="88" s="1"/>
  <c r="O61" i="87" s="1"/>
  <c r="P29" i="88"/>
  <c r="N14" i="68" s="1"/>
  <c r="P37" i="88"/>
  <c r="Q36" i="88" s="1"/>
  <c r="O33" i="87" s="1"/>
  <c r="O35" i="87" s="1"/>
  <c r="P39" i="88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N55" i="87" l="1"/>
  <c r="N56" i="87" s="1"/>
  <c r="N28" i="72" s="1"/>
  <c r="M76" i="87"/>
  <c r="N76" i="87" s="1"/>
  <c r="M75" i="87"/>
  <c r="O34" i="87"/>
  <c r="O63" i="87"/>
  <c r="M67" i="87"/>
  <c r="N62" i="87"/>
  <c r="O49" i="87"/>
  <c r="O50" i="87"/>
  <c r="P26" i="88"/>
  <c r="Q25" i="88" s="1"/>
  <c r="O18" i="87" s="1"/>
  <c r="P28" i="88"/>
  <c r="P62" i="88"/>
  <c r="N14" i="73" s="1"/>
  <c r="P61" i="88"/>
  <c r="P40" i="88"/>
  <c r="N14" i="81" s="1"/>
  <c r="P73" i="88"/>
  <c r="N14" i="82" s="1"/>
  <c r="P72" i="88"/>
  <c r="P70" i="88"/>
  <c r="Q69" i="88" s="1"/>
  <c r="P51" i="88"/>
  <c r="N14" i="72" s="1"/>
  <c r="P50" i="88"/>
  <c r="Q62" i="88"/>
  <c r="O14" i="73" s="1"/>
  <c r="Q48" i="88"/>
  <c r="R47" i="88" s="1"/>
  <c r="P48" i="87" s="1"/>
  <c r="Q37" i="88"/>
  <c r="R36" i="88" s="1"/>
  <c r="P33" i="87" s="1"/>
  <c r="P35" i="87" s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P50" i="87" l="1"/>
  <c r="O20" i="87"/>
  <c r="O19" i="87"/>
  <c r="O40" i="87" s="1"/>
  <c r="O43" i="87" s="1"/>
  <c r="O28" i="81" s="1"/>
  <c r="Q73" i="88"/>
  <c r="O14" i="82" s="1"/>
  <c r="O74" i="87"/>
  <c r="P49" i="87"/>
  <c r="N68" i="87"/>
  <c r="N69" i="87" s="1"/>
  <c r="N28" i="73" s="1"/>
  <c r="O62" i="87"/>
  <c r="N67" i="87"/>
  <c r="P34" i="87"/>
  <c r="N75" i="87"/>
  <c r="M80" i="87"/>
  <c r="Q39" i="88"/>
  <c r="Q72" i="88"/>
  <c r="Q51" i="88"/>
  <c r="O14" i="72" s="1"/>
  <c r="Q50" i="88"/>
  <c r="Q40" i="88"/>
  <c r="O14" i="81" s="1"/>
  <c r="Q28" i="88"/>
  <c r="Q61" i="88"/>
  <c r="Q29" i="88"/>
  <c r="O14" i="68" s="1"/>
  <c r="Q26" i="88"/>
  <c r="R48" i="88"/>
  <c r="S47" i="88" s="1"/>
  <c r="Q48" i="87" s="1"/>
  <c r="Q70" i="88"/>
  <c r="Q59" i="88"/>
  <c r="R40" i="88"/>
  <c r="P14" i="81" s="1"/>
  <c r="C31" i="85"/>
  <c r="C33" i="85"/>
  <c r="C45" i="33"/>
  <c r="A6" i="85"/>
  <c r="A2" i="85"/>
  <c r="A1" i="85"/>
  <c r="O55" i="87" l="1"/>
  <c r="O56" i="87" s="1"/>
  <c r="O28" i="72" s="1"/>
  <c r="O76" i="87"/>
  <c r="N81" i="87"/>
  <c r="N82" i="87" s="1"/>
  <c r="N28" i="82" s="1"/>
  <c r="O68" i="87"/>
  <c r="O69" i="87" s="1"/>
  <c r="O28" i="73" s="1"/>
  <c r="O67" i="87"/>
  <c r="Q50" i="87"/>
  <c r="N80" i="87"/>
  <c r="O75" i="87"/>
  <c r="Q49" i="87"/>
  <c r="R58" i="88"/>
  <c r="R69" i="88"/>
  <c r="R25" i="88"/>
  <c r="R39" i="88"/>
  <c r="R37" i="88"/>
  <c r="S36" i="88" s="1"/>
  <c r="Q33" i="87" s="1"/>
  <c r="Q35" i="87" s="1"/>
  <c r="R51" i="88"/>
  <c r="P14" i="72" s="1"/>
  <c r="R50" i="88"/>
  <c r="C43" i="33"/>
  <c r="C41" i="33"/>
  <c r="C21" i="62"/>
  <c r="B74" i="62"/>
  <c r="C67" i="62"/>
  <c r="C66" i="62"/>
  <c r="C62" i="62"/>
  <c r="C63" i="62"/>
  <c r="C58" i="62"/>
  <c r="C59" i="62"/>
  <c r="C55" i="62"/>
  <c r="C54" i="62"/>
  <c r="C51" i="62"/>
  <c r="C50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Q34" i="87" l="1"/>
  <c r="R26" i="88"/>
  <c r="P18" i="87"/>
  <c r="R62" i="88"/>
  <c r="P14" i="73" s="1"/>
  <c r="P61" i="87"/>
  <c r="O81" i="87"/>
  <c r="O82" i="87" s="1"/>
  <c r="O28" i="82" s="1"/>
  <c r="P68" i="87"/>
  <c r="P69" i="87" s="1"/>
  <c r="P28" i="73" s="1"/>
  <c r="R73" i="88"/>
  <c r="P14" i="82" s="1"/>
  <c r="P74" i="87"/>
  <c r="P75" i="87" s="1"/>
  <c r="O80" i="87"/>
  <c r="R61" i="88"/>
  <c r="R72" i="88"/>
  <c r="R59" i="88"/>
  <c r="S58" i="88" s="1"/>
  <c r="Q61" i="87" s="1"/>
  <c r="R70" i="88"/>
  <c r="S69" i="88" s="1"/>
  <c r="Q74" i="87" s="1"/>
  <c r="S25" i="88"/>
  <c r="Q18" i="87" s="1"/>
  <c r="R28" i="88"/>
  <c r="R29" i="88"/>
  <c r="P14" i="68" s="1"/>
  <c r="S50" i="88"/>
  <c r="D92" i="75"/>
  <c r="P19" i="87" l="1"/>
  <c r="P20" i="87"/>
  <c r="Q20" i="87" s="1"/>
  <c r="P76" i="87"/>
  <c r="Q76" i="87" s="1"/>
  <c r="P81" i="87"/>
  <c r="P82" i="87" s="1"/>
  <c r="P28" i="82" s="1"/>
  <c r="P80" i="87"/>
  <c r="Q75" i="87"/>
  <c r="P63" i="87"/>
  <c r="Q63" i="87" s="1"/>
  <c r="P62" i="87"/>
  <c r="S28" i="88"/>
  <c r="S26" i="88"/>
  <c r="S29" i="88"/>
  <c r="Q14" i="68" s="1"/>
  <c r="S37" i="88"/>
  <c r="T36" i="88" s="1"/>
  <c r="R33" i="87" s="1"/>
  <c r="S39" i="88"/>
  <c r="S40" i="88"/>
  <c r="Q14" i="81" s="1"/>
  <c r="S51" i="88"/>
  <c r="Q14" i="72" s="1"/>
  <c r="S48" i="88"/>
  <c r="T47" i="88" s="1"/>
  <c r="R48" i="87" s="1"/>
  <c r="S73" i="88"/>
  <c r="Q14" i="82" s="1"/>
  <c r="S70" i="88"/>
  <c r="T69" i="88" s="1"/>
  <c r="R74" i="87" s="1"/>
  <c r="S72" i="88"/>
  <c r="S62" i="88"/>
  <c r="Q14" i="73" s="1"/>
  <c r="S61" i="88"/>
  <c r="S59" i="88"/>
  <c r="T58" i="88" s="1"/>
  <c r="R61" i="87" s="1"/>
  <c r="D9" i="47"/>
  <c r="A6" i="75"/>
  <c r="P40" i="87" l="1"/>
  <c r="P43" i="87" s="1"/>
  <c r="P28" i="81" s="1"/>
  <c r="P55" i="87"/>
  <c r="P56" i="87" s="1"/>
  <c r="P28" i="72" s="1"/>
  <c r="Q19" i="87"/>
  <c r="R50" i="87"/>
  <c r="R49" i="87"/>
  <c r="R34" i="87"/>
  <c r="R35" i="87"/>
  <c r="P67" i="87"/>
  <c r="Q62" i="87"/>
  <c r="R63" i="87"/>
  <c r="R75" i="87"/>
  <c r="Q80" i="87"/>
  <c r="R76" i="87"/>
  <c r="Q81" i="87"/>
  <c r="Q82" i="87" s="1"/>
  <c r="Q28" i="82" s="1"/>
  <c r="T25" i="88"/>
  <c r="R18" i="87" s="1"/>
  <c r="R20" i="87" s="1"/>
  <c r="T62" i="88"/>
  <c r="R14" i="73" s="1"/>
  <c r="R17" i="73" s="1"/>
  <c r="T48" i="88"/>
  <c r="U47" i="88" s="1"/>
  <c r="S48" i="87" s="1"/>
  <c r="T73" i="88"/>
  <c r="R14" i="82" s="1"/>
  <c r="R17" i="82" s="1"/>
  <c r="T37" i="88"/>
  <c r="U36" i="88" s="1"/>
  <c r="S33" i="87" s="1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Q40" i="87" l="1"/>
  <c r="Q43" i="87" s="1"/>
  <c r="Q28" i="81" s="1"/>
  <c r="Q55" i="87"/>
  <c r="Q56" i="87" s="1"/>
  <c r="Q28" i="72" s="1"/>
  <c r="R19" i="87"/>
  <c r="R40" i="87" s="1"/>
  <c r="R43" i="87" s="1"/>
  <c r="R28" i="81" s="1"/>
  <c r="R81" i="87"/>
  <c r="R82" i="87" s="1"/>
  <c r="R28" i="82" s="1"/>
  <c r="Q68" i="87"/>
  <c r="Q69" i="87" s="1"/>
  <c r="Q28" i="73" s="1"/>
  <c r="S35" i="87"/>
  <c r="S34" i="87"/>
  <c r="S49" i="87"/>
  <c r="S50" i="87"/>
  <c r="R80" i="87"/>
  <c r="Q67" i="87"/>
  <c r="R62" i="87"/>
  <c r="T72" i="88"/>
  <c r="T61" i="88"/>
  <c r="U51" i="88"/>
  <c r="S14" i="72" s="1"/>
  <c r="S17" i="72" s="1"/>
  <c r="U37" i="88"/>
  <c r="T51" i="88"/>
  <c r="R14" i="72" s="1"/>
  <c r="R17" i="72" s="1"/>
  <c r="T50" i="88"/>
  <c r="T59" i="88"/>
  <c r="U58" i="88" s="1"/>
  <c r="T28" i="88"/>
  <c r="T29" i="88"/>
  <c r="R14" i="68" s="1"/>
  <c r="T26" i="88"/>
  <c r="U25" i="88" s="1"/>
  <c r="S18" i="87" s="1"/>
  <c r="S20" i="87" s="1"/>
  <c r="T70" i="88"/>
  <c r="T39" i="88"/>
  <c r="T40" i="88"/>
  <c r="R14" i="81" s="1"/>
  <c r="R17" i="81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Q17" i="72"/>
  <c r="P17" i="72"/>
  <c r="O17" i="72"/>
  <c r="N17" i="72"/>
  <c r="M17" i="72"/>
  <c r="L17" i="72"/>
  <c r="K17" i="72"/>
  <c r="J17" i="72"/>
  <c r="I17" i="72"/>
  <c r="R55" i="87" l="1"/>
  <c r="R56" i="87" s="1"/>
  <c r="R28" i="72" s="1"/>
  <c r="S19" i="87"/>
  <c r="S40" i="87" s="1"/>
  <c r="S43" i="87" s="1"/>
  <c r="S28" i="81" s="1"/>
  <c r="R67" i="87"/>
  <c r="S81" i="87"/>
  <c r="S82" i="87" s="1"/>
  <c r="S28" i="82" s="1"/>
  <c r="R68" i="87"/>
  <c r="R69" i="87" s="1"/>
  <c r="R28" i="73" s="1"/>
  <c r="U62" i="88"/>
  <c r="S14" i="73" s="1"/>
  <c r="S17" i="73" s="1"/>
  <c r="S61" i="87"/>
  <c r="U61" i="88"/>
  <c r="U69" i="88"/>
  <c r="V36" i="88"/>
  <c r="T33" i="87" s="1"/>
  <c r="T34" i="87" s="1"/>
  <c r="U48" i="88"/>
  <c r="V47" i="88" s="1"/>
  <c r="U50" i="88"/>
  <c r="U26" i="88"/>
  <c r="U29" i="88"/>
  <c r="S14" i="68" s="1"/>
  <c r="U28" i="88"/>
  <c r="U39" i="88"/>
  <c r="U40" i="88"/>
  <c r="S14" i="81" s="1"/>
  <c r="S17" i="81" s="1"/>
  <c r="U59" i="88"/>
  <c r="V58" i="88" s="1"/>
  <c r="A17" i="75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S55" i="87" l="1"/>
  <c r="S56" i="87" s="1"/>
  <c r="S28" i="72" s="1"/>
  <c r="V51" i="88"/>
  <c r="T14" i="72" s="1"/>
  <c r="T17" i="72" s="1"/>
  <c r="T48" i="87"/>
  <c r="T35" i="87"/>
  <c r="U73" i="88"/>
  <c r="S14" i="82" s="1"/>
  <c r="S17" i="82" s="1"/>
  <c r="S74" i="87"/>
  <c r="V40" i="88"/>
  <c r="T14" i="81" s="1"/>
  <c r="T17" i="81" s="1"/>
  <c r="V62" i="88"/>
  <c r="T14" i="73" s="1"/>
  <c r="T17" i="73" s="1"/>
  <c r="T61" i="87"/>
  <c r="U72" i="88"/>
  <c r="S68" i="87"/>
  <c r="S69" i="87" s="1"/>
  <c r="S28" i="73" s="1"/>
  <c r="S63" i="87"/>
  <c r="S62" i="87"/>
  <c r="U70" i="88"/>
  <c r="V25" i="88"/>
  <c r="V39" i="88"/>
  <c r="V59" i="88"/>
  <c r="W58" i="88" s="1"/>
  <c r="U61" i="87" s="1"/>
  <c r="V37" i="88"/>
  <c r="W36" i="88" s="1"/>
  <c r="U33" i="87" s="1"/>
  <c r="U34" i="87" s="1"/>
  <c r="V48" i="88"/>
  <c r="W47" i="88" s="1"/>
  <c r="U48" i="87" s="1"/>
  <c r="V50" i="88"/>
  <c r="V61" i="88"/>
  <c r="A24" i="75"/>
  <c r="A25" i="75" s="1"/>
  <c r="A99" i="75"/>
  <c r="H99" i="75" s="1"/>
  <c r="D91" i="75"/>
  <c r="T63" i="87" l="1"/>
  <c r="U63" i="87" s="1"/>
  <c r="V26" i="88"/>
  <c r="W25" i="88" s="1"/>
  <c r="U18" i="87" s="1"/>
  <c r="T18" i="87"/>
  <c r="U35" i="87"/>
  <c r="T62" i="87"/>
  <c r="S67" i="87"/>
  <c r="S76" i="87"/>
  <c r="S75" i="87"/>
  <c r="T50" i="87"/>
  <c r="U50" i="87" s="1"/>
  <c r="T49" i="87"/>
  <c r="V69" i="88"/>
  <c r="T74" i="87" s="1"/>
  <c r="V29" i="88"/>
  <c r="T14" i="68" s="1"/>
  <c r="V28" i="88"/>
  <c r="W51" i="88"/>
  <c r="U14" i="72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T76" i="87" l="1"/>
  <c r="T20" i="87"/>
  <c r="U20" i="87" s="1"/>
  <c r="T19" i="87"/>
  <c r="U49" i="87"/>
  <c r="V70" i="88"/>
  <c r="W69" i="88" s="1"/>
  <c r="U74" i="87" s="1"/>
  <c r="S80" i="87"/>
  <c r="T75" i="87"/>
  <c r="U62" i="87"/>
  <c r="T67" i="87"/>
  <c r="T68" i="87"/>
  <c r="T69" i="87" s="1"/>
  <c r="T28" i="73" s="1"/>
  <c r="V73" i="88"/>
  <c r="T14" i="82" s="1"/>
  <c r="T17" i="82" s="1"/>
  <c r="V72" i="88"/>
  <c r="W50" i="88"/>
  <c r="U17" i="72"/>
  <c r="W40" i="88"/>
  <c r="W39" i="88"/>
  <c r="W37" i="88"/>
  <c r="X36" i="88" s="1"/>
  <c r="V33" i="87" s="1"/>
  <c r="W28" i="88"/>
  <c r="W29" i="88"/>
  <c r="U14" i="68" s="1"/>
  <c r="W62" i="88"/>
  <c r="U14" i="73" s="1"/>
  <c r="U17" i="73" s="1"/>
  <c r="W59" i="88"/>
  <c r="X58" i="88" s="1"/>
  <c r="V61" i="87" s="1"/>
  <c r="V63" i="87" s="1"/>
  <c r="W26" i="88"/>
  <c r="X25" i="88" s="1"/>
  <c r="V18" i="87" s="1"/>
  <c r="W61" i="88"/>
  <c r="W48" i="88"/>
  <c r="X47" i="88" s="1"/>
  <c r="V48" i="87" s="1"/>
  <c r="V50" i="87" s="1"/>
  <c r="AC7" i="81"/>
  <c r="AC42" i="81" s="1"/>
  <c r="AC7" i="73"/>
  <c r="AC42" i="73" s="1"/>
  <c r="AD7" i="68"/>
  <c r="AC7" i="82"/>
  <c r="AC42" i="68"/>
  <c r="AC7" i="72"/>
  <c r="AC42" i="72" s="1"/>
  <c r="T40" i="87" l="1"/>
  <c r="T43" i="87" s="1"/>
  <c r="T28" i="81" s="1"/>
  <c r="T55" i="87"/>
  <c r="T56" i="87" s="1"/>
  <c r="T28" i="72" s="1"/>
  <c r="W72" i="88"/>
  <c r="W70" i="88"/>
  <c r="X69" i="88" s="1"/>
  <c r="V74" i="87" s="1"/>
  <c r="W73" i="88"/>
  <c r="U14" i="82" s="1"/>
  <c r="U17" i="82" s="1"/>
  <c r="U76" i="87"/>
  <c r="U19" i="87"/>
  <c r="U55" i="87" s="1"/>
  <c r="U56" i="87" s="1"/>
  <c r="U28" i="72" s="1"/>
  <c r="V20" i="87"/>
  <c r="V62" i="87"/>
  <c r="U67" i="87"/>
  <c r="T81" i="87"/>
  <c r="T82" i="87" s="1"/>
  <c r="T28" i="82" s="1"/>
  <c r="V34" i="87"/>
  <c r="V35" i="87"/>
  <c r="U68" i="87"/>
  <c r="U69" i="87" s="1"/>
  <c r="U28" i="73" s="1"/>
  <c r="U75" i="87"/>
  <c r="T80" i="87"/>
  <c r="V49" i="87"/>
  <c r="U14" i="81"/>
  <c r="U17" i="81" s="1"/>
  <c r="X62" i="88"/>
  <c r="V14" i="73" s="1"/>
  <c r="V17" i="73" s="1"/>
  <c r="X48" i="88"/>
  <c r="Y47" i="88" s="1"/>
  <c r="W48" i="87" s="1"/>
  <c r="W50" i="87" s="1"/>
  <c r="X37" i="88"/>
  <c r="Y36" i="88" s="1"/>
  <c r="W33" i="87" s="1"/>
  <c r="AC42" i="82"/>
  <c r="AD7" i="81"/>
  <c r="AD42" i="81" s="1"/>
  <c r="AD7" i="73"/>
  <c r="AD42" i="73" s="1"/>
  <c r="AD42" i="68"/>
  <c r="AE7" i="68"/>
  <c r="AD7" i="82"/>
  <c r="AD7" i="72"/>
  <c r="AD42" i="72" s="1"/>
  <c r="X73" i="88" l="1"/>
  <c r="V19" i="87"/>
  <c r="V40" i="87" s="1"/>
  <c r="V43" i="87" s="1"/>
  <c r="V28" i="81" s="1"/>
  <c r="U40" i="87"/>
  <c r="U43" i="87" s="1"/>
  <c r="U28" i="81" s="1"/>
  <c r="V76" i="87"/>
  <c r="W49" i="87"/>
  <c r="U81" i="87"/>
  <c r="U82" i="87" s="1"/>
  <c r="U28" i="82" s="1"/>
  <c r="V75" i="87"/>
  <c r="U80" i="87"/>
  <c r="V68" i="87"/>
  <c r="V69" i="87" s="1"/>
  <c r="V28" i="73" s="1"/>
  <c r="W35" i="87"/>
  <c r="W34" i="87"/>
  <c r="V67" i="87"/>
  <c r="X28" i="88"/>
  <c r="X29" i="88"/>
  <c r="V14" i="68" s="1"/>
  <c r="X51" i="88"/>
  <c r="V14" i="72" s="1"/>
  <c r="V17" i="72" s="1"/>
  <c r="X50" i="88"/>
  <c r="Y51" i="88"/>
  <c r="W14" i="72" s="1"/>
  <c r="W17" i="72" s="1"/>
  <c r="X40" i="88"/>
  <c r="X39" i="88"/>
  <c r="V14" i="82"/>
  <c r="V17" i="82" s="1"/>
  <c r="X59" i="88"/>
  <c r="Y58" i="88" s="1"/>
  <c r="W61" i="87" s="1"/>
  <c r="W63" i="87" s="1"/>
  <c r="X70" i="88"/>
  <c r="Y69" i="88" s="1"/>
  <c r="X26" i="88"/>
  <c r="Y25" i="88" s="1"/>
  <c r="W18" i="87" s="1"/>
  <c r="W20" i="87" s="1"/>
  <c r="X61" i="88"/>
  <c r="X72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V55" i="87" l="1"/>
  <c r="V56" i="87" s="1"/>
  <c r="V28" i="72" s="1"/>
  <c r="W19" i="87"/>
  <c r="W40" i="87" s="1"/>
  <c r="W43" i="87" s="1"/>
  <c r="W28" i="81" s="1"/>
  <c r="W68" i="87"/>
  <c r="W69" i="87" s="1"/>
  <c r="W28" i="73" s="1"/>
  <c r="W62" i="87"/>
  <c r="Y73" i="88"/>
  <c r="W14" i="82" s="1"/>
  <c r="W17" i="82" s="1"/>
  <c r="W74" i="87"/>
  <c r="W76" i="87" s="1"/>
  <c r="V81" i="87"/>
  <c r="V82" i="87" s="1"/>
  <c r="V28" i="82" s="1"/>
  <c r="V80" i="87"/>
  <c r="Y62" i="88"/>
  <c r="W14" i="73" s="1"/>
  <c r="W17" i="73" s="1"/>
  <c r="Y40" i="88"/>
  <c r="Y39" i="88"/>
  <c r="Y70" i="88"/>
  <c r="Z69" i="88" s="1"/>
  <c r="X74" i="87" s="1"/>
  <c r="Y59" i="88"/>
  <c r="Z58" i="88" s="1"/>
  <c r="X61" i="87" s="1"/>
  <c r="X63" i="87" s="1"/>
  <c r="V14" i="81"/>
  <c r="V17" i="81" s="1"/>
  <c r="Y72" i="88"/>
  <c r="Y50" i="88"/>
  <c r="Y61" i="88"/>
  <c r="Y37" i="88"/>
  <c r="Z36" i="88" s="1"/>
  <c r="X33" i="87" s="1"/>
  <c r="X34" i="87" s="1"/>
  <c r="Y48" i="88"/>
  <c r="Z47" i="88" s="1"/>
  <c r="X48" i="87" s="1"/>
  <c r="X50" i="87" s="1"/>
  <c r="Y26" i="88"/>
  <c r="Y29" i="88"/>
  <c r="W14" i="68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W55" i="87" l="1"/>
  <c r="W56" i="87" s="1"/>
  <c r="W28" i="72" s="1"/>
  <c r="W75" i="87"/>
  <c r="X75" i="87" s="1"/>
  <c r="X49" i="87"/>
  <c r="X76" i="87"/>
  <c r="W81" i="87"/>
  <c r="W82" i="87" s="1"/>
  <c r="W28" i="82" s="1"/>
  <c r="X35" i="87"/>
  <c r="X62" i="87"/>
  <c r="W67" i="87"/>
  <c r="Z25" i="88"/>
  <c r="X18" i="87" s="1"/>
  <c r="X20" i="87" s="1"/>
  <c r="Z62" i="88"/>
  <c r="X14" i="73" s="1"/>
  <c r="Z51" i="88"/>
  <c r="X14" i="72" s="1"/>
  <c r="Z73" i="88"/>
  <c r="Z48" i="88"/>
  <c r="AA47" i="88" s="1"/>
  <c r="Y48" i="87" s="1"/>
  <c r="Y50" i="87" s="1"/>
  <c r="Z61" i="88"/>
  <c r="Z50" i="88"/>
  <c r="Z72" i="88"/>
  <c r="Z59" i="88"/>
  <c r="AA58" i="88" s="1"/>
  <c r="Y61" i="87" s="1"/>
  <c r="Y63" i="87" s="1"/>
  <c r="Z70" i="88"/>
  <c r="AA69" i="88" s="1"/>
  <c r="Y74" i="87" s="1"/>
  <c r="W14" i="81"/>
  <c r="W17" i="81" s="1"/>
  <c r="AG7" i="81"/>
  <c r="AG42" i="81" s="1"/>
  <c r="AG7" i="73"/>
  <c r="AG7" i="82"/>
  <c r="AG42" i="68"/>
  <c r="AG7" i="72"/>
  <c r="AG42" i="72" s="1"/>
  <c r="AF42" i="82"/>
  <c r="D17" i="75"/>
  <c r="H92" i="75"/>
  <c r="D16" i="75"/>
  <c r="W80" i="87" l="1"/>
  <c r="X81" i="87" s="1"/>
  <c r="X82" i="87" s="1"/>
  <c r="X28" i="82" s="1"/>
  <c r="X19" i="87"/>
  <c r="X40" i="87" s="1"/>
  <c r="X43" i="87" s="1"/>
  <c r="X28" i="81" s="1"/>
  <c r="Z26" i="88"/>
  <c r="AA25" i="88" s="1"/>
  <c r="Y18" i="87" s="1"/>
  <c r="Y20" i="87" s="1"/>
  <c r="X68" i="87"/>
  <c r="X69" i="87" s="1"/>
  <c r="X28" i="73" s="1"/>
  <c r="X67" i="87"/>
  <c r="Y62" i="87"/>
  <c r="Y49" i="87"/>
  <c r="Y75" i="87"/>
  <c r="X80" i="87"/>
  <c r="Y76" i="87"/>
  <c r="Z40" i="88"/>
  <c r="X14" i="81" s="1"/>
  <c r="Z39" i="88"/>
  <c r="Z37" i="88"/>
  <c r="AA36" i="88" s="1"/>
  <c r="Y33" i="87" s="1"/>
  <c r="Y34" i="87" s="1"/>
  <c r="X14" i="82"/>
  <c r="Z29" i="88"/>
  <c r="X14" i="68" s="1"/>
  <c r="X17" i="72"/>
  <c r="C57" i="62"/>
  <c r="D57" i="62" s="1"/>
  <c r="C4" i="72" s="1"/>
  <c r="X17" i="73"/>
  <c r="G90" i="73" s="1" a="1"/>
  <c r="G90" i="73" s="1"/>
  <c r="C61" i="62"/>
  <c r="D61" i="62" s="1"/>
  <c r="C4" i="73" s="1"/>
  <c r="AG42" i="73"/>
  <c r="AG42" i="82"/>
  <c r="X55" i="87" l="1"/>
  <c r="X56" i="87" s="1"/>
  <c r="X28" i="72" s="1"/>
  <c r="Y19" i="87"/>
  <c r="Y80" i="87"/>
  <c r="Y68" i="87"/>
  <c r="Y69" i="87" s="1"/>
  <c r="Y28" i="73" s="1"/>
  <c r="Y35" i="87"/>
  <c r="Y81" i="87"/>
  <c r="Y82" i="87" s="1"/>
  <c r="Y28" i="82" s="1"/>
  <c r="Y67" i="87"/>
  <c r="X17" i="82"/>
  <c r="C65" i="62"/>
  <c r="D65" i="62" s="1"/>
  <c r="C4" i="82" s="1"/>
  <c r="AA37" i="88"/>
  <c r="AB36" i="88" s="1"/>
  <c r="Z33" i="87" s="1"/>
  <c r="Z34" i="87" s="1"/>
  <c r="X17" i="81"/>
  <c r="C53" i="62"/>
  <c r="D53" i="62" s="1"/>
  <c r="C4" i="81" s="1"/>
  <c r="AB84" i="68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Y40" i="87" l="1"/>
  <c r="Y43" i="87" s="1"/>
  <c r="Y28" i="81" s="1"/>
  <c r="Y55" i="87"/>
  <c r="Y56" i="87" s="1"/>
  <c r="Y28" i="72" s="1"/>
  <c r="Z68" i="87"/>
  <c r="Z69" i="87" s="1"/>
  <c r="Z28" i="73" s="1"/>
  <c r="Z35" i="87"/>
  <c r="Z81" i="87"/>
  <c r="Z82" i="87" s="1"/>
  <c r="Z28" i="82" s="1"/>
  <c r="AA39" i="88"/>
  <c r="AA29" i="88"/>
  <c r="Y14" i="68" s="1"/>
  <c r="Y67" i="68" s="1"/>
  <c r="Y15" i="75" s="1"/>
  <c r="AA26" i="88"/>
  <c r="AB25" i="88" s="1"/>
  <c r="Z18" i="87" s="1"/>
  <c r="Z20" i="87" s="1"/>
  <c r="AA72" i="88"/>
  <c r="AA70" i="88"/>
  <c r="AB69" i="88" s="1"/>
  <c r="Z74" i="87" s="1"/>
  <c r="AA59" i="88"/>
  <c r="AA61" i="88"/>
  <c r="AA50" i="88"/>
  <c r="AA48" i="88"/>
  <c r="I72" i="68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Q15" i="75"/>
  <c r="X15" i="75"/>
  <c r="P15" i="75"/>
  <c r="V15" i="75"/>
  <c r="N15" i="75"/>
  <c r="U15" i="75"/>
  <c r="M15" i="75"/>
  <c r="T15" i="75"/>
  <c r="L15" i="75"/>
  <c r="S15" i="75"/>
  <c r="K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Z19" i="87" l="1"/>
  <c r="Z40" i="87" s="1"/>
  <c r="Z43" i="87" s="1"/>
  <c r="Z28" i="81" s="1"/>
  <c r="Z75" i="87"/>
  <c r="Z76" i="87"/>
  <c r="AB58" i="88"/>
  <c r="AB47" i="88"/>
  <c r="AB70" i="88"/>
  <c r="AC69" i="88" s="1"/>
  <c r="AA74" i="87" s="1"/>
  <c r="AB72" i="88"/>
  <c r="AB26" i="88"/>
  <c r="AC25" i="88" s="1"/>
  <c r="AA18" i="87" s="1"/>
  <c r="AA20" i="87" s="1"/>
  <c r="AB37" i="88"/>
  <c r="AC36" i="88" s="1"/>
  <c r="AA33" i="87" s="1"/>
  <c r="AA34" i="87" s="1"/>
  <c r="AB39" i="88"/>
  <c r="AB29" i="88"/>
  <c r="Z14" i="68" s="1"/>
  <c r="Z67" i="68" s="1"/>
  <c r="Z15" i="75" s="1"/>
  <c r="I72" i="82" a="1"/>
  <c r="I72" i="82" s="1"/>
  <c r="J77" i="82" s="1"/>
  <c r="I74" i="82" a="1"/>
  <c r="I74" i="82" s="1"/>
  <c r="I73" i="82" a="1"/>
  <c r="I73" i="82" s="1"/>
  <c r="C13" i="47"/>
  <c r="D43" i="75"/>
  <c r="C64" i="72"/>
  <c r="AA19" i="87" l="1"/>
  <c r="AB48" i="88"/>
  <c r="AC47" i="88" s="1"/>
  <c r="AA48" i="87" s="1"/>
  <c r="Z48" i="87"/>
  <c r="AB59" i="88"/>
  <c r="AC58" i="88" s="1"/>
  <c r="AA61" i="87" s="1"/>
  <c r="Z61" i="87"/>
  <c r="AA35" i="87"/>
  <c r="AA76" i="87"/>
  <c r="AA75" i="87"/>
  <c r="Z80" i="87"/>
  <c r="AB50" i="88"/>
  <c r="AB61" i="88"/>
  <c r="AC39" i="88"/>
  <c r="F13" i="47"/>
  <c r="D35" i="62"/>
  <c r="D13" i="47"/>
  <c r="A4" i="82" s="1"/>
  <c r="I80" i="82"/>
  <c r="I82" i="82" s="1"/>
  <c r="I107" i="82" s="1"/>
  <c r="D44" i="75"/>
  <c r="AA40" i="87" l="1"/>
  <c r="AA43" i="87" s="1"/>
  <c r="AA28" i="81" s="1"/>
  <c r="AA81" i="87"/>
  <c r="AA82" i="87" s="1"/>
  <c r="AA28" i="82" s="1"/>
  <c r="Z63" i="87"/>
  <c r="AA63" i="87" s="1"/>
  <c r="Z62" i="87"/>
  <c r="Z50" i="87"/>
  <c r="Z49" i="87"/>
  <c r="AA80" i="87"/>
  <c r="AC37" i="88"/>
  <c r="AD36" i="88" s="1"/>
  <c r="AC29" i="88"/>
  <c r="AA14" i="68" s="1"/>
  <c r="AA67" i="68" s="1"/>
  <c r="AA15" i="75" s="1"/>
  <c r="AC26" i="88"/>
  <c r="AD25" i="88" s="1"/>
  <c r="AB18" i="87" s="1"/>
  <c r="AB20" i="87" s="1"/>
  <c r="AC20" i="87" s="1"/>
  <c r="AD20" i="87" s="1"/>
  <c r="AE20" i="87" s="1"/>
  <c r="AF20" i="87" s="1"/>
  <c r="AC50" i="88"/>
  <c r="AC48" i="88"/>
  <c r="AC72" i="88"/>
  <c r="AC70" i="88"/>
  <c r="AC59" i="88"/>
  <c r="AD58" i="88" s="1"/>
  <c r="AB61" i="87" s="1"/>
  <c r="AC61" i="88"/>
  <c r="C34" i="75"/>
  <c r="G29" i="33"/>
  <c r="H29" i="33"/>
  <c r="I29" i="33"/>
  <c r="J29" i="33"/>
  <c r="F29" i="33"/>
  <c r="A7" i="81"/>
  <c r="I6" i="81"/>
  <c r="A6" i="81"/>
  <c r="AA50" i="87" l="1"/>
  <c r="AA55" i="87" s="1"/>
  <c r="AA56" i="87" s="1"/>
  <c r="AA28" i="72" s="1"/>
  <c r="Z55" i="87"/>
  <c r="Z56" i="87" s="1"/>
  <c r="Z28" i="72" s="1"/>
  <c r="AB63" i="87"/>
  <c r="AC63" i="87" s="1"/>
  <c r="AD63" i="87" s="1"/>
  <c r="AE63" i="87" s="1"/>
  <c r="AF63" i="87" s="1"/>
  <c r="AB19" i="87"/>
  <c r="AC19" i="87" s="1"/>
  <c r="AD39" i="88"/>
  <c r="AB33" i="87"/>
  <c r="AA49" i="87"/>
  <c r="AA62" i="87"/>
  <c r="Z67" i="87"/>
  <c r="AB81" i="87"/>
  <c r="AB82" i="87" s="1"/>
  <c r="AB28" i="82" s="1"/>
  <c r="AD37" i="88"/>
  <c r="AD69" i="88"/>
  <c r="AD47" i="88"/>
  <c r="AD59" i="88"/>
  <c r="AD61" i="88"/>
  <c r="AD29" i="88"/>
  <c r="AD26" i="88"/>
  <c r="I72" i="8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AD19" i="87" l="1"/>
  <c r="AD70" i="88"/>
  <c r="AB74" i="87"/>
  <c r="AD48" i="88"/>
  <c r="AB48" i="87"/>
  <c r="AB50" i="87" s="1"/>
  <c r="AC50" i="87" s="1"/>
  <c r="AD50" i="87" s="1"/>
  <c r="AE50" i="87" s="1"/>
  <c r="AF50" i="87" s="1"/>
  <c r="AD72" i="88"/>
  <c r="AA67" i="87"/>
  <c r="AB62" i="87"/>
  <c r="AB34" i="87"/>
  <c r="AB35" i="87"/>
  <c r="AA68" i="87"/>
  <c r="AA69" i="87" s="1"/>
  <c r="AA28" i="73" s="1"/>
  <c r="AD50" i="88"/>
  <c r="AB14" i="68"/>
  <c r="AB67" i="68" s="1"/>
  <c r="AB15" i="75" s="1"/>
  <c r="D32" i="62"/>
  <c r="D10" i="47"/>
  <c r="A4" i="81" s="1"/>
  <c r="I80" i="81"/>
  <c r="D65" i="75"/>
  <c r="D79" i="75"/>
  <c r="D37" i="75"/>
  <c r="D47" i="75"/>
  <c r="AB55" i="87" l="1"/>
  <c r="AB56" i="87" s="1"/>
  <c r="AB28" i="72" s="1"/>
  <c r="AC35" i="87"/>
  <c r="AC55" i="87" s="1"/>
  <c r="AC56" i="87" s="1"/>
  <c r="AC28" i="72" s="1"/>
  <c r="AB40" i="87"/>
  <c r="AB43" i="87" s="1"/>
  <c r="AB28" i="81" s="1"/>
  <c r="AB49" i="87"/>
  <c r="AE19" i="87"/>
  <c r="AB75" i="87"/>
  <c r="AB76" i="87"/>
  <c r="AC76" i="87" s="1"/>
  <c r="AD76" i="87" s="1"/>
  <c r="AE76" i="87" s="1"/>
  <c r="AF76" i="87" s="1"/>
  <c r="AC34" i="87"/>
  <c r="AB67" i="87"/>
  <c r="AC62" i="87"/>
  <c r="AB68" i="87"/>
  <c r="AB69" i="87" s="1"/>
  <c r="AB28" i="73" s="1"/>
  <c r="C49" i="62"/>
  <c r="D49" i="62" s="1"/>
  <c r="C4" i="68" s="1"/>
  <c r="I82" i="8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AD35" i="87" l="1"/>
  <c r="AD55" i="87" s="1"/>
  <c r="AD56" i="87" s="1"/>
  <c r="AD28" i="72" s="1"/>
  <c r="AC40" i="87"/>
  <c r="AC43" i="87" s="1"/>
  <c r="AC28" i="81" s="1"/>
  <c r="AC49" i="87"/>
  <c r="AF19" i="87"/>
  <c r="AD34" i="87"/>
  <c r="AC67" i="87"/>
  <c r="AD62" i="87"/>
  <c r="AC68" i="87"/>
  <c r="AC69" i="87" s="1"/>
  <c r="AC28" i="73" s="1"/>
  <c r="AB80" i="87"/>
  <c r="AC75" i="87"/>
  <c r="I74" i="73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AE35" i="87" l="1"/>
  <c r="AE55" i="87" s="1"/>
  <c r="AE56" i="87" s="1"/>
  <c r="AE28" i="72" s="1"/>
  <c r="AD40" i="87"/>
  <c r="AD43" i="87" s="1"/>
  <c r="AD28" i="81" s="1"/>
  <c r="AD49" i="87"/>
  <c r="AE49" i="87" s="1"/>
  <c r="AC80" i="87"/>
  <c r="AD75" i="87"/>
  <c r="AC81" i="87"/>
  <c r="AC82" i="87" s="1"/>
  <c r="AC28" i="82" s="1"/>
  <c r="AD67" i="87"/>
  <c r="AE62" i="87"/>
  <c r="AD68" i="87"/>
  <c r="AD69" i="87" s="1"/>
  <c r="AD28" i="73" s="1"/>
  <c r="AE34" i="87"/>
  <c r="I80" i="73"/>
  <c r="D51" i="75"/>
  <c r="D50" i="75"/>
  <c r="AF35" i="87" l="1"/>
  <c r="AE40" i="87"/>
  <c r="AE43" i="87" s="1"/>
  <c r="AE28" i="81" s="1"/>
  <c r="AF34" i="87"/>
  <c r="AE67" i="87"/>
  <c r="AF62" i="87"/>
  <c r="AF67" i="87" s="1"/>
  <c r="AE68" i="87"/>
  <c r="AE69" i="87" s="1"/>
  <c r="AE28" i="73" s="1"/>
  <c r="AD81" i="87"/>
  <c r="AD82" i="87" s="1"/>
  <c r="AD28" i="82" s="1"/>
  <c r="AF49" i="87"/>
  <c r="AD80" i="87"/>
  <c r="AE75" i="87"/>
  <c r="I82" i="73"/>
  <c r="I107" i="73" s="1"/>
  <c r="D53" i="75"/>
  <c r="D52" i="75"/>
  <c r="AF40" i="87" l="1"/>
  <c r="AF43" i="87" s="1"/>
  <c r="AF28" i="81" s="1"/>
  <c r="AF55" i="87"/>
  <c r="AF56" i="87" s="1"/>
  <c r="AF28" i="72" s="1"/>
  <c r="AE81" i="87"/>
  <c r="AE82" i="87" s="1"/>
  <c r="AE28" i="82" s="1"/>
  <c r="AE80" i="87"/>
  <c r="AF75" i="87"/>
  <c r="AF80" i="87" s="1"/>
  <c r="AF68" i="87"/>
  <c r="AF69" i="87" s="1"/>
  <c r="AF28" i="73" s="1"/>
  <c r="AF81" i="87" l="1"/>
  <c r="AF82" i="87" s="1"/>
  <c r="AF28" i="82" s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F13" i="87" l="1"/>
  <c r="J98" i="75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C82" i="73" s="1"/>
  <c r="AC107" i="73" s="1"/>
  <c r="AD77" i="73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E82" i="73" s="1"/>
  <c r="AE107" i="73" s="1"/>
  <c r="AF77" i="73"/>
  <c r="K9" i="85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F82" i="73" s="1"/>
  <c r="AF107" i="73" s="1"/>
  <c r="AG77" i="73"/>
  <c r="L9" i="85"/>
  <c r="K5" i="85"/>
  <c r="AD82" i="81"/>
  <c r="AD107" i="81" s="1"/>
  <c r="AE82" i="81"/>
  <c r="AE107" i="81" s="1"/>
  <c r="AG74" i="82" a="1"/>
  <c r="AG74" i="82" s="1"/>
  <c r="AG72" i="82" a="1"/>
  <c r="AG72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82" l="1"/>
  <c r="AG82" i="82" s="1"/>
  <c r="AG107" i="82" s="1"/>
  <c r="AG80" i="73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5" i="43"/>
  <c r="C96" i="43"/>
  <c r="C97" i="43"/>
  <c r="C98" i="43"/>
  <c r="C99" i="43"/>
  <c r="C100" i="43"/>
  <c r="C101" i="43"/>
  <c r="C102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1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9" i="43"/>
  <c r="H80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6" i="43"/>
  <c r="H97" i="43"/>
  <c r="H98" i="43"/>
  <c r="H99" i="43"/>
  <c r="H100" i="43"/>
  <c r="H101" i="43"/>
  <c r="H102" i="43"/>
  <c r="H95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0" i="43"/>
  <c r="D16" i="62"/>
  <c r="R15" i="62"/>
  <c r="D17" i="62" s="1"/>
  <c r="D19" i="62" l="1"/>
  <c r="AC14" i="85" s="1"/>
  <c r="E28" i="73"/>
  <c r="F28" i="73" s="1"/>
  <c r="E28" i="81"/>
  <c r="F28" i="81" s="1"/>
  <c r="E28" i="72"/>
  <c r="F28" i="72" s="1"/>
  <c r="E28" i="68"/>
  <c r="E28" i="82"/>
  <c r="F28" i="82" s="1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A2" i="33"/>
  <c r="J20" i="75" l="1"/>
  <c r="Z63" i="75"/>
  <c r="AE57" i="75"/>
  <c r="L60" i="75"/>
  <c r="AG29" i="75"/>
  <c r="AB71" i="75"/>
  <c r="AE29" i="75"/>
  <c r="AF49" i="75"/>
  <c r="W75" i="75"/>
  <c r="N57" i="75"/>
  <c r="AE14" i="85"/>
  <c r="S20" i="75"/>
  <c r="S77" i="75"/>
  <c r="L63" i="75"/>
  <c r="AG49" i="75"/>
  <c r="AE32" i="75"/>
  <c r="AB60" i="75"/>
  <c r="X74" i="75"/>
  <c r="P47" i="75"/>
  <c r="R61" i="75"/>
  <c r="O47" i="75"/>
  <c r="O33" i="75"/>
  <c r="AG14" i="85"/>
  <c r="Z21" i="75"/>
  <c r="I60" i="75"/>
  <c r="AC77" i="75"/>
  <c r="M75" i="75"/>
  <c r="N14" i="85"/>
  <c r="Z20" i="75"/>
  <c r="Z46" i="75"/>
  <c r="AG35" i="75"/>
  <c r="AF61" i="75"/>
  <c r="J75" i="75"/>
  <c r="V20" i="75"/>
  <c r="V22" i="75" s="1"/>
  <c r="O35" i="75"/>
  <c r="AD71" i="75"/>
  <c r="J61" i="75"/>
  <c r="K18" i="75"/>
  <c r="K22" i="75" s="1"/>
  <c r="N21" i="75"/>
  <c r="I77" i="75"/>
  <c r="J18" i="75"/>
  <c r="O21" i="75"/>
  <c r="X20" i="75"/>
  <c r="I21" i="75"/>
  <c r="W29" i="75"/>
  <c r="Q77" i="75"/>
  <c r="N77" i="75"/>
  <c r="AC35" i="75"/>
  <c r="AG61" i="75"/>
  <c r="AE43" i="75"/>
  <c r="Z43" i="75"/>
  <c r="Q74" i="75"/>
  <c r="V71" i="75"/>
  <c r="S32" i="75"/>
  <c r="V61" i="75"/>
  <c r="AF19" i="75"/>
  <c r="AA46" i="75"/>
  <c r="AF63" i="75"/>
  <c r="AB43" i="75"/>
  <c r="U74" i="75"/>
  <c r="T71" i="75"/>
  <c r="P21" i="75"/>
  <c r="AC20" i="75"/>
  <c r="M35" i="75"/>
  <c r="AF32" i="75"/>
  <c r="W43" i="75"/>
  <c r="V43" i="75"/>
  <c r="N32" i="75"/>
  <c r="AB14" i="85"/>
  <c r="M21" i="75"/>
  <c r="I35" i="75"/>
  <c r="AB77" i="75"/>
  <c r="AF60" i="75"/>
  <c r="Y60" i="75"/>
  <c r="N75" i="75"/>
  <c r="L29" i="75"/>
  <c r="M18" i="75"/>
  <c r="Y21" i="75"/>
  <c r="O20" i="75"/>
  <c r="I49" i="75"/>
  <c r="I43" i="75"/>
  <c r="J77" i="75"/>
  <c r="Z35" i="75"/>
  <c r="AD35" i="75"/>
  <c r="AG43" i="75"/>
  <c r="AF43" i="75"/>
  <c r="W32" i="75"/>
  <c r="S60" i="75"/>
  <c r="U57" i="75"/>
  <c r="W61" i="75"/>
  <c r="P43" i="75"/>
  <c r="AF14" i="85"/>
  <c r="AD14" i="85"/>
  <c r="AA75" i="75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I22" i="75" s="1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D22" i="75" s="1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68"/>
  <c r="J22" i="75"/>
  <c r="M22" i="75" l="1"/>
  <c r="N22" i="75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14" i="75"/>
  <c r="R36" i="82"/>
  <c r="R72" i="75" s="1"/>
  <c r="R70" i="75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K36" i="81"/>
  <c r="K30" i="75" s="1"/>
  <c r="K28" i="75"/>
  <c r="AE36" i="72"/>
  <c r="AE44" i="75" s="1"/>
  <c r="AE42" i="75"/>
  <c r="K36" i="72"/>
  <c r="K44" i="75" s="1"/>
  <c r="K42" i="75"/>
  <c r="N14" i="75"/>
  <c r="AA36" i="82"/>
  <c r="AA72" i="75" s="1"/>
  <c r="AA70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14" i="75"/>
  <c r="P36" i="82"/>
  <c r="P72" i="75" s="1"/>
  <c r="P70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J36" i="81"/>
  <c r="J30" i="75" s="1"/>
  <c r="J28" i="75"/>
  <c r="AB36" i="72"/>
  <c r="AB44" i="75" s="1"/>
  <c r="AB42" i="75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P36" i="81"/>
  <c r="P30" i="75" s="1"/>
  <c r="P28" i="75"/>
  <c r="O36" i="72"/>
  <c r="O44" i="75" s="1"/>
  <c r="O42" i="75"/>
  <c r="W14" i="75"/>
  <c r="T14" i="75"/>
  <c r="M36" i="82"/>
  <c r="M72" i="75" s="1"/>
  <c r="M70" i="75"/>
  <c r="M36" i="81"/>
  <c r="M30" i="75" s="1"/>
  <c r="M28" i="75"/>
  <c r="P36" i="72"/>
  <c r="P44" i="75" s="1"/>
  <c r="P42" i="75"/>
  <c r="V14" i="75"/>
  <c r="Q14" i="75"/>
  <c r="L36" i="82"/>
  <c r="L72" i="75" s="1"/>
  <c r="L70" i="75"/>
  <c r="I36" i="81"/>
  <c r="I30" i="75" s="1"/>
  <c r="I28" i="75"/>
  <c r="AA36" i="72"/>
  <c r="AA44" i="75" s="1"/>
  <c r="AA42" i="75"/>
  <c r="U14" i="75"/>
  <c r="K14" i="75"/>
  <c r="O36" i="82"/>
  <c r="O72" i="75" s="1"/>
  <c r="O70" i="75"/>
  <c r="O36" i="81"/>
  <c r="O30" i="75" s="1"/>
  <c r="O28" i="75"/>
  <c r="X36" i="72"/>
  <c r="X44" i="75" s="1"/>
  <c r="X42" i="75"/>
  <c r="P14" i="75"/>
  <c r="AG36" i="82"/>
  <c r="AG72" i="75" s="1"/>
  <c r="AG70" i="75"/>
  <c r="AD36" i="73"/>
  <c r="AD58" i="75" s="1"/>
  <c r="AD56" i="75"/>
  <c r="Y36" i="81"/>
  <c r="Y30" i="75" s="1"/>
  <c r="Y28" i="75"/>
  <c r="U36" i="72"/>
  <c r="U44" i="75" s="1"/>
  <c r="U42" i="75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W36" i="81"/>
  <c r="W30" i="75" s="1"/>
  <c r="W28" i="75"/>
  <c r="S36" i="81"/>
  <c r="S30" i="75" s="1"/>
  <c r="S28" i="75"/>
  <c r="W36" i="72"/>
  <c r="W44" i="75" s="1"/>
  <c r="W42" i="75"/>
  <c r="J14" i="75"/>
  <c r="X36" i="82"/>
  <c r="X72" i="75" s="1"/>
  <c r="X70" i="75"/>
  <c r="Y36" i="82"/>
  <c r="Y72" i="75" s="1"/>
  <c r="Y70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L36" i="81"/>
  <c r="L30" i="75" s="1"/>
  <c r="L28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F42" i="75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16" i="75"/>
  <c r="Y64" i="82"/>
  <c r="Y84" i="82" s="1"/>
  <c r="Y108" i="82" s="1"/>
  <c r="Y64" i="81"/>
  <c r="Y84" i="81" s="1"/>
  <c r="Y108" i="81" s="1"/>
  <c r="Y64" i="72"/>
  <c r="Y84" i="72" s="1"/>
  <c r="Y108" i="72" s="1"/>
  <c r="Y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AB92" i="75" l="1"/>
  <c r="AD92" i="75"/>
  <c r="Z92" i="75"/>
  <c r="AF92" i="75"/>
  <c r="Y92" i="75"/>
  <c r="AA92" i="75"/>
  <c r="AC92" i="75"/>
  <c r="X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AB87" i="81"/>
  <c r="AB106" i="81" s="1"/>
  <c r="AB34" i="75"/>
  <c r="AB36" i="75" s="1"/>
  <c r="AA12" i="85" s="1"/>
  <c r="AB87" i="82"/>
  <c r="AB106" i="82" s="1"/>
  <c r="AB76" i="75"/>
  <c r="AB78" i="75" s="1"/>
  <c r="AB87" i="72"/>
  <c r="AB106" i="72" s="1"/>
  <c r="AB48" i="75"/>
  <c r="AB50" i="75" s="1"/>
  <c r="AB40" i="85" s="1"/>
  <c r="AD87" i="82"/>
  <c r="AD106" i="82" s="1"/>
  <c r="AD76" i="75"/>
  <c r="AD78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Z87" i="81"/>
  <c r="Z106" i="81" s="1"/>
  <c r="Z34" i="75"/>
  <c r="Z36" i="75" s="1"/>
  <c r="AF87" i="82"/>
  <c r="AF106" i="82" s="1"/>
  <c r="AF76" i="75"/>
  <c r="AF78" i="75" s="1"/>
  <c r="AF87" i="73"/>
  <c r="AF106" i="73" s="1"/>
  <c r="AF62" i="75"/>
  <c r="AF64" i="75" s="1"/>
  <c r="AF87" i="81"/>
  <c r="AF106" i="81" s="1"/>
  <c r="AF34" i="75"/>
  <c r="AF36" i="75" s="1"/>
  <c r="AE12" i="85" s="1"/>
  <c r="AA87" i="72"/>
  <c r="AA106" i="72" s="1"/>
  <c r="AA48" i="75"/>
  <c r="AA50" i="75" s="1"/>
  <c r="AA40" i="85" s="1"/>
  <c r="Y87" i="81"/>
  <c r="Y106" i="81" s="1"/>
  <c r="Y34" i="75"/>
  <c r="Y36" i="75" s="1"/>
  <c r="AA87" i="82"/>
  <c r="AA106" i="82" s="1"/>
  <c r="AA76" i="75"/>
  <c r="AA78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AA87" i="81"/>
  <c r="AA106" i="81" s="1"/>
  <c r="AA34" i="75"/>
  <c r="AA36" i="75" s="1"/>
  <c r="Z12" i="85" s="1"/>
  <c r="X87" i="81"/>
  <c r="X106" i="81" s="1"/>
  <c r="X34" i="75"/>
  <c r="X36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Y87" i="82"/>
  <c r="Y106" i="82" s="1"/>
  <c r="Y76" i="75"/>
  <c r="Y78" i="75" s="1"/>
  <c r="X87" i="82"/>
  <c r="X106" i="82" s="1"/>
  <c r="X76" i="75"/>
  <c r="X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AA87" i="73"/>
  <c r="AA106" i="73" s="1"/>
  <c r="AA62" i="75"/>
  <c r="AA64" i="75" s="1"/>
  <c r="X87" i="72"/>
  <c r="X106" i="72" s="1"/>
  <c r="X48" i="75"/>
  <c r="X50" i="75" s="1"/>
  <c r="X40" i="8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AB111" i="82" l="1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F52" i="75"/>
  <c r="G11" i="33" s="1"/>
  <c r="AC65" i="85" l="1"/>
  <c r="AC64" i="85"/>
  <c r="AC63" i="85"/>
  <c r="AE65" i="85"/>
  <c r="AE63" i="85"/>
  <c r="AE64" i="85"/>
  <c r="AC79" i="85"/>
  <c r="AC77" i="85"/>
  <c r="AC78" i="85"/>
  <c r="AF64" i="85"/>
  <c r="AF65" i="85"/>
  <c r="AF63" i="85"/>
  <c r="AA64" i="85"/>
  <c r="AA63" i="85"/>
  <c r="AA65" i="85"/>
  <c r="AG79" i="85"/>
  <c r="AG78" i="85"/>
  <c r="AG77" i="85"/>
  <c r="AA77" i="85"/>
  <c r="AA79" i="85"/>
  <c r="AA78" i="85"/>
  <c r="AD77" i="85"/>
  <c r="AD79" i="85"/>
  <c r="AD78" i="85"/>
  <c r="AE77" i="85"/>
  <c r="AE79" i="85"/>
  <c r="AE78" i="85"/>
  <c r="Z65" i="85"/>
  <c r="Z64" i="85"/>
  <c r="Z63" i="85"/>
  <c r="Y78" i="85"/>
  <c r="Y79" i="85"/>
  <c r="Y77" i="85"/>
  <c r="AB78" i="85"/>
  <c r="AB79" i="85"/>
  <c r="AB77" i="85"/>
  <c r="X79" i="85"/>
  <c r="X77" i="85"/>
  <c r="X78" i="85"/>
  <c r="AF78" i="85"/>
  <c r="AF77" i="85"/>
  <c r="AF79" i="85"/>
  <c r="AB63" i="85"/>
  <c r="AB64" i="85"/>
  <c r="AB65" i="85"/>
  <c r="AG65" i="85"/>
  <c r="AG63" i="85"/>
  <c r="AG64" i="85"/>
  <c r="AD64" i="85"/>
  <c r="AD63" i="85"/>
  <c r="AD65" i="85"/>
  <c r="Z79" i="85"/>
  <c r="Z77" i="85"/>
  <c r="Z78" i="85"/>
  <c r="F66" i="75"/>
  <c r="G12" i="33" s="1"/>
  <c r="F38" i="75"/>
  <c r="G10" i="33" s="1"/>
  <c r="F25" i="75" l="1"/>
  <c r="H9" i="33" s="1"/>
  <c r="F24" i="75"/>
  <c r="G9" i="33" s="1"/>
  <c r="F23" i="75" a="1"/>
  <c r="F23" i="75" s="1"/>
  <c r="I9" i="33" s="1"/>
  <c r="F80" i="75" l="1"/>
  <c r="G13" i="33" s="1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Y47" i="85"/>
  <c r="AA47" i="85"/>
  <c r="AE47" i="85"/>
  <c r="Z47" i="85"/>
  <c r="AG47" i="85"/>
  <c r="AC47" i="85"/>
  <c r="AB47" i="85"/>
  <c r="AD47" i="85"/>
  <c r="H46" i="85"/>
  <c r="AG46" i="85"/>
  <c r="AE46" i="85"/>
  <c r="Z46" i="85"/>
  <c r="AB46" i="85"/>
  <c r="AA46" i="85"/>
  <c r="AD46" i="85"/>
  <c r="Y46" i="85"/>
  <c r="X46" i="85"/>
  <c r="AC46" i="85"/>
  <c r="AF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AD49" i="85"/>
  <c r="AA49" i="85"/>
  <c r="AF49" i="85"/>
  <c r="AE49" i="85"/>
  <c r="AC49" i="85"/>
  <c r="AG49" i="85"/>
  <c r="Y49" i="85"/>
  <c r="AB49" i="85"/>
  <c r="X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Z51" i="85"/>
  <c r="X51" i="85"/>
  <c r="AA51" i="85"/>
  <c r="AD51" i="85"/>
  <c r="Y51" i="85"/>
  <c r="AE51" i="85"/>
  <c r="AG51" i="85"/>
  <c r="AC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B30" i="85"/>
  <c r="AE37" i="85"/>
  <c r="AA35" i="85"/>
  <c r="B48" i="85"/>
  <c r="D48" i="85" s="1"/>
  <c r="B44" i="85"/>
  <c r="D44" i="85" s="1"/>
  <c r="D31" i="85"/>
  <c r="D32" i="85"/>
  <c r="D34" i="85"/>
  <c r="D36" i="85"/>
  <c r="AA36" i="85" l="1"/>
  <c r="AF35" i="85"/>
  <c r="AG37" i="85"/>
  <c r="H35" i="85"/>
  <c r="AB35" i="85"/>
  <c r="H37" i="85"/>
  <c r="AC35" i="85"/>
  <c r="AE35" i="85"/>
  <c r="Z36" i="85"/>
  <c r="AB36" i="85"/>
  <c r="X35" i="85"/>
  <c r="Y35" i="85"/>
  <c r="F20" i="85"/>
  <c r="C95" i="85" s="1"/>
  <c r="F44" i="33" s="1"/>
  <c r="F22" i="85"/>
  <c r="F16" i="85"/>
  <c r="C91" i="85" s="1"/>
  <c r="F40" i="33" s="1"/>
  <c r="F17" i="85"/>
  <c r="C92" i="85" s="1"/>
  <c r="F41" i="33" s="1"/>
  <c r="H50" i="85"/>
  <c r="X50" i="85"/>
  <c r="AC50" i="85"/>
  <c r="AD50" i="85"/>
  <c r="AG50" i="85"/>
  <c r="Z50" i="85"/>
  <c r="AE50" i="85"/>
  <c r="AF50" i="85"/>
  <c r="AA50" i="85"/>
  <c r="Y50" i="85"/>
  <c r="AB50" i="85"/>
  <c r="H48" i="85"/>
  <c r="AF48" i="85"/>
  <c r="AA48" i="85"/>
  <c r="AC48" i="85"/>
  <c r="AE48" i="85"/>
  <c r="Z48" i="85"/>
  <c r="AB48" i="85"/>
  <c r="AD48" i="85"/>
  <c r="AG48" i="85"/>
  <c r="X48" i="85"/>
  <c r="Y48" i="85"/>
  <c r="H44" i="85"/>
  <c r="AD44" i="85"/>
  <c r="AA44" i="85"/>
  <c r="AE44" i="85"/>
  <c r="Z44" i="85"/>
  <c r="AB44" i="85"/>
  <c r="AF44" i="85"/>
  <c r="AC44" i="85"/>
  <c r="AG44" i="85"/>
  <c r="X44" i="85"/>
  <c r="Y44" i="85"/>
  <c r="AE34" i="85"/>
  <c r="H45" i="85"/>
  <c r="AC45" i="85"/>
  <c r="AE45" i="85"/>
  <c r="AG45" i="85"/>
  <c r="Y45" i="85"/>
  <c r="AB45" i="85"/>
  <c r="Z45" i="85"/>
  <c r="AA45" i="85"/>
  <c r="X45" i="85"/>
  <c r="AD45" i="85"/>
  <c r="AF45" i="85"/>
  <c r="X36" i="85"/>
  <c r="AB32" i="85"/>
  <c r="AF36" i="85"/>
  <c r="AC34" i="85"/>
  <c r="AF34" i="85"/>
  <c r="H32" i="85"/>
  <c r="H46" i="33"/>
  <c r="H45" i="33"/>
  <c r="H47" i="33"/>
  <c r="AF32" i="85"/>
  <c r="Y34" i="85"/>
  <c r="X32" i="85"/>
  <c r="AD34" i="85"/>
  <c r="AG35" i="85"/>
  <c r="H31" i="85"/>
  <c r="Y33" i="85"/>
  <c r="X31" i="85"/>
  <c r="AB33" i="85"/>
  <c r="AA33" i="85"/>
  <c r="AE31" i="85"/>
  <c r="Z33" i="85"/>
  <c r="AG33" i="85"/>
  <c r="F23" i="85"/>
  <c r="AD31" i="85"/>
  <c r="Z31" i="85"/>
  <c r="Y31" i="85"/>
  <c r="H34" i="85"/>
  <c r="AC31" i="85"/>
  <c r="AE32" i="85"/>
  <c r="Z32" i="85"/>
  <c r="AD32" i="85"/>
  <c r="AA32" i="85"/>
  <c r="Y32" i="85"/>
  <c r="X33" i="85"/>
  <c r="AC36" i="85"/>
  <c r="AG36" i="85"/>
  <c r="H36" i="85"/>
  <c r="AD36" i="85"/>
  <c r="Y36" i="85"/>
  <c r="F19" i="85"/>
  <c r="AA31" i="85"/>
  <c r="AA37" i="85"/>
  <c r="AF37" i="85"/>
  <c r="AE33" i="85"/>
  <c r="F18" i="85"/>
  <c r="AD33" i="85"/>
  <c r="AC33" i="85"/>
  <c r="X34" i="85"/>
  <c r="AC32" i="85"/>
  <c r="AA34" i="85"/>
  <c r="AF33" i="85"/>
  <c r="Z34" i="85"/>
  <c r="AG34" i="85"/>
  <c r="D30" i="85"/>
  <c r="AG31" i="85"/>
  <c r="AE36" i="85"/>
  <c r="H33" i="85"/>
  <c r="Z37" i="85"/>
  <c r="AF28" i="85"/>
  <c r="Z28" i="85"/>
  <c r="AC37" i="85"/>
  <c r="AD28" i="85"/>
  <c r="H28" i="85"/>
  <c r="AC28" i="85"/>
  <c r="AB28" i="85"/>
  <c r="AA28" i="85"/>
  <c r="Y37" i="85"/>
  <c r="AG28" i="85"/>
  <c r="AE28" i="85"/>
  <c r="AD37" i="85"/>
  <c r="AD35" i="85"/>
  <c r="X37" i="85"/>
  <c r="AB37" i="85"/>
  <c r="Y28" i="85"/>
  <c r="X28" i="85"/>
  <c r="AB31" i="85"/>
  <c r="AB34" i="85"/>
  <c r="AF31" i="85"/>
  <c r="AG32" i="85"/>
  <c r="F21" i="85"/>
  <c r="Z35" i="85"/>
  <c r="C94" i="85" l="1"/>
  <c r="F43" i="33" s="1"/>
  <c r="C93" i="85"/>
  <c r="F42" i="33" s="1"/>
  <c r="AD30" i="85"/>
  <c r="AF30" i="85"/>
  <c r="AA30" i="85"/>
  <c r="AC30" i="85"/>
  <c r="X30" i="85"/>
  <c r="AG30" i="85"/>
  <c r="Z30" i="85"/>
  <c r="H30" i="85"/>
  <c r="Y30" i="85"/>
  <c r="AB30" i="85"/>
  <c r="AE30" i="85"/>
  <c r="G47" i="33" l="1"/>
  <c r="I98" i="85"/>
  <c r="K98" i="85" s="1"/>
  <c r="L47" i="33" s="1"/>
  <c r="G45" i="33"/>
  <c r="I96" i="85"/>
  <c r="K96" i="85" s="1"/>
  <c r="L45" i="33" s="1"/>
  <c r="G46" i="33"/>
  <c r="I97" i="85"/>
  <c r="W56" i="75" l="1"/>
  <c r="W36" i="68"/>
  <c r="X56" i="75"/>
  <c r="X36" i="73"/>
  <c r="Y56" i="75"/>
  <c r="Y36" i="73"/>
  <c r="K36" i="73"/>
  <c r="K56" i="75"/>
  <c r="R56" i="75" l="1"/>
  <c r="Q36" i="73"/>
  <c r="Q58" i="75" s="1"/>
  <c r="V36" i="73"/>
  <c r="V58" i="75" s="1"/>
  <c r="M56" i="75"/>
  <c r="J36" i="73"/>
  <c r="J58" i="75" s="1"/>
  <c r="U56" i="75"/>
  <c r="P56" i="75"/>
  <c r="T56" i="75"/>
  <c r="O56" i="75"/>
  <c r="N36" i="73"/>
  <c r="N58" i="75" s="1"/>
  <c r="S36" i="73"/>
  <c r="S58" i="75" s="1"/>
  <c r="L36" i="73"/>
  <c r="L58" i="75" s="1"/>
  <c r="V56" i="75"/>
  <c r="N56" i="75"/>
  <c r="S56" i="75"/>
  <c r="L56" i="75"/>
  <c r="J56" i="75"/>
  <c r="U36" i="73"/>
  <c r="P36" i="73"/>
  <c r="P58" i="75" s="1"/>
  <c r="T36" i="73"/>
  <c r="T58" i="75" s="1"/>
  <c r="R36" i="73"/>
  <c r="W36" i="73"/>
  <c r="W58" i="75" s="1"/>
  <c r="M36" i="73"/>
  <c r="Q56" i="75"/>
  <c r="O36" i="73"/>
  <c r="O58" i="75" s="1"/>
  <c r="W64" i="72"/>
  <c r="W84" i="72" s="1"/>
  <c r="W64" i="82"/>
  <c r="W84" i="82" s="1"/>
  <c r="W64" i="81"/>
  <c r="W84" i="81" s="1"/>
  <c r="W16" i="75"/>
  <c r="W92" i="75" s="1"/>
  <c r="K58" i="75"/>
  <c r="Y58" i="75"/>
  <c r="Y64" i="73"/>
  <c r="Y84" i="73" s="1"/>
  <c r="X58" i="75"/>
  <c r="X64" i="73"/>
  <c r="X84" i="73" s="1"/>
  <c r="I36" i="73"/>
  <c r="I56" i="75"/>
  <c r="N36" i="68" l="1"/>
  <c r="N16" i="75" s="1"/>
  <c r="N92" i="75" s="1"/>
  <c r="O36" i="68"/>
  <c r="O64" i="73" s="1"/>
  <c r="O84" i="73" s="1"/>
  <c r="O62" i="75" s="1"/>
  <c r="O64" i="75" s="1"/>
  <c r="R36" i="68"/>
  <c r="R64" i="82" s="1"/>
  <c r="R84" i="82" s="1"/>
  <c r="R108" i="82" s="1"/>
  <c r="M36" i="68"/>
  <c r="M64" i="81" s="1"/>
  <c r="M84" i="81" s="1"/>
  <c r="M108" i="81" s="1"/>
  <c r="S36" i="68"/>
  <c r="S64" i="82" s="1"/>
  <c r="S84" i="82" s="1"/>
  <c r="S108" i="82" s="1"/>
  <c r="J36" i="68"/>
  <c r="J64" i="82" s="1"/>
  <c r="J84" i="82" s="1"/>
  <c r="J87" i="82" s="1"/>
  <c r="J106" i="82" s="1"/>
  <c r="K36" i="68"/>
  <c r="K64" i="73" s="1"/>
  <c r="K84" i="73" s="1"/>
  <c r="K108" i="73" s="1"/>
  <c r="V36" i="68"/>
  <c r="V64" i="73" s="1"/>
  <c r="V84" i="73" s="1"/>
  <c r="V87" i="73" s="1"/>
  <c r="V106" i="73" s="1"/>
  <c r="P36" i="68"/>
  <c r="P64" i="82" s="1"/>
  <c r="P84" i="82" s="1"/>
  <c r="P108" i="82" s="1"/>
  <c r="Q36" i="68"/>
  <c r="Q64" i="73" s="1"/>
  <c r="Q84" i="73" s="1"/>
  <c r="Q108" i="73" s="1"/>
  <c r="T36" i="68"/>
  <c r="T64" i="73" s="1"/>
  <c r="T84" i="73" s="1"/>
  <c r="T87" i="73" s="1"/>
  <c r="T106" i="73" s="1"/>
  <c r="L36" i="68"/>
  <c r="L64" i="81" s="1"/>
  <c r="L84" i="81" s="1"/>
  <c r="L87" i="81" s="1"/>
  <c r="L106" i="81" s="1"/>
  <c r="U36" i="68"/>
  <c r="U16" i="75" s="1"/>
  <c r="U92" i="75" s="1"/>
  <c r="I36" i="68"/>
  <c r="I64" i="73" s="1"/>
  <c r="I84" i="73" s="1"/>
  <c r="R58" i="75"/>
  <c r="U58" i="75"/>
  <c r="W64" i="73"/>
  <c r="W84" i="73" s="1"/>
  <c r="W108" i="73" s="1"/>
  <c r="M58" i="75"/>
  <c r="W108" i="72"/>
  <c r="W48" i="75"/>
  <c r="W50" i="75" s="1"/>
  <c r="W40" i="85" s="1"/>
  <c r="W87" i="72"/>
  <c r="W106" i="72" s="1"/>
  <c r="F56" i="75"/>
  <c r="W108" i="81"/>
  <c r="W87" i="81"/>
  <c r="W106" i="81" s="1"/>
  <c r="W34" i="75"/>
  <c r="W36" i="75" s="1"/>
  <c r="W108" i="82"/>
  <c r="W76" i="75"/>
  <c r="W78" i="75" s="1"/>
  <c r="W87" i="82"/>
  <c r="W106" i="82" s="1"/>
  <c r="I58" i="75"/>
  <c r="X108" i="73"/>
  <c r="X62" i="75"/>
  <c r="X64" i="75" s="1"/>
  <c r="X87" i="73"/>
  <c r="X106" i="73" s="1"/>
  <c r="Y108" i="73"/>
  <c r="Y62" i="75"/>
  <c r="Y64" i="75" s="1"/>
  <c r="Y87" i="73"/>
  <c r="Y106" i="73" s="1"/>
  <c r="L64" i="73" l="1"/>
  <c r="L84" i="73" s="1"/>
  <c r="L62" i="75" s="1"/>
  <c r="L64" i="75" s="1"/>
  <c r="L64" i="82"/>
  <c r="L84" i="82" s="1"/>
  <c r="L108" i="82" s="1"/>
  <c r="M64" i="82"/>
  <c r="M84" i="82" s="1"/>
  <c r="M108" i="82" s="1"/>
  <c r="L16" i="75"/>
  <c r="L92" i="75" s="1"/>
  <c r="U64" i="72"/>
  <c r="U84" i="72" s="1"/>
  <c r="U87" i="72" s="1"/>
  <c r="U106" i="72" s="1"/>
  <c r="U115" i="72" s="1" a="1"/>
  <c r="U115" i="72" s="1"/>
  <c r="R76" i="75"/>
  <c r="R78" i="75" s="1"/>
  <c r="L108" i="81"/>
  <c r="L114" i="81" s="1" a="1"/>
  <c r="L114" i="81" s="1"/>
  <c r="L34" i="85" s="1"/>
  <c r="L34" i="75"/>
  <c r="L36" i="75" s="1"/>
  <c r="U64" i="82"/>
  <c r="U84" i="82" s="1"/>
  <c r="U76" i="75" s="1"/>
  <c r="U78" i="75" s="1"/>
  <c r="O64" i="81"/>
  <c r="O84" i="81" s="1"/>
  <c r="O34" i="75" s="1"/>
  <c r="O36" i="75" s="1"/>
  <c r="R87" i="82"/>
  <c r="R106" i="82" s="1"/>
  <c r="R113" i="82" s="1" a="1"/>
  <c r="R113" i="82" s="1"/>
  <c r="R75" i="85" s="1"/>
  <c r="L64" i="72"/>
  <c r="L84" i="72" s="1"/>
  <c r="L108" i="72" s="1"/>
  <c r="N64" i="72"/>
  <c r="N84" i="72" s="1"/>
  <c r="N48" i="75" s="1"/>
  <c r="N50" i="75" s="1"/>
  <c r="N40" i="85" s="1"/>
  <c r="N64" i="81"/>
  <c r="N84" i="81" s="1"/>
  <c r="N108" i="81" s="1"/>
  <c r="K64" i="81"/>
  <c r="K84" i="81" s="1"/>
  <c r="K108" i="81" s="1"/>
  <c r="K16" i="75"/>
  <c r="K92" i="75" s="1"/>
  <c r="U64" i="81"/>
  <c r="U84" i="81" s="1"/>
  <c r="U108" i="81" s="1"/>
  <c r="K64" i="72"/>
  <c r="K84" i="72" s="1"/>
  <c r="K108" i="72" s="1"/>
  <c r="J76" i="75"/>
  <c r="J78" i="75" s="1"/>
  <c r="J108" i="82"/>
  <c r="J113" i="82" s="1" a="1"/>
  <c r="J113" i="82" s="1"/>
  <c r="J75" i="85" s="1"/>
  <c r="R64" i="73"/>
  <c r="R84" i="73" s="1"/>
  <c r="R108" i="73" s="1"/>
  <c r="J64" i="73"/>
  <c r="J84" i="73" s="1"/>
  <c r="J108" i="73" s="1"/>
  <c r="S16" i="75"/>
  <c r="S92" i="75" s="1"/>
  <c r="J64" i="81"/>
  <c r="J84" i="81" s="1"/>
  <c r="J87" i="81" s="1"/>
  <c r="J106" i="81" s="1"/>
  <c r="J115" i="81" s="1" a="1"/>
  <c r="J115" i="81" s="1"/>
  <c r="S64" i="81"/>
  <c r="S84" i="81" s="1"/>
  <c r="S108" i="81" s="1"/>
  <c r="V64" i="82"/>
  <c r="V84" i="82" s="1"/>
  <c r="V87" i="82" s="1"/>
  <c r="V106" i="82" s="1"/>
  <c r="V116" i="82" s="1" a="1"/>
  <c r="V116" i="82" s="1"/>
  <c r="V62" i="75"/>
  <c r="V64" i="75" s="1"/>
  <c r="V64" i="72"/>
  <c r="V84" i="72" s="1"/>
  <c r="V108" i="72" s="1"/>
  <c r="V108" i="73"/>
  <c r="V111" i="73" s="1" a="1"/>
  <c r="V111" i="73" s="1"/>
  <c r="V59" i="85" s="1"/>
  <c r="R64" i="81"/>
  <c r="R84" i="81" s="1"/>
  <c r="R34" i="75" s="1"/>
  <c r="R36" i="75" s="1"/>
  <c r="J64" i="72"/>
  <c r="J84" i="72" s="1"/>
  <c r="J48" i="75" s="1"/>
  <c r="J50" i="75" s="1"/>
  <c r="J40" i="85" s="1"/>
  <c r="R64" i="72"/>
  <c r="R84" i="72" s="1"/>
  <c r="R87" i="72" s="1"/>
  <c r="R106" i="72" s="1"/>
  <c r="R117" i="72" s="1" a="1"/>
  <c r="R117" i="72" s="1"/>
  <c r="M64" i="72"/>
  <c r="M84" i="72" s="1"/>
  <c r="M16" i="75"/>
  <c r="M92" i="75" s="1"/>
  <c r="Q64" i="81"/>
  <c r="Q84" i="81" s="1"/>
  <c r="Q34" i="75" s="1"/>
  <c r="Q36" i="75" s="1"/>
  <c r="P64" i="73"/>
  <c r="P84" i="73" s="1"/>
  <c r="P108" i="73" s="1"/>
  <c r="K64" i="82"/>
  <c r="K84" i="82" s="1"/>
  <c r="O64" i="72"/>
  <c r="O84" i="72" s="1"/>
  <c r="O64" i="82"/>
  <c r="O84" i="82" s="1"/>
  <c r="O16" i="75"/>
  <c r="O92" i="75" s="1"/>
  <c r="P76" i="75"/>
  <c r="P78" i="75" s="1"/>
  <c r="P87" i="82"/>
  <c r="P106" i="82" s="1"/>
  <c r="P70" i="85" s="1"/>
  <c r="K62" i="75"/>
  <c r="K64" i="75" s="1"/>
  <c r="Q64" i="82"/>
  <c r="Q84" i="82" s="1"/>
  <c r="Q87" i="82" s="1"/>
  <c r="Q106" i="82" s="1"/>
  <c r="Q70" i="85" s="1"/>
  <c r="S64" i="73"/>
  <c r="S84" i="73" s="1"/>
  <c r="S64" i="72"/>
  <c r="S84" i="72" s="1"/>
  <c r="K87" i="73"/>
  <c r="K106" i="73" s="1"/>
  <c r="K114" i="73" s="1" a="1"/>
  <c r="K114" i="73" s="1"/>
  <c r="K62" i="85" s="1"/>
  <c r="Q87" i="73"/>
  <c r="Q106" i="73" s="1"/>
  <c r="Q116" i="73" s="1" a="1"/>
  <c r="Q116" i="73" s="1"/>
  <c r="V16" i="75"/>
  <c r="V92" i="75" s="1"/>
  <c r="Q62" i="75"/>
  <c r="Q64" i="75" s="1"/>
  <c r="P64" i="81"/>
  <c r="P84" i="81" s="1"/>
  <c r="P87" i="81" s="1"/>
  <c r="P106" i="81" s="1"/>
  <c r="P28" i="85" s="1"/>
  <c r="R16" i="75"/>
  <c r="R92" i="75" s="1"/>
  <c r="J16" i="75"/>
  <c r="J92" i="75" s="1"/>
  <c r="U64" i="73"/>
  <c r="U84" i="73" s="1"/>
  <c r="U87" i="73" s="1"/>
  <c r="U106" i="73" s="1"/>
  <c r="U116" i="73" s="1" a="1"/>
  <c r="U116" i="73" s="1"/>
  <c r="Q64" i="72"/>
  <c r="Q84" i="72" s="1"/>
  <c r="Q108" i="72" s="1"/>
  <c r="T64" i="72"/>
  <c r="T84" i="72" s="1"/>
  <c r="T64" i="81"/>
  <c r="T84" i="81" s="1"/>
  <c r="T16" i="75"/>
  <c r="T92" i="75" s="1"/>
  <c r="T64" i="82"/>
  <c r="T84" i="82" s="1"/>
  <c r="P16" i="75"/>
  <c r="P92" i="75" s="1"/>
  <c r="M64" i="73"/>
  <c r="M84" i="73" s="1"/>
  <c r="V64" i="81"/>
  <c r="V84" i="81" s="1"/>
  <c r="V108" i="81" s="1"/>
  <c r="P64" i="72"/>
  <c r="P84" i="72" s="1"/>
  <c r="P48" i="75" s="1"/>
  <c r="P50" i="75" s="1"/>
  <c r="P40" i="85" s="1"/>
  <c r="Q16" i="75"/>
  <c r="Q92" i="75" s="1"/>
  <c r="N64" i="82"/>
  <c r="N84" i="82" s="1"/>
  <c r="N64" i="73"/>
  <c r="N84" i="73" s="1"/>
  <c r="M87" i="81"/>
  <c r="M106" i="81" s="1"/>
  <c r="M117" i="81" s="1" a="1"/>
  <c r="M117" i="81" s="1"/>
  <c r="M34" i="75"/>
  <c r="M36" i="75" s="1"/>
  <c r="S87" i="82"/>
  <c r="S106" i="82" s="1"/>
  <c r="S117" i="82" s="1" a="1"/>
  <c r="S117" i="82" s="1"/>
  <c r="S76" i="75"/>
  <c r="S78" i="75" s="1"/>
  <c r="I64" i="82"/>
  <c r="I84" i="82" s="1"/>
  <c r="I64" i="72"/>
  <c r="I84" i="72" s="1"/>
  <c r="I16" i="75"/>
  <c r="I64" i="81"/>
  <c r="I84" i="81" s="1"/>
  <c r="F58" i="75"/>
  <c r="T108" i="73"/>
  <c r="T111" i="73" s="1" a="1"/>
  <c r="T111" i="73" s="1"/>
  <c r="T59" i="85" s="1"/>
  <c r="O108" i="73"/>
  <c r="W62" i="75"/>
  <c r="W64" i="75" s="1"/>
  <c r="T62" i="75"/>
  <c r="T64" i="75" s="1"/>
  <c r="O87" i="73"/>
  <c r="O106" i="73" s="1"/>
  <c r="W87" i="73"/>
  <c r="W106" i="73" s="1"/>
  <c r="W112" i="73" s="1" a="1"/>
  <c r="W112" i="73" s="1"/>
  <c r="W60" i="85" s="1"/>
  <c r="L117" i="81" a="1"/>
  <c r="L117" i="81" s="1"/>
  <c r="L116" i="81" a="1"/>
  <c r="L116" i="81" s="1"/>
  <c r="L115" i="81" a="1"/>
  <c r="L115" i="81" s="1"/>
  <c r="L28" i="85"/>
  <c r="W113" i="72" a="1"/>
  <c r="W113" i="72" s="1"/>
  <c r="W47" i="85" s="1"/>
  <c r="W110" i="72" a="1"/>
  <c r="W110" i="72" s="1"/>
  <c r="W44" i="85" s="1"/>
  <c r="W116" i="72" a="1"/>
  <c r="W116" i="72" s="1"/>
  <c r="W42" i="85"/>
  <c r="W112" i="72" a="1"/>
  <c r="W112" i="72" s="1"/>
  <c r="W46" i="85" s="1"/>
  <c r="W115" i="72" a="1"/>
  <c r="W115" i="72" s="1"/>
  <c r="W117" i="72" a="1"/>
  <c r="W117" i="72" s="1"/>
  <c r="W111" i="72" a="1"/>
  <c r="W111" i="72" s="1"/>
  <c r="W45" i="85" s="1"/>
  <c r="W114" i="72" a="1"/>
  <c r="W114" i="72" s="1"/>
  <c r="W48" i="85" s="1"/>
  <c r="W113" i="81" a="1"/>
  <c r="W113" i="81" s="1"/>
  <c r="W33" i="85" s="1"/>
  <c r="W116" i="81" a="1"/>
  <c r="W116" i="81" s="1"/>
  <c r="W112" i="81" a="1"/>
  <c r="W112" i="81" s="1"/>
  <c r="W32" i="85" s="1"/>
  <c r="W114" i="81" a="1"/>
  <c r="W114" i="81" s="1"/>
  <c r="W34" i="85" s="1"/>
  <c r="W117" i="81" a="1"/>
  <c r="W117" i="81" s="1"/>
  <c r="W111" i="81" a="1"/>
  <c r="W111" i="81" s="1"/>
  <c r="W31" i="85" s="1"/>
  <c r="W110" i="81" a="1"/>
  <c r="W110" i="81" s="1"/>
  <c r="W30" i="85" s="1"/>
  <c r="W115" i="81" a="1"/>
  <c r="W115" i="81" s="1"/>
  <c r="W28" i="85"/>
  <c r="J115" i="82" a="1"/>
  <c r="J115" i="82" s="1"/>
  <c r="J116" i="82" a="1"/>
  <c r="J116" i="82" s="1"/>
  <c r="J117" i="82" a="1"/>
  <c r="J117" i="82" s="1"/>
  <c r="J70" i="85"/>
  <c r="W116" i="82" a="1"/>
  <c r="W116" i="82" s="1"/>
  <c r="W110" i="82" a="1"/>
  <c r="W110" i="82" s="1"/>
  <c r="W72" i="85" s="1"/>
  <c r="W115" i="82" a="1"/>
  <c r="W115" i="82" s="1"/>
  <c r="W114" i="82" a="1"/>
  <c r="W114" i="82" s="1"/>
  <c r="W76" i="85" s="1"/>
  <c r="W112" i="82" a="1"/>
  <c r="W112" i="82" s="1"/>
  <c r="W74" i="85" s="1"/>
  <c r="W111" i="82" a="1"/>
  <c r="W111" i="82" s="1"/>
  <c r="W73" i="85" s="1"/>
  <c r="W117" i="82" a="1"/>
  <c r="W117" i="82" s="1"/>
  <c r="W70" i="85"/>
  <c r="W113" i="82" a="1"/>
  <c r="W113" i="82" s="1"/>
  <c r="W75" i="85" s="1"/>
  <c r="X114" i="73" a="1"/>
  <c r="X114" i="73" s="1"/>
  <c r="X62" i="85" s="1"/>
  <c r="X110" i="73" a="1"/>
  <c r="X110" i="73" s="1"/>
  <c r="X58" i="85" s="1"/>
  <c r="X115" i="73" a="1"/>
  <c r="X115" i="73" s="1"/>
  <c r="X116" i="73" a="1"/>
  <c r="X116" i="73" s="1"/>
  <c r="X111" i="73" a="1"/>
  <c r="X111" i="73" s="1"/>
  <c r="X59" i="85" s="1"/>
  <c r="X112" i="73" a="1"/>
  <c r="X112" i="73" s="1"/>
  <c r="X60" i="85" s="1"/>
  <c r="X113" i="73" a="1"/>
  <c r="X113" i="73" s="1"/>
  <c r="X61" i="85" s="1"/>
  <c r="X117" i="73" a="1"/>
  <c r="X117" i="73" s="1"/>
  <c r="X56" i="85"/>
  <c r="Y112" i="73" a="1"/>
  <c r="Y112" i="73" s="1"/>
  <c r="Y60" i="85" s="1"/>
  <c r="Y117" i="73" a="1"/>
  <c r="Y117" i="73" s="1"/>
  <c r="Y110" i="73" a="1"/>
  <c r="Y110" i="73" s="1"/>
  <c r="Y58" i="85" s="1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56" i="85"/>
  <c r="I108" i="73"/>
  <c r="I87" i="73"/>
  <c r="I106" i="73" s="1"/>
  <c r="I62" i="75"/>
  <c r="T115" i="73" a="1"/>
  <c r="T115" i="73" s="1"/>
  <c r="T117" i="73" a="1"/>
  <c r="T117" i="73" s="1"/>
  <c r="T116" i="73" a="1"/>
  <c r="T116" i="73" s="1"/>
  <c r="T56" i="85"/>
  <c r="V115" i="73" a="1"/>
  <c r="V115" i="73" s="1"/>
  <c r="V116" i="73" a="1"/>
  <c r="V116" i="73" s="1"/>
  <c r="V56" i="85"/>
  <c r="V117" i="73" a="1"/>
  <c r="V117" i="73" s="1"/>
  <c r="L108" i="73" l="1"/>
  <c r="L87" i="82"/>
  <c r="L106" i="82" s="1"/>
  <c r="L113" i="82" s="1" a="1"/>
  <c r="L113" i="82" s="1"/>
  <c r="L75" i="85" s="1"/>
  <c r="L87" i="73"/>
  <c r="L106" i="73" s="1"/>
  <c r="L56" i="85" s="1"/>
  <c r="L76" i="75"/>
  <c r="L78" i="75" s="1"/>
  <c r="M76" i="75"/>
  <c r="M78" i="75" s="1"/>
  <c r="M87" i="82"/>
  <c r="M106" i="82" s="1"/>
  <c r="M114" i="82" s="1" a="1"/>
  <c r="M114" i="82" s="1"/>
  <c r="M76" i="85" s="1"/>
  <c r="S34" i="75"/>
  <c r="S36" i="75" s="1"/>
  <c r="U48" i="75"/>
  <c r="U50" i="75" s="1"/>
  <c r="U40" i="85" s="1"/>
  <c r="L111" i="81" a="1"/>
  <c r="L111" i="81" s="1"/>
  <c r="L31" i="85" s="1"/>
  <c r="U117" i="72" a="1"/>
  <c r="U117" i="72" s="1"/>
  <c r="U116" i="72" a="1"/>
  <c r="U116" i="72" s="1"/>
  <c r="L110" i="81" a="1"/>
  <c r="L110" i="81" s="1"/>
  <c r="L30" i="85" s="1"/>
  <c r="L113" i="81" a="1"/>
  <c r="L113" i="81" s="1"/>
  <c r="L33" i="85" s="1"/>
  <c r="U42" i="85"/>
  <c r="U108" i="72"/>
  <c r="U110" i="72" s="1" a="1"/>
  <c r="U110" i="72" s="1"/>
  <c r="U44" i="85" s="1"/>
  <c r="O87" i="81"/>
  <c r="O106" i="81" s="1"/>
  <c r="O117" i="81" s="1" a="1"/>
  <c r="O117" i="81" s="1"/>
  <c r="U108" i="82"/>
  <c r="U87" i="82"/>
  <c r="U106" i="82" s="1"/>
  <c r="U117" i="82" s="1" a="1"/>
  <c r="U117" i="82" s="1"/>
  <c r="K34" i="75"/>
  <c r="K36" i="75" s="1"/>
  <c r="K87" i="81"/>
  <c r="K106" i="81" s="1"/>
  <c r="K114" i="81" s="1" a="1"/>
  <c r="K114" i="81" s="1"/>
  <c r="K34" i="85" s="1"/>
  <c r="L112" i="81" a="1"/>
  <c r="L112" i="81" s="1"/>
  <c r="L32" i="85" s="1"/>
  <c r="P110" i="82" a="1"/>
  <c r="P110" i="82" s="1"/>
  <c r="P72" i="85" s="1"/>
  <c r="L48" i="75"/>
  <c r="L50" i="75" s="1"/>
  <c r="L40" i="85" s="1"/>
  <c r="O108" i="81"/>
  <c r="P116" i="82" a="1"/>
  <c r="P116" i="82" s="1"/>
  <c r="R117" i="82" a="1"/>
  <c r="R117" i="82" s="1"/>
  <c r="R115" i="82" a="1"/>
  <c r="R115" i="82" s="1"/>
  <c r="R77" i="85" s="1"/>
  <c r="R110" i="82" a="1"/>
  <c r="R110" i="82" s="1"/>
  <c r="R72" i="85" s="1"/>
  <c r="R111" i="82" a="1"/>
  <c r="R111" i="82" s="1"/>
  <c r="R73" i="85" s="1"/>
  <c r="R112" i="82" a="1"/>
  <c r="R112" i="82" s="1"/>
  <c r="R74" i="85" s="1"/>
  <c r="P114" i="82" a="1"/>
  <c r="P114" i="82" s="1"/>
  <c r="P76" i="85" s="1"/>
  <c r="L87" i="72"/>
  <c r="L106" i="72" s="1"/>
  <c r="L112" i="72" s="1" a="1"/>
  <c r="L112" i="72" s="1"/>
  <c r="L46" i="85" s="1"/>
  <c r="R70" i="85"/>
  <c r="R116" i="82" a="1"/>
  <c r="R116" i="82" s="1"/>
  <c r="U87" i="81"/>
  <c r="U106" i="81" s="1"/>
  <c r="U116" i="81" s="1" a="1"/>
  <c r="U116" i="81" s="1"/>
  <c r="V108" i="82"/>
  <c r="V112" i="82" s="1" a="1"/>
  <c r="V112" i="82" s="1"/>
  <c r="V74" i="85" s="1"/>
  <c r="N87" i="81"/>
  <c r="N106" i="81" s="1"/>
  <c r="N115" i="81" s="1" a="1"/>
  <c r="N115" i="81" s="1"/>
  <c r="N36" i="85" s="1"/>
  <c r="K87" i="72"/>
  <c r="K106" i="72" s="1"/>
  <c r="K117" i="72" s="1" a="1"/>
  <c r="K117" i="72" s="1"/>
  <c r="R114" i="82" a="1"/>
  <c r="R114" i="82" s="1"/>
  <c r="R76" i="85" s="1"/>
  <c r="U34" i="75"/>
  <c r="U36" i="75" s="1"/>
  <c r="R87" i="73"/>
  <c r="R106" i="73" s="1"/>
  <c r="R116" i="73" s="1" a="1"/>
  <c r="R116" i="73" s="1"/>
  <c r="N34" i="75"/>
  <c r="N36" i="75" s="1"/>
  <c r="J108" i="81"/>
  <c r="J114" i="81" s="1" a="1"/>
  <c r="J114" i="81" s="1"/>
  <c r="J34" i="85" s="1"/>
  <c r="K48" i="75"/>
  <c r="K50" i="75" s="1"/>
  <c r="K40" i="85" s="1"/>
  <c r="N108" i="72"/>
  <c r="N87" i="72"/>
  <c r="N106" i="72" s="1"/>
  <c r="N115" i="72" s="1" a="1"/>
  <c r="N115" i="72" s="1"/>
  <c r="N50" i="85" s="1"/>
  <c r="P111" i="82" a="1"/>
  <c r="P111" i="82" s="1"/>
  <c r="P73" i="85" s="1"/>
  <c r="J112" i="82" a="1"/>
  <c r="J112" i="82" s="1"/>
  <c r="J74" i="85" s="1"/>
  <c r="R62" i="75"/>
  <c r="R64" i="75" s="1"/>
  <c r="J111" i="82" a="1"/>
  <c r="J111" i="82" s="1"/>
  <c r="J73" i="85" s="1"/>
  <c r="P117" i="82" a="1"/>
  <c r="P117" i="82" s="1"/>
  <c r="J114" i="82" a="1"/>
  <c r="J114" i="82" s="1"/>
  <c r="J76" i="85" s="1"/>
  <c r="P113" i="82" a="1"/>
  <c r="P113" i="82" s="1"/>
  <c r="P75" i="85" s="1"/>
  <c r="R115" i="72" a="1"/>
  <c r="R115" i="72" s="1"/>
  <c r="R50" i="85" s="1"/>
  <c r="R116" i="72" a="1"/>
  <c r="R116" i="72" s="1"/>
  <c r="Q108" i="82"/>
  <c r="Q113" i="82" s="1" a="1"/>
  <c r="Q113" i="82" s="1"/>
  <c r="Q75" i="85" s="1"/>
  <c r="K113" i="73" a="1"/>
  <c r="K113" i="73" s="1"/>
  <c r="K61" i="85" s="1"/>
  <c r="R42" i="85"/>
  <c r="V115" i="82" a="1"/>
  <c r="V115" i="82" s="1"/>
  <c r="V79" i="85" s="1"/>
  <c r="J110" i="82" a="1"/>
  <c r="J110" i="82" s="1"/>
  <c r="J72" i="85" s="1"/>
  <c r="J116" i="81" a="1"/>
  <c r="J116" i="81" s="1"/>
  <c r="K110" i="73" a="1"/>
  <c r="K110" i="73" s="1"/>
  <c r="K58" i="85" s="1"/>
  <c r="J34" i="75"/>
  <c r="J36" i="75" s="1"/>
  <c r="J117" i="81" a="1"/>
  <c r="J117" i="81" s="1"/>
  <c r="V48" i="75"/>
  <c r="V50" i="75" s="1"/>
  <c r="V40" i="85" s="1"/>
  <c r="V70" i="85"/>
  <c r="V117" i="82" a="1"/>
  <c r="V117" i="82" s="1"/>
  <c r="J87" i="73"/>
  <c r="J106" i="73" s="1"/>
  <c r="J110" i="73" s="1" a="1"/>
  <c r="J110" i="73" s="1"/>
  <c r="J58" i="85" s="1"/>
  <c r="J62" i="75"/>
  <c r="J64" i="75" s="1"/>
  <c r="J28" i="85"/>
  <c r="V87" i="72"/>
  <c r="V106" i="72" s="1"/>
  <c r="V42" i="85" s="1"/>
  <c r="P116" i="81" a="1"/>
  <c r="P116" i="81" s="1"/>
  <c r="Q76" i="75"/>
  <c r="Q78" i="75" s="1"/>
  <c r="V76" i="75"/>
  <c r="V78" i="75" s="1"/>
  <c r="S87" i="81"/>
  <c r="S106" i="81" s="1"/>
  <c r="S116" i="81" s="1" a="1"/>
  <c r="S116" i="81" s="1"/>
  <c r="Q87" i="72"/>
  <c r="Q106" i="72" s="1"/>
  <c r="Q42" i="85" s="1"/>
  <c r="U56" i="85"/>
  <c r="U117" i="73" a="1"/>
  <c r="U117" i="73" s="1"/>
  <c r="U115" i="73" a="1"/>
  <c r="U115" i="73" s="1"/>
  <c r="U65" i="85" s="1"/>
  <c r="V112" i="73" a="1"/>
  <c r="V112" i="73" s="1"/>
  <c r="V60" i="85" s="1"/>
  <c r="Q117" i="82" a="1"/>
  <c r="Q117" i="82" s="1"/>
  <c r="P112" i="82" a="1"/>
  <c r="P112" i="82" s="1"/>
  <c r="P74" i="85" s="1"/>
  <c r="Q108" i="81"/>
  <c r="J108" i="72"/>
  <c r="Q116" i="82" a="1"/>
  <c r="Q116" i="82" s="1"/>
  <c r="M110" i="81" a="1"/>
  <c r="M110" i="81" s="1"/>
  <c r="M30" i="85" s="1"/>
  <c r="Q115" i="82" a="1"/>
  <c r="Q115" i="82" s="1"/>
  <c r="Q77" i="85" s="1"/>
  <c r="P115" i="82" a="1"/>
  <c r="P115" i="82" s="1"/>
  <c r="P78" i="85" s="1"/>
  <c r="Q48" i="75"/>
  <c r="Q50" i="75" s="1"/>
  <c r="Q40" i="85" s="1"/>
  <c r="P62" i="75"/>
  <c r="P64" i="75" s="1"/>
  <c r="V110" i="73" a="1"/>
  <c r="V110" i="73" s="1"/>
  <c r="V58" i="85" s="1"/>
  <c r="V113" i="73" a="1"/>
  <c r="V113" i="73" s="1"/>
  <c r="V61" i="85" s="1"/>
  <c r="R48" i="75"/>
  <c r="R50" i="75" s="1"/>
  <c r="R40" i="85" s="1"/>
  <c r="P87" i="73"/>
  <c r="P106" i="73" s="1"/>
  <c r="P117" i="73" s="1" a="1"/>
  <c r="P117" i="73" s="1"/>
  <c r="J87" i="72"/>
  <c r="J106" i="72" s="1"/>
  <c r="J42" i="85" s="1"/>
  <c r="R108" i="72"/>
  <c r="R113" i="72" s="1" a="1"/>
  <c r="R113" i="72" s="1"/>
  <c r="R47" i="85" s="1"/>
  <c r="Q87" i="81"/>
  <c r="Q106" i="81" s="1"/>
  <c r="Q116" i="81" s="1" a="1"/>
  <c r="Q116" i="81" s="1"/>
  <c r="U62" i="75"/>
  <c r="U64" i="75" s="1"/>
  <c r="R87" i="81"/>
  <c r="R106" i="81" s="1"/>
  <c r="V114" i="73" a="1"/>
  <c r="V114" i="73" s="1"/>
  <c r="V62" i="85" s="1"/>
  <c r="R108" i="81"/>
  <c r="U108" i="73"/>
  <c r="U114" i="73" s="1" a="1"/>
  <c r="U114" i="73" s="1"/>
  <c r="U62" i="85" s="1"/>
  <c r="V34" i="75"/>
  <c r="V36" i="75" s="1"/>
  <c r="V87" i="81"/>
  <c r="V106" i="81" s="1"/>
  <c r="V111" i="81" s="1" a="1"/>
  <c r="V111" i="81" s="1"/>
  <c r="V31" i="85" s="1"/>
  <c r="P117" i="81" a="1"/>
  <c r="P117" i="81" s="1"/>
  <c r="P115" i="81" a="1"/>
  <c r="P115" i="81" s="1"/>
  <c r="P35" i="85" s="1"/>
  <c r="S108" i="73"/>
  <c r="S62" i="75"/>
  <c r="S64" i="75" s="1"/>
  <c r="S87" i="73"/>
  <c r="S106" i="73" s="1"/>
  <c r="K112" i="73" a="1"/>
  <c r="K112" i="73" s="1"/>
  <c r="K60" i="85" s="1"/>
  <c r="P108" i="72"/>
  <c r="K117" i="73" a="1"/>
  <c r="K117" i="73" s="1"/>
  <c r="Q115" i="73" a="1"/>
  <c r="Q115" i="73" s="1"/>
  <c r="Q64" i="85" s="1"/>
  <c r="K111" i="73" a="1"/>
  <c r="K111" i="73" s="1"/>
  <c r="K59" i="85" s="1"/>
  <c r="Q110" i="73" a="1"/>
  <c r="Q110" i="73" s="1"/>
  <c r="Q58" i="85" s="1"/>
  <c r="P87" i="72"/>
  <c r="P106" i="72" s="1"/>
  <c r="M108" i="73"/>
  <c r="M87" i="73"/>
  <c r="M106" i="73" s="1"/>
  <c r="M62" i="75"/>
  <c r="M64" i="75" s="1"/>
  <c r="T108" i="82"/>
  <c r="T87" i="82"/>
  <c r="T106" i="82" s="1"/>
  <c r="T76" i="75"/>
  <c r="T78" i="75" s="1"/>
  <c r="T108" i="72"/>
  <c r="T87" i="72"/>
  <c r="T106" i="72" s="1"/>
  <c r="T48" i="75"/>
  <c r="T50" i="75" s="1"/>
  <c r="T40" i="85" s="1"/>
  <c r="N87" i="73"/>
  <c r="N106" i="73" s="1"/>
  <c r="N108" i="73"/>
  <c r="N62" i="75"/>
  <c r="N64" i="75" s="1"/>
  <c r="S108" i="72"/>
  <c r="S87" i="72"/>
  <c r="S106" i="72" s="1"/>
  <c r="S48" i="75"/>
  <c r="S50" i="75" s="1"/>
  <c r="S40" i="85" s="1"/>
  <c r="P108" i="81"/>
  <c r="P113" i="81" s="1" a="1"/>
  <c r="P113" i="81" s="1"/>
  <c r="P33" i="85" s="1"/>
  <c r="P34" i="75"/>
  <c r="P36" i="75" s="1"/>
  <c r="K115" i="73" a="1"/>
  <c r="K115" i="73" s="1"/>
  <c r="K65" i="85" s="1"/>
  <c r="K116" i="73" a="1"/>
  <c r="K116" i="73" s="1"/>
  <c r="Q111" i="73" a="1"/>
  <c r="Q111" i="73" s="1"/>
  <c r="Q59" i="85" s="1"/>
  <c r="Q56" i="85"/>
  <c r="O108" i="82"/>
  <c r="O76" i="75"/>
  <c r="O78" i="75" s="1"/>
  <c r="O87" i="82"/>
  <c r="O106" i="82" s="1"/>
  <c r="Q113" i="73" a="1"/>
  <c r="Q113" i="73" s="1"/>
  <c r="Q61" i="85" s="1"/>
  <c r="M112" i="81" a="1"/>
  <c r="M112" i="81" s="1"/>
  <c r="M32" i="85" s="1"/>
  <c r="M114" i="81" a="1"/>
  <c r="M114" i="81" s="1"/>
  <c r="M34" i="85" s="1"/>
  <c r="N87" i="82"/>
  <c r="N106" i="82" s="1"/>
  <c r="N108" i="82"/>
  <c r="N76" i="75"/>
  <c r="N78" i="75" s="1"/>
  <c r="Q117" i="73" a="1"/>
  <c r="Q117" i="73" s="1"/>
  <c r="O108" i="72"/>
  <c r="O48" i="75"/>
  <c r="O50" i="75" s="1"/>
  <c r="O40" i="85" s="1"/>
  <c r="O87" i="72"/>
  <c r="O106" i="72" s="1"/>
  <c r="K76" i="75"/>
  <c r="K78" i="75" s="1"/>
  <c r="K87" i="82"/>
  <c r="K106" i="82" s="1"/>
  <c r="K108" i="82"/>
  <c r="M113" i="81" a="1"/>
  <c r="M113" i="81" s="1"/>
  <c r="M33" i="85" s="1"/>
  <c r="M108" i="72"/>
  <c r="M48" i="75"/>
  <c r="M50" i="75" s="1"/>
  <c r="M40" i="85" s="1"/>
  <c r="M87" i="72"/>
  <c r="M106" i="72" s="1"/>
  <c r="K56" i="85"/>
  <c r="Q114" i="73" a="1"/>
  <c r="Q114" i="73" s="1"/>
  <c r="Q62" i="85" s="1"/>
  <c r="T108" i="81"/>
  <c r="T87" i="81"/>
  <c r="T106" i="81" s="1"/>
  <c r="T34" i="75"/>
  <c r="T36" i="75" s="1"/>
  <c r="Q112" i="73" a="1"/>
  <c r="Q112" i="73" s="1"/>
  <c r="Q60" i="85" s="1"/>
  <c r="M111" i="81" a="1"/>
  <c r="M111" i="81" s="1"/>
  <c r="M31" i="85" s="1"/>
  <c r="M115" i="81" a="1"/>
  <c r="M115" i="81" s="1"/>
  <c r="M35" i="85" s="1"/>
  <c r="M116" i="81" a="1"/>
  <c r="M116" i="81" s="1"/>
  <c r="M28" i="85"/>
  <c r="O113" i="73" a="1"/>
  <c r="O113" i="73" s="1"/>
  <c r="O61" i="85" s="1"/>
  <c r="S113" i="82" a="1"/>
  <c r="S113" i="82" s="1"/>
  <c r="S75" i="85" s="1"/>
  <c r="T112" i="73" a="1"/>
  <c r="T112" i="73" s="1"/>
  <c r="T60" i="85" s="1"/>
  <c r="T114" i="73" a="1"/>
  <c r="T114" i="73" s="1"/>
  <c r="T62" i="85" s="1"/>
  <c r="S116" i="82" a="1"/>
  <c r="S116" i="82" s="1"/>
  <c r="S70" i="85"/>
  <c r="T110" i="73" a="1"/>
  <c r="T110" i="73" s="1"/>
  <c r="T58" i="85" s="1"/>
  <c r="S111" i="82" a="1"/>
  <c r="S111" i="82" s="1"/>
  <c r="S73" i="85" s="1"/>
  <c r="S112" i="82" a="1"/>
  <c r="S112" i="82" s="1"/>
  <c r="S74" i="85" s="1"/>
  <c r="S110" i="82" a="1"/>
  <c r="S110" i="82" s="1"/>
  <c r="S72" i="85" s="1"/>
  <c r="S114" i="82" a="1"/>
  <c r="S114" i="82" s="1"/>
  <c r="S76" i="85" s="1"/>
  <c r="S115" i="82" a="1"/>
  <c r="S115" i="82" s="1"/>
  <c r="S79" i="85" s="1"/>
  <c r="T113" i="73" a="1"/>
  <c r="T113" i="73" s="1"/>
  <c r="T61" i="85" s="1"/>
  <c r="I48" i="75"/>
  <c r="I87" i="72"/>
  <c r="I106" i="72" s="1"/>
  <c r="I108" i="72"/>
  <c r="I108" i="81"/>
  <c r="I87" i="81"/>
  <c r="I106" i="81" s="1"/>
  <c r="I34" i="75"/>
  <c r="O115" i="73" a="1"/>
  <c r="O115" i="73" s="1"/>
  <c r="O65" i="85" s="1"/>
  <c r="I92" i="75"/>
  <c r="F16" i="75" a="1"/>
  <c r="F16" i="75" s="1"/>
  <c r="O110" i="73" a="1"/>
  <c r="O110" i="73" s="1"/>
  <c r="O58" i="85" s="1"/>
  <c r="I108" i="82"/>
  <c r="I87" i="82"/>
  <c r="I106" i="82" s="1"/>
  <c r="I76" i="75"/>
  <c r="W56" i="85"/>
  <c r="W110" i="73" a="1"/>
  <c r="W110" i="73" s="1"/>
  <c r="W58" i="85" s="1"/>
  <c r="W115" i="73" a="1"/>
  <c r="W115" i="73" s="1"/>
  <c r="W65" i="85" s="1"/>
  <c r="W111" i="73" a="1"/>
  <c r="W111" i="73" s="1"/>
  <c r="W59" i="85" s="1"/>
  <c r="W113" i="73" a="1"/>
  <c r="W113" i="73" s="1"/>
  <c r="W61" i="85" s="1"/>
  <c r="W114" i="73" a="1"/>
  <c r="W114" i="73" s="1"/>
  <c r="W62" i="85" s="1"/>
  <c r="W116" i="73" a="1"/>
  <c r="W116" i="73" s="1"/>
  <c r="W117" i="73" a="1"/>
  <c r="W117" i="73" s="1"/>
  <c r="O117" i="73" a="1"/>
  <c r="O117" i="73" s="1"/>
  <c r="O56" i="85"/>
  <c r="O116" i="73" a="1"/>
  <c r="O116" i="73" s="1"/>
  <c r="O111" i="73" a="1"/>
  <c r="O111" i="73" s="1"/>
  <c r="O59" i="85" s="1"/>
  <c r="O114" i="73" a="1"/>
  <c r="O114" i="73" s="1"/>
  <c r="O62" i="85" s="1"/>
  <c r="O112" i="73" a="1"/>
  <c r="O112" i="73" s="1"/>
  <c r="O60" i="85" s="1"/>
  <c r="W36" i="85"/>
  <c r="W37" i="85"/>
  <c r="W35" i="85"/>
  <c r="U51" i="85"/>
  <c r="U49" i="85"/>
  <c r="U50" i="85"/>
  <c r="W51" i="85"/>
  <c r="W49" i="85"/>
  <c r="W50" i="85"/>
  <c r="W78" i="85"/>
  <c r="W79" i="85"/>
  <c r="W77" i="85"/>
  <c r="J78" i="85"/>
  <c r="J77" i="85"/>
  <c r="J79" i="85"/>
  <c r="J36" i="85"/>
  <c r="J35" i="85"/>
  <c r="J37" i="85"/>
  <c r="L36" i="85"/>
  <c r="L37" i="85"/>
  <c r="L35" i="85"/>
  <c r="V65" i="85"/>
  <c r="V64" i="85"/>
  <c r="V63" i="85"/>
  <c r="I64" i="75"/>
  <c r="T64" i="85"/>
  <c r="T65" i="85"/>
  <c r="T63" i="85"/>
  <c r="I111" i="73" a="1"/>
  <c r="I111" i="73" s="1"/>
  <c r="I59" i="85" s="1"/>
  <c r="I114" i="73" a="1"/>
  <c r="I114" i="73" s="1"/>
  <c r="I62" i="85" s="1"/>
  <c r="I115" i="73" a="1"/>
  <c r="I115" i="73" s="1"/>
  <c r="I56" i="85"/>
  <c r="I113" i="73" a="1"/>
  <c r="I113" i="73" s="1"/>
  <c r="I61" i="85" s="1"/>
  <c r="I116" i="73" a="1"/>
  <c r="I116" i="73" s="1"/>
  <c r="I112" i="73" a="1"/>
  <c r="I112" i="73" s="1"/>
  <c r="I60" i="85" s="1"/>
  <c r="I110" i="73" a="1"/>
  <c r="I110" i="73" s="1"/>
  <c r="I58" i="85" s="1"/>
  <c r="I117" i="73" a="1"/>
  <c r="I117" i="73" s="1"/>
  <c r="Y64" i="85"/>
  <c r="Y63" i="85"/>
  <c r="Y65" i="85"/>
  <c r="X65" i="85"/>
  <c r="X64" i="85"/>
  <c r="X63" i="85"/>
  <c r="L117" i="82" l="1" a="1"/>
  <c r="L117" i="82" s="1"/>
  <c r="L117" i="73" a="1"/>
  <c r="L117" i="73" s="1"/>
  <c r="L114" i="82" a="1"/>
  <c r="L114" i="82" s="1"/>
  <c r="L76" i="85" s="1"/>
  <c r="L112" i="82" a="1"/>
  <c r="L112" i="82" s="1"/>
  <c r="L74" i="85" s="1"/>
  <c r="L116" i="82" a="1"/>
  <c r="L116" i="82" s="1"/>
  <c r="L116" i="73" a="1"/>
  <c r="L116" i="73" s="1"/>
  <c r="L112" i="73" a="1"/>
  <c r="L112" i="73" s="1"/>
  <c r="L60" i="85" s="1"/>
  <c r="L111" i="82" a="1"/>
  <c r="L111" i="82" s="1"/>
  <c r="L73" i="85" s="1"/>
  <c r="L113" i="73" a="1"/>
  <c r="L113" i="73" s="1"/>
  <c r="L61" i="85" s="1"/>
  <c r="L110" i="82" a="1"/>
  <c r="L110" i="82" s="1"/>
  <c r="L72" i="85" s="1"/>
  <c r="M117" i="82" a="1"/>
  <c r="M117" i="82" s="1"/>
  <c r="M110" i="82" a="1"/>
  <c r="M110" i="82" s="1"/>
  <c r="M72" i="85" s="1"/>
  <c r="M116" i="82" a="1"/>
  <c r="M116" i="82" s="1"/>
  <c r="L70" i="85"/>
  <c r="L110" i="73" a="1"/>
  <c r="L110" i="73" s="1"/>
  <c r="L58" i="85" s="1"/>
  <c r="L115" i="82" a="1"/>
  <c r="L115" i="82" s="1"/>
  <c r="L77" i="85" s="1"/>
  <c r="L114" i="73" a="1"/>
  <c r="L114" i="73" s="1"/>
  <c r="L62" i="85" s="1"/>
  <c r="L111" i="73" a="1"/>
  <c r="L111" i="73" s="1"/>
  <c r="L59" i="85" s="1"/>
  <c r="L115" i="73" a="1"/>
  <c r="L115" i="73" s="1"/>
  <c r="L64" i="85" s="1"/>
  <c r="M111" i="82" a="1"/>
  <c r="M111" i="82" s="1"/>
  <c r="M73" i="85" s="1"/>
  <c r="M115" i="82" a="1"/>
  <c r="M115" i="82" s="1"/>
  <c r="M77" i="85" s="1"/>
  <c r="M70" i="85"/>
  <c r="M112" i="82" a="1"/>
  <c r="M112" i="82" s="1"/>
  <c r="M74" i="85" s="1"/>
  <c r="M113" i="82" a="1"/>
  <c r="M113" i="82" s="1"/>
  <c r="M75" i="85" s="1"/>
  <c r="U114" i="72" a="1"/>
  <c r="U114" i="72" s="1"/>
  <c r="U48" i="85" s="1"/>
  <c r="U116" i="82" a="1"/>
  <c r="U116" i="82" s="1"/>
  <c r="K113" i="81" a="1"/>
  <c r="K113" i="81" s="1"/>
  <c r="K33" i="85" s="1"/>
  <c r="K116" i="81" a="1"/>
  <c r="K116" i="81" s="1"/>
  <c r="U111" i="82" a="1"/>
  <c r="U111" i="82" s="1"/>
  <c r="U73" i="85" s="1"/>
  <c r="U70" i="85"/>
  <c r="U112" i="72" a="1"/>
  <c r="U112" i="72" s="1"/>
  <c r="U46" i="85" s="1"/>
  <c r="U111" i="72" a="1"/>
  <c r="U111" i="72" s="1"/>
  <c r="U45" i="85" s="1"/>
  <c r="O116" i="81" a="1"/>
  <c r="O116" i="81" s="1"/>
  <c r="K115" i="81" a="1"/>
  <c r="K115" i="81" s="1"/>
  <c r="K37" i="85" s="1"/>
  <c r="U113" i="72" a="1"/>
  <c r="U113" i="72" s="1"/>
  <c r="U47" i="85" s="1"/>
  <c r="K111" i="81" a="1"/>
  <c r="K111" i="81" s="1"/>
  <c r="K31" i="85" s="1"/>
  <c r="O112" i="81" a="1"/>
  <c r="O112" i="81" s="1"/>
  <c r="O32" i="85" s="1"/>
  <c r="O115" i="81" a="1"/>
  <c r="O115" i="81" s="1"/>
  <c r="O36" i="85" s="1"/>
  <c r="O28" i="85"/>
  <c r="U115" i="82" a="1"/>
  <c r="U115" i="82" s="1"/>
  <c r="U78" i="85" s="1"/>
  <c r="K112" i="81" a="1"/>
  <c r="K112" i="81" s="1"/>
  <c r="K32" i="85" s="1"/>
  <c r="J113" i="81" a="1"/>
  <c r="J113" i="81" s="1"/>
  <c r="J33" i="85" s="1"/>
  <c r="K28" i="85"/>
  <c r="U114" i="82" a="1"/>
  <c r="U114" i="82" s="1"/>
  <c r="U76" i="85" s="1"/>
  <c r="U113" i="82" a="1"/>
  <c r="U113" i="82" s="1"/>
  <c r="U75" i="85" s="1"/>
  <c r="U112" i="82" a="1"/>
  <c r="U112" i="82" s="1"/>
  <c r="U74" i="85" s="1"/>
  <c r="K110" i="81" a="1"/>
  <c r="K110" i="81" s="1"/>
  <c r="K30" i="85" s="1"/>
  <c r="L114" i="72" a="1"/>
  <c r="L114" i="72" s="1"/>
  <c r="L48" i="85" s="1"/>
  <c r="N114" i="72" a="1"/>
  <c r="N114" i="72" s="1"/>
  <c r="N48" i="85" s="1"/>
  <c r="U110" i="82" a="1"/>
  <c r="U110" i="82" s="1"/>
  <c r="U72" i="85" s="1"/>
  <c r="O110" i="81" a="1"/>
  <c r="O110" i="81" s="1"/>
  <c r="O30" i="85" s="1"/>
  <c r="K117" i="81" a="1"/>
  <c r="K117" i="81" s="1"/>
  <c r="Q113" i="81" a="1"/>
  <c r="Q113" i="81" s="1"/>
  <c r="Q33" i="85" s="1"/>
  <c r="O113" i="81" a="1"/>
  <c r="O113" i="81" s="1"/>
  <c r="O33" i="85" s="1"/>
  <c r="V113" i="82" a="1"/>
  <c r="V113" i="82" s="1"/>
  <c r="V75" i="85" s="1"/>
  <c r="V114" i="82" a="1"/>
  <c r="V114" i="82" s="1"/>
  <c r="V76" i="85" s="1"/>
  <c r="V110" i="82" a="1"/>
  <c r="V110" i="82" s="1"/>
  <c r="V72" i="85" s="1"/>
  <c r="O111" i="81" a="1"/>
  <c r="O111" i="81" s="1"/>
  <c r="O31" i="85" s="1"/>
  <c r="O114" i="81" a="1"/>
  <c r="O114" i="81" s="1"/>
  <c r="O34" i="85" s="1"/>
  <c r="L113" i="72" a="1"/>
  <c r="L113" i="72" s="1"/>
  <c r="L47" i="85" s="1"/>
  <c r="N113" i="72" a="1"/>
  <c r="N113" i="72" s="1"/>
  <c r="N47" i="85" s="1"/>
  <c r="K116" i="72" a="1"/>
  <c r="K116" i="72" s="1"/>
  <c r="U114" i="81" a="1"/>
  <c r="U114" i="81" s="1"/>
  <c r="U34" i="85" s="1"/>
  <c r="J110" i="81" a="1"/>
  <c r="J110" i="81" s="1"/>
  <c r="J30" i="85" s="1"/>
  <c r="L117" i="72" a="1"/>
  <c r="L117" i="72" s="1"/>
  <c r="U110" i="81" a="1"/>
  <c r="U110" i="81" s="1"/>
  <c r="U30" i="85" s="1"/>
  <c r="R78" i="85"/>
  <c r="K114" i="72" a="1"/>
  <c r="K114" i="72" s="1"/>
  <c r="K48" i="85" s="1"/>
  <c r="L116" i="72" a="1"/>
  <c r="L116" i="72" s="1"/>
  <c r="L110" i="72" a="1"/>
  <c r="L110" i="72" s="1"/>
  <c r="L44" i="85" s="1"/>
  <c r="L115" i="72" a="1"/>
  <c r="L115" i="72" s="1"/>
  <c r="L49" i="85" s="1"/>
  <c r="L42" i="85"/>
  <c r="N28" i="85"/>
  <c r="U28" i="85"/>
  <c r="N111" i="81" a="1"/>
  <c r="N111" i="81" s="1"/>
  <c r="N31" i="85" s="1"/>
  <c r="N113" i="81" a="1"/>
  <c r="N113" i="81" s="1"/>
  <c r="N33" i="85" s="1"/>
  <c r="N114" i="81" a="1"/>
  <c r="N114" i="81" s="1"/>
  <c r="N34" i="85" s="1"/>
  <c r="R117" i="73" a="1"/>
  <c r="R117" i="73" s="1"/>
  <c r="N37" i="85"/>
  <c r="K112" i="72" a="1"/>
  <c r="K112" i="72" s="1"/>
  <c r="K46" i="85" s="1"/>
  <c r="V111" i="82" a="1"/>
  <c r="V111" i="82" s="1"/>
  <c r="V73" i="85" s="1"/>
  <c r="R112" i="73" a="1"/>
  <c r="R112" i="73" s="1"/>
  <c r="R60" i="85" s="1"/>
  <c r="K113" i="72" a="1"/>
  <c r="K113" i="72" s="1"/>
  <c r="K47" i="85" s="1"/>
  <c r="U113" i="81" a="1"/>
  <c r="U113" i="81" s="1"/>
  <c r="U33" i="85" s="1"/>
  <c r="N117" i="81" a="1"/>
  <c r="N117" i="81" s="1"/>
  <c r="K42" i="85"/>
  <c r="U117" i="81" a="1"/>
  <c r="U117" i="81" s="1"/>
  <c r="N35" i="85"/>
  <c r="N112" i="72" a="1"/>
  <c r="N112" i="72" s="1"/>
  <c r="N46" i="85" s="1"/>
  <c r="U115" i="81" a="1"/>
  <c r="U115" i="81" s="1"/>
  <c r="U35" i="85" s="1"/>
  <c r="R79" i="85"/>
  <c r="N116" i="81" a="1"/>
  <c r="N116" i="81" s="1"/>
  <c r="N112" i="81" a="1"/>
  <c r="N112" i="81" s="1"/>
  <c r="N32" i="85" s="1"/>
  <c r="L111" i="72" a="1"/>
  <c r="L111" i="72" s="1"/>
  <c r="L45" i="85" s="1"/>
  <c r="R110" i="73" a="1"/>
  <c r="R110" i="73" s="1"/>
  <c r="R58" i="85" s="1"/>
  <c r="U111" i="81" a="1"/>
  <c r="U111" i="81" s="1"/>
  <c r="U31" i="85" s="1"/>
  <c r="U112" i="81" a="1"/>
  <c r="U112" i="81" s="1"/>
  <c r="U32" i="85" s="1"/>
  <c r="K115" i="72" a="1"/>
  <c r="K115" i="72" s="1"/>
  <c r="K50" i="85" s="1"/>
  <c r="R115" i="73" a="1"/>
  <c r="R115" i="73" s="1"/>
  <c r="R65" i="85" s="1"/>
  <c r="R113" i="73" a="1"/>
  <c r="R113" i="73" s="1"/>
  <c r="R61" i="85" s="1"/>
  <c r="K111" i="72" a="1"/>
  <c r="K111" i="72" s="1"/>
  <c r="K45" i="85" s="1"/>
  <c r="R56" i="85"/>
  <c r="N110" i="81" a="1"/>
  <c r="N110" i="81" s="1"/>
  <c r="N30" i="85" s="1"/>
  <c r="K110" i="72" a="1"/>
  <c r="K110" i="72" s="1"/>
  <c r="K44" i="85" s="1"/>
  <c r="R111" i="73" a="1"/>
  <c r="R111" i="73" s="1"/>
  <c r="R59" i="85" s="1"/>
  <c r="R114" i="73" a="1"/>
  <c r="R114" i="73" s="1"/>
  <c r="R62" i="85" s="1"/>
  <c r="J56" i="85"/>
  <c r="N116" i="72" a="1"/>
  <c r="N116" i="72" s="1"/>
  <c r="N117" i="72" a="1"/>
  <c r="N117" i="72" s="1"/>
  <c r="N111" i="72" a="1"/>
  <c r="N111" i="72" s="1"/>
  <c r="N45" i="85" s="1"/>
  <c r="N110" i="72" a="1"/>
  <c r="N110" i="72" s="1"/>
  <c r="N44" i="85" s="1"/>
  <c r="N42" i="85"/>
  <c r="J112" i="81" a="1"/>
  <c r="J112" i="81" s="1"/>
  <c r="J32" i="85" s="1"/>
  <c r="J111" i="81" a="1"/>
  <c r="J111" i="81" s="1"/>
  <c r="J31" i="85" s="1"/>
  <c r="Q114" i="72" a="1"/>
  <c r="Q114" i="72" s="1"/>
  <c r="Q48" i="85" s="1"/>
  <c r="U113" i="73" a="1"/>
  <c r="U113" i="73" s="1"/>
  <c r="U61" i="85" s="1"/>
  <c r="Q112" i="72" a="1"/>
  <c r="Q112" i="72" s="1"/>
  <c r="Q46" i="85" s="1"/>
  <c r="P110" i="72" a="1"/>
  <c r="P110" i="72" s="1"/>
  <c r="P44" i="85" s="1"/>
  <c r="Q116" i="72" a="1"/>
  <c r="Q116" i="72" s="1"/>
  <c r="V115" i="72" a="1"/>
  <c r="V115" i="72" s="1"/>
  <c r="V49" i="85" s="1"/>
  <c r="S117" i="81" a="1"/>
  <c r="S117" i="81" s="1"/>
  <c r="S28" i="85"/>
  <c r="S115" i="81" a="1"/>
  <c r="S115" i="81" s="1"/>
  <c r="S35" i="85" s="1"/>
  <c r="S112" i="81" a="1"/>
  <c r="S112" i="81" s="1"/>
  <c r="S32" i="85" s="1"/>
  <c r="Q114" i="82" a="1"/>
  <c r="Q114" i="82" s="1"/>
  <c r="Q76" i="85" s="1"/>
  <c r="Q113" i="72" a="1"/>
  <c r="Q113" i="72" s="1"/>
  <c r="Q47" i="85" s="1"/>
  <c r="V115" i="81" a="1"/>
  <c r="V115" i="81" s="1"/>
  <c r="V36" i="85" s="1"/>
  <c r="Q112" i="82" a="1"/>
  <c r="Q112" i="82" s="1"/>
  <c r="Q74" i="85" s="1"/>
  <c r="Q115" i="72" a="1"/>
  <c r="Q115" i="72" s="1"/>
  <c r="Q49" i="85" s="1"/>
  <c r="Q110" i="82" a="1"/>
  <c r="Q110" i="82" s="1"/>
  <c r="Q72" i="85" s="1"/>
  <c r="U63" i="85"/>
  <c r="U111" i="73" a="1"/>
  <c r="U111" i="73" s="1"/>
  <c r="U59" i="85" s="1"/>
  <c r="J111" i="73" a="1"/>
  <c r="J111" i="73" s="1"/>
  <c r="J59" i="85" s="1"/>
  <c r="K64" i="85"/>
  <c r="Q111" i="82" a="1"/>
  <c r="Q111" i="82" s="1"/>
  <c r="Q73" i="85" s="1"/>
  <c r="V78" i="85"/>
  <c r="R49" i="85"/>
  <c r="S111" i="81" a="1"/>
  <c r="S111" i="81" s="1"/>
  <c r="S31" i="85" s="1"/>
  <c r="R51" i="85"/>
  <c r="U110" i="73" a="1"/>
  <c r="U110" i="73" s="1"/>
  <c r="U58" i="85" s="1"/>
  <c r="R111" i="81" a="1"/>
  <c r="R111" i="81" s="1"/>
  <c r="R31" i="85" s="1"/>
  <c r="S113" i="81" a="1"/>
  <c r="S113" i="81" s="1"/>
  <c r="S33" i="85" s="1"/>
  <c r="U112" i="73" a="1"/>
  <c r="U112" i="73" s="1"/>
  <c r="U60" i="85" s="1"/>
  <c r="V117" i="81" a="1"/>
  <c r="V117" i="81" s="1"/>
  <c r="J116" i="73" a="1"/>
  <c r="J116" i="73" s="1"/>
  <c r="V110" i="72" a="1"/>
  <c r="V110" i="72" s="1"/>
  <c r="V44" i="85" s="1"/>
  <c r="J113" i="73" a="1"/>
  <c r="J113" i="73" s="1"/>
  <c r="J61" i="85" s="1"/>
  <c r="Q111" i="72" a="1"/>
  <c r="Q111" i="72" s="1"/>
  <c r="Q45" i="85" s="1"/>
  <c r="J114" i="73" a="1"/>
  <c r="J114" i="73" s="1"/>
  <c r="J62" i="85" s="1"/>
  <c r="V113" i="72" a="1"/>
  <c r="V113" i="72" s="1"/>
  <c r="V47" i="85" s="1"/>
  <c r="J115" i="73" a="1"/>
  <c r="J115" i="73" s="1"/>
  <c r="J65" i="85" s="1"/>
  <c r="V112" i="72" a="1"/>
  <c r="V112" i="72" s="1"/>
  <c r="V46" i="85" s="1"/>
  <c r="U64" i="85"/>
  <c r="V77" i="85"/>
  <c r="P112" i="73" a="1"/>
  <c r="P112" i="73" s="1"/>
  <c r="P60" i="85" s="1"/>
  <c r="P77" i="85"/>
  <c r="Q110" i="72" a="1"/>
  <c r="Q110" i="72" s="1"/>
  <c r="Q44" i="85" s="1"/>
  <c r="P79" i="85"/>
  <c r="J112" i="72" a="1"/>
  <c r="J112" i="72" s="1"/>
  <c r="J46" i="85" s="1"/>
  <c r="J112" i="73" a="1"/>
  <c r="J112" i="73" s="1"/>
  <c r="J60" i="85" s="1"/>
  <c r="V117" i="72" a="1"/>
  <c r="V117" i="72" s="1"/>
  <c r="S114" i="81" a="1"/>
  <c r="S114" i="81" s="1"/>
  <c r="S34" i="85" s="1"/>
  <c r="V116" i="72" a="1"/>
  <c r="V116" i="72" s="1"/>
  <c r="J117" i="73" a="1"/>
  <c r="J117" i="73" s="1"/>
  <c r="V114" i="72" a="1"/>
  <c r="V114" i="72" s="1"/>
  <c r="V48" i="85" s="1"/>
  <c r="V111" i="72" a="1"/>
  <c r="V111" i="72" s="1"/>
  <c r="V45" i="85" s="1"/>
  <c r="P116" i="73" a="1"/>
  <c r="P116" i="73" s="1"/>
  <c r="J115" i="72" a="1"/>
  <c r="J115" i="72" s="1"/>
  <c r="J51" i="85" s="1"/>
  <c r="P56" i="85"/>
  <c r="S110" i="81" a="1"/>
  <c r="S110" i="81" s="1"/>
  <c r="S30" i="85" s="1"/>
  <c r="Q78" i="85"/>
  <c r="R113" i="81" a="1"/>
  <c r="R113" i="81" s="1"/>
  <c r="R33" i="85" s="1"/>
  <c r="Q114" i="81" a="1"/>
  <c r="Q114" i="81" s="1"/>
  <c r="Q34" i="85" s="1"/>
  <c r="Q115" i="81" a="1"/>
  <c r="Q115" i="81" s="1"/>
  <c r="Q35" i="85" s="1"/>
  <c r="Q79" i="85"/>
  <c r="Q111" i="81" a="1"/>
  <c r="Q111" i="81" s="1"/>
  <c r="Q31" i="85" s="1"/>
  <c r="Q112" i="81" a="1"/>
  <c r="Q112" i="81" s="1"/>
  <c r="Q32" i="85" s="1"/>
  <c r="R110" i="72" a="1"/>
  <c r="R110" i="72" s="1"/>
  <c r="R44" i="85" s="1"/>
  <c r="V114" i="81" a="1"/>
  <c r="V114" i="81" s="1"/>
  <c r="V34" i="85" s="1"/>
  <c r="V28" i="85"/>
  <c r="Q28" i="85"/>
  <c r="J111" i="72" a="1"/>
  <c r="J111" i="72" s="1"/>
  <c r="J45" i="85" s="1"/>
  <c r="Q117" i="72" a="1"/>
  <c r="Q117" i="72" s="1"/>
  <c r="V112" i="81" a="1"/>
  <c r="V112" i="81" s="1"/>
  <c r="V32" i="85" s="1"/>
  <c r="Q110" i="81" a="1"/>
  <c r="Q110" i="81" s="1"/>
  <c r="Q30" i="85" s="1"/>
  <c r="R116" i="81" a="1"/>
  <c r="R116" i="81" s="1"/>
  <c r="J117" i="72" a="1"/>
  <c r="J117" i="72" s="1"/>
  <c r="R114" i="81" a="1"/>
  <c r="R114" i="81" s="1"/>
  <c r="R34" i="85" s="1"/>
  <c r="P115" i="73" a="1"/>
  <c r="P115" i="73" s="1"/>
  <c r="P65" i="85" s="1"/>
  <c r="J114" i="72" a="1"/>
  <c r="J114" i="72" s="1"/>
  <c r="J48" i="85" s="1"/>
  <c r="J116" i="72" a="1"/>
  <c r="J116" i="72" s="1"/>
  <c r="R111" i="72" a="1"/>
  <c r="R111" i="72" s="1"/>
  <c r="R45" i="85" s="1"/>
  <c r="R28" i="85"/>
  <c r="P111" i="73" a="1"/>
  <c r="P111" i="73" s="1"/>
  <c r="P59" i="85" s="1"/>
  <c r="R112" i="81" a="1"/>
  <c r="R112" i="81" s="1"/>
  <c r="R32" i="85" s="1"/>
  <c r="J113" i="72" a="1"/>
  <c r="J113" i="72" s="1"/>
  <c r="J47" i="85" s="1"/>
  <c r="R114" i="72" a="1"/>
  <c r="R114" i="72" s="1"/>
  <c r="R48" i="85" s="1"/>
  <c r="V113" i="81" a="1"/>
  <c r="V113" i="81" s="1"/>
  <c r="V33" i="85" s="1"/>
  <c r="R110" i="81" a="1"/>
  <c r="R110" i="81" s="1"/>
  <c r="R30" i="85" s="1"/>
  <c r="P116" i="72" a="1"/>
  <c r="P116" i="72" s="1"/>
  <c r="P113" i="73" a="1"/>
  <c r="P113" i="73" s="1"/>
  <c r="P61" i="85" s="1"/>
  <c r="P113" i="72" a="1"/>
  <c r="P113" i="72" s="1"/>
  <c r="P47" i="85" s="1"/>
  <c r="V110" i="81" a="1"/>
  <c r="V110" i="81" s="1"/>
  <c r="V30" i="85" s="1"/>
  <c r="R115" i="81" a="1"/>
  <c r="R115" i="81" s="1"/>
  <c r="R35" i="85" s="1"/>
  <c r="R117" i="81" a="1"/>
  <c r="R117" i="81" s="1"/>
  <c r="J110" i="72" a="1"/>
  <c r="J110" i="72" s="1"/>
  <c r="J44" i="85" s="1"/>
  <c r="R112" i="72" a="1"/>
  <c r="R112" i="72" s="1"/>
  <c r="R46" i="85" s="1"/>
  <c r="P114" i="73" a="1"/>
  <c r="P114" i="73" s="1"/>
  <c r="P62" i="85" s="1"/>
  <c r="P110" i="73" a="1"/>
  <c r="P110" i="73" s="1"/>
  <c r="P58" i="85" s="1"/>
  <c r="V116" i="81" a="1"/>
  <c r="V116" i="81" s="1"/>
  <c r="Q117" i="81" a="1"/>
  <c r="Q117" i="81" s="1"/>
  <c r="P37" i="85"/>
  <c r="P36" i="85"/>
  <c r="Q63" i="85"/>
  <c r="P115" i="72" a="1"/>
  <c r="P115" i="72" s="1"/>
  <c r="P49" i="85" s="1"/>
  <c r="S42" i="85"/>
  <c r="S116" i="72" a="1"/>
  <c r="S116" i="72" s="1"/>
  <c r="S110" i="72" a="1"/>
  <c r="S110" i="72" s="1"/>
  <c r="S44" i="85" s="1"/>
  <c r="S113" i="72" a="1"/>
  <c r="S113" i="72" s="1"/>
  <c r="S47" i="85" s="1"/>
  <c r="S114" i="72" a="1"/>
  <c r="S114" i="72" s="1"/>
  <c r="S48" i="85" s="1"/>
  <c r="S111" i="72" a="1"/>
  <c r="S111" i="72" s="1"/>
  <c r="S45" i="85" s="1"/>
  <c r="S112" i="72" a="1"/>
  <c r="S112" i="72" s="1"/>
  <c r="S46" i="85" s="1"/>
  <c r="S115" i="72" a="1"/>
  <c r="S115" i="72" s="1"/>
  <c r="S117" i="72" a="1"/>
  <c r="S117" i="72" s="1"/>
  <c r="Q65" i="85"/>
  <c r="F65" i="75" a="1"/>
  <c r="F65" i="75" s="1"/>
  <c r="I12" i="33" s="1"/>
  <c r="P117" i="72" a="1"/>
  <c r="P117" i="72" s="1"/>
  <c r="N113" i="82" a="1"/>
  <c r="N113" i="82" s="1"/>
  <c r="N75" i="85" s="1"/>
  <c r="N114" i="82" a="1"/>
  <c r="N114" i="82" s="1"/>
  <c r="N76" i="85" s="1"/>
  <c r="N112" i="82" a="1"/>
  <c r="N112" i="82" s="1"/>
  <c r="N74" i="85" s="1"/>
  <c r="N111" i="82" a="1"/>
  <c r="N111" i="82" s="1"/>
  <c r="N73" i="85" s="1"/>
  <c r="N110" i="82" a="1"/>
  <c r="N110" i="82" s="1"/>
  <c r="N72" i="85" s="1"/>
  <c r="N115" i="82" a="1"/>
  <c r="N115" i="82" s="1"/>
  <c r="N70" i="85"/>
  <c r="N116" i="82" a="1"/>
  <c r="N116" i="82" s="1"/>
  <c r="N117" i="82" a="1"/>
  <c r="N117" i="82" s="1"/>
  <c r="T112" i="81" a="1"/>
  <c r="T112" i="81" s="1"/>
  <c r="T32" i="85" s="1"/>
  <c r="T113" i="81" a="1"/>
  <c r="T113" i="81" s="1"/>
  <c r="T33" i="85" s="1"/>
  <c r="T117" i="81" a="1"/>
  <c r="T117" i="81" s="1"/>
  <c r="T111" i="81" a="1"/>
  <c r="T111" i="81" s="1"/>
  <c r="T31" i="85" s="1"/>
  <c r="T28" i="85"/>
  <c r="T114" i="81" a="1"/>
  <c r="T114" i="81" s="1"/>
  <c r="T34" i="85" s="1"/>
  <c r="T110" i="81" a="1"/>
  <c r="T110" i="81" s="1"/>
  <c r="T30" i="85" s="1"/>
  <c r="T116" i="81" a="1"/>
  <c r="T116" i="81" s="1"/>
  <c r="T115" i="81" a="1"/>
  <c r="T115" i="81" s="1"/>
  <c r="T111" i="72" a="1"/>
  <c r="T111" i="72" s="1"/>
  <c r="T45" i="85" s="1"/>
  <c r="T110" i="72" a="1"/>
  <c r="T110" i="72" s="1"/>
  <c r="T44" i="85" s="1"/>
  <c r="T115" i="72" a="1"/>
  <c r="T115" i="72" s="1"/>
  <c r="T116" i="72" a="1"/>
  <c r="T116" i="72" s="1"/>
  <c r="T42" i="85"/>
  <c r="T117" i="72" a="1"/>
  <c r="T117" i="72" s="1"/>
  <c r="T112" i="72" a="1"/>
  <c r="T112" i="72" s="1"/>
  <c r="T46" i="85" s="1"/>
  <c r="T113" i="72" a="1"/>
  <c r="T113" i="72" s="1"/>
  <c r="T47" i="85" s="1"/>
  <c r="T114" i="72" a="1"/>
  <c r="T114" i="72" s="1"/>
  <c r="T48" i="85" s="1"/>
  <c r="F62" i="75"/>
  <c r="F67" i="75" s="1"/>
  <c r="H12" i="33" s="1"/>
  <c r="S110" i="73" a="1"/>
  <c r="S110" i="73" s="1"/>
  <c r="S58" i="85" s="1"/>
  <c r="S111" i="73" a="1"/>
  <c r="S111" i="73" s="1"/>
  <c r="S59" i="85" s="1"/>
  <c r="S113" i="73" a="1"/>
  <c r="S113" i="73" s="1"/>
  <c r="S61" i="85" s="1"/>
  <c r="S56" i="85"/>
  <c r="S115" i="73" a="1"/>
  <c r="S115" i="73" s="1"/>
  <c r="S112" i="73" a="1"/>
  <c r="S112" i="73" s="1"/>
  <c r="S60" i="85" s="1"/>
  <c r="S117" i="73" a="1"/>
  <c r="S117" i="73" s="1"/>
  <c r="S116" i="73" a="1"/>
  <c r="S116" i="73" s="1"/>
  <c r="S114" i="73" a="1"/>
  <c r="S114" i="73" s="1"/>
  <c r="S62" i="85" s="1"/>
  <c r="P42" i="85"/>
  <c r="P111" i="81" a="1"/>
  <c r="P111" i="81" s="1"/>
  <c r="P31" i="85" s="1"/>
  <c r="P111" i="72" a="1"/>
  <c r="P111" i="72" s="1"/>
  <c r="P45" i="85" s="1"/>
  <c r="P112" i="81" a="1"/>
  <c r="P112" i="81" s="1"/>
  <c r="P32" i="85" s="1"/>
  <c r="O114" i="82" a="1"/>
  <c r="O114" i="82" s="1"/>
  <c r="O76" i="85" s="1"/>
  <c r="O110" i="82" a="1"/>
  <c r="O110" i="82" s="1"/>
  <c r="O72" i="85" s="1"/>
  <c r="O116" i="82" a="1"/>
  <c r="O116" i="82" s="1"/>
  <c r="O115" i="82" a="1"/>
  <c r="O115" i="82" s="1"/>
  <c r="O112" i="82" a="1"/>
  <c r="O112" i="82" s="1"/>
  <c r="O74" i="85" s="1"/>
  <c r="O113" i="82" a="1"/>
  <c r="O113" i="82" s="1"/>
  <c r="O75" i="85" s="1"/>
  <c r="O111" i="82" a="1"/>
  <c r="O111" i="82" s="1"/>
  <c r="O73" i="85" s="1"/>
  <c r="O117" i="82" a="1"/>
  <c r="O117" i="82" s="1"/>
  <c r="O70" i="85"/>
  <c r="T115" i="82" a="1"/>
  <c r="T115" i="82" s="1"/>
  <c r="T111" i="82" a="1"/>
  <c r="T111" i="82" s="1"/>
  <c r="T73" i="85" s="1"/>
  <c r="T114" i="82" a="1"/>
  <c r="T114" i="82" s="1"/>
  <c r="T76" i="85" s="1"/>
  <c r="T112" i="82" a="1"/>
  <c r="T112" i="82" s="1"/>
  <c r="T74" i="85" s="1"/>
  <c r="T110" i="82" a="1"/>
  <c r="T110" i="82" s="1"/>
  <c r="T72" i="85" s="1"/>
  <c r="T116" i="82" a="1"/>
  <c r="T116" i="82" s="1"/>
  <c r="T113" i="82" a="1"/>
  <c r="T113" i="82" s="1"/>
  <c r="T75" i="85" s="1"/>
  <c r="T117" i="82" a="1"/>
  <c r="T117" i="82" s="1"/>
  <c r="T70" i="85"/>
  <c r="O115" i="72" a="1"/>
  <c r="O115" i="72" s="1"/>
  <c r="O116" i="72" a="1"/>
  <c r="O116" i="72" s="1"/>
  <c r="O110" i="72" a="1"/>
  <c r="O110" i="72" s="1"/>
  <c r="O44" i="85" s="1"/>
  <c r="O42" i="85"/>
  <c r="O112" i="72" a="1"/>
  <c r="O112" i="72" s="1"/>
  <c r="O46" i="85" s="1"/>
  <c r="O111" i="72" a="1"/>
  <c r="O111" i="72" s="1"/>
  <c r="O45" i="85" s="1"/>
  <c r="O114" i="72" a="1"/>
  <c r="O114" i="72" s="1"/>
  <c r="O48" i="85" s="1"/>
  <c r="O117" i="72" a="1"/>
  <c r="O117" i="72" s="1"/>
  <c r="O113" i="72" a="1"/>
  <c r="O113" i="72" s="1"/>
  <c r="O47" i="85" s="1"/>
  <c r="M36" i="85"/>
  <c r="K114" i="82" a="1"/>
  <c r="K114" i="82" s="1"/>
  <c r="K76" i="85" s="1"/>
  <c r="K111" i="82" a="1"/>
  <c r="K111" i="82" s="1"/>
  <c r="K73" i="85" s="1"/>
  <c r="K117" i="82" a="1"/>
  <c r="K117" i="82" s="1"/>
  <c r="K113" i="82" a="1"/>
  <c r="K113" i="82" s="1"/>
  <c r="K75" i="85" s="1"/>
  <c r="K110" i="82" a="1"/>
  <c r="K110" i="82" s="1"/>
  <c r="K72" i="85" s="1"/>
  <c r="K115" i="82" a="1"/>
  <c r="K115" i="82" s="1"/>
  <c r="K116" i="82" a="1"/>
  <c r="K116" i="82" s="1"/>
  <c r="K70" i="85"/>
  <c r="K112" i="82" a="1"/>
  <c r="K112" i="82" s="1"/>
  <c r="K74" i="85" s="1"/>
  <c r="P114" i="72" a="1"/>
  <c r="P114" i="72" s="1"/>
  <c r="P48" i="85" s="1"/>
  <c r="P112" i="72" a="1"/>
  <c r="P112" i="72" s="1"/>
  <c r="P46" i="85" s="1"/>
  <c r="N114" i="73" a="1"/>
  <c r="N114" i="73" s="1"/>
  <c r="N62" i="85" s="1"/>
  <c r="N117" i="73" a="1"/>
  <c r="N117" i="73" s="1"/>
  <c r="N111" i="73" a="1"/>
  <c r="N111" i="73" s="1"/>
  <c r="N59" i="85" s="1"/>
  <c r="N115" i="73" a="1"/>
  <c r="N115" i="73" s="1"/>
  <c r="N112" i="73" a="1"/>
  <c r="N112" i="73" s="1"/>
  <c r="N60" i="85" s="1"/>
  <c r="N56" i="85"/>
  <c r="N113" i="73" a="1"/>
  <c r="N113" i="73" s="1"/>
  <c r="N61" i="85" s="1"/>
  <c r="N110" i="73" a="1"/>
  <c r="N110" i="73" s="1"/>
  <c r="N58" i="85" s="1"/>
  <c r="N116" i="73" a="1"/>
  <c r="N116" i="73" s="1"/>
  <c r="P114" i="81" a="1"/>
  <c r="P114" i="81" s="1"/>
  <c r="P34" i="85" s="1"/>
  <c r="M42" i="85"/>
  <c r="M116" i="72" a="1"/>
  <c r="M116" i="72" s="1"/>
  <c r="M112" i="72" a="1"/>
  <c r="M112" i="72" s="1"/>
  <c r="M46" i="85" s="1"/>
  <c r="M114" i="72" a="1"/>
  <c r="M114" i="72" s="1"/>
  <c r="M48" i="85" s="1"/>
  <c r="M113" i="72" a="1"/>
  <c r="M113" i="72" s="1"/>
  <c r="M47" i="85" s="1"/>
  <c r="M111" i="72" a="1"/>
  <c r="M111" i="72" s="1"/>
  <c r="M45" i="85" s="1"/>
  <c r="M115" i="72" a="1"/>
  <c r="M115" i="72" s="1"/>
  <c r="M117" i="72" a="1"/>
  <c r="M117" i="72" s="1"/>
  <c r="M110" i="72" a="1"/>
  <c r="M110" i="72" s="1"/>
  <c r="M44" i="85" s="1"/>
  <c r="P110" i="81" a="1"/>
  <c r="P110" i="81" s="1"/>
  <c r="P30" i="85" s="1"/>
  <c r="K63" i="85"/>
  <c r="M37" i="85"/>
  <c r="M56" i="85"/>
  <c r="M112" i="73" a="1"/>
  <c r="M112" i="73" s="1"/>
  <c r="M60" i="85" s="1"/>
  <c r="M110" i="73" a="1"/>
  <c r="M110" i="73" s="1"/>
  <c r="M58" i="85" s="1"/>
  <c r="M114" i="73" a="1"/>
  <c r="M114" i="73" s="1"/>
  <c r="M62" i="85" s="1"/>
  <c r="M111" i="73" a="1"/>
  <c r="M111" i="73" s="1"/>
  <c r="M59" i="85" s="1"/>
  <c r="M115" i="73" a="1"/>
  <c r="M115" i="73" s="1"/>
  <c r="M116" i="73" a="1"/>
  <c r="M116" i="73" s="1"/>
  <c r="M113" i="73" a="1"/>
  <c r="M113" i="73" s="1"/>
  <c r="M61" i="85" s="1"/>
  <c r="M117" i="73" a="1"/>
  <c r="M117" i="73" s="1"/>
  <c r="S77" i="85"/>
  <c r="S78" i="85"/>
  <c r="N51" i="85"/>
  <c r="N49" i="85"/>
  <c r="O63" i="85"/>
  <c r="I114" i="82" a="1"/>
  <c r="I114" i="82" s="1"/>
  <c r="I76" i="85" s="1"/>
  <c r="I113" i="82" a="1"/>
  <c r="I113" i="82" s="1"/>
  <c r="I75" i="85" s="1"/>
  <c r="I70" i="85"/>
  <c r="I111" i="82" a="1"/>
  <c r="I111" i="82" s="1"/>
  <c r="I73" i="85" s="1"/>
  <c r="I110" i="82" a="1"/>
  <c r="I110" i="82" s="1"/>
  <c r="I72" i="85" s="1"/>
  <c r="I112" i="82" a="1"/>
  <c r="I112" i="82" s="1"/>
  <c r="I74" i="85" s="1"/>
  <c r="I116" i="82" a="1"/>
  <c r="I116" i="82" s="1"/>
  <c r="I117" i="82" a="1"/>
  <c r="I117" i="82" s="1"/>
  <c r="I115" i="82" a="1"/>
  <c r="I115" i="82" s="1"/>
  <c r="I50" i="75"/>
  <c r="F48" i="75"/>
  <c r="F53" i="75" s="1"/>
  <c r="H11" i="33" s="1"/>
  <c r="I110" i="81" a="1"/>
  <c r="I110" i="81" s="1"/>
  <c r="I30" i="85" s="1"/>
  <c r="I114" i="81" a="1"/>
  <c r="I114" i="81" s="1"/>
  <c r="I34" i="85" s="1"/>
  <c r="I116" i="81" a="1"/>
  <c r="I116" i="81" s="1"/>
  <c r="I112" i="81" a="1"/>
  <c r="I112" i="81" s="1"/>
  <c r="I32" i="85" s="1"/>
  <c r="I28" i="85"/>
  <c r="I113" i="81" a="1"/>
  <c r="I113" i="81" s="1"/>
  <c r="I33" i="85" s="1"/>
  <c r="I117" i="81" a="1"/>
  <c r="I117" i="81" s="1"/>
  <c r="I115" i="81" a="1"/>
  <c r="I115" i="81" s="1"/>
  <c r="I111" i="81" a="1"/>
  <c r="I111" i="81" s="1"/>
  <c r="I31" i="85" s="1"/>
  <c r="I42" i="85"/>
  <c r="I117" i="72" a="1"/>
  <c r="I117" i="72" s="1"/>
  <c r="I116" i="72" a="1"/>
  <c r="I116" i="72" s="1"/>
  <c r="I114" i="72" a="1"/>
  <c r="I114" i="72" s="1"/>
  <c r="I48" i="85" s="1"/>
  <c r="I110" i="72" a="1"/>
  <c r="I110" i="72" s="1"/>
  <c r="I44" i="85" s="1"/>
  <c r="I115" i="72" a="1"/>
  <c r="I115" i="72" s="1"/>
  <c r="I112" i="72" a="1"/>
  <c r="I112" i="72" s="1"/>
  <c r="I46" i="85" s="1"/>
  <c r="I111" i="72" a="1"/>
  <c r="I111" i="72" s="1"/>
  <c r="I45" i="85" s="1"/>
  <c r="I113" i="72" a="1"/>
  <c r="I113" i="72" s="1"/>
  <c r="I47" i="85" s="1"/>
  <c r="O64" i="85"/>
  <c r="I78" i="75"/>
  <c r="F79" i="75" s="1" a="1"/>
  <c r="F79" i="75" s="1"/>
  <c r="I13" i="33" s="1"/>
  <c r="F76" i="75"/>
  <c r="F81" i="75" s="1"/>
  <c r="H13" i="33" s="1"/>
  <c r="I36" i="75"/>
  <c r="F37" i="75" s="1" a="1"/>
  <c r="F37" i="75" s="1"/>
  <c r="I10" i="33" s="1"/>
  <c r="F34" i="75" a="1"/>
  <c r="F34" i="75" s="1"/>
  <c r="F39" i="75" s="1"/>
  <c r="H10" i="33" s="1"/>
  <c r="W64" i="85"/>
  <c r="W63" i="85"/>
  <c r="I64" i="85"/>
  <c r="I63" i="85"/>
  <c r="I65" i="85"/>
  <c r="L79" i="85" l="1"/>
  <c r="L78" i="85"/>
  <c r="L65" i="85"/>
  <c r="L63" i="85"/>
  <c r="M78" i="85"/>
  <c r="M79" i="85"/>
  <c r="O35" i="85"/>
  <c r="O37" i="85"/>
  <c r="U77" i="85"/>
  <c r="K36" i="85"/>
  <c r="K35" i="85"/>
  <c r="U79" i="85"/>
  <c r="L50" i="85"/>
  <c r="Q51" i="85"/>
  <c r="R63" i="85"/>
  <c r="K49" i="85"/>
  <c r="L51" i="85"/>
  <c r="R64" i="85"/>
  <c r="K51" i="85"/>
  <c r="U37" i="85"/>
  <c r="U36" i="85"/>
  <c r="V51" i="85"/>
  <c r="S37" i="85"/>
  <c r="S36" i="85"/>
  <c r="V50" i="85"/>
  <c r="Q37" i="85"/>
  <c r="Q36" i="85"/>
  <c r="J63" i="85"/>
  <c r="Q50" i="85"/>
  <c r="J64" i="85"/>
  <c r="V37" i="85"/>
  <c r="V35" i="85"/>
  <c r="J50" i="85"/>
  <c r="J49" i="85"/>
  <c r="F58" i="85"/>
  <c r="F91" i="85" s="1"/>
  <c r="I40" i="33" s="1"/>
  <c r="F62" i="85"/>
  <c r="F60" i="85"/>
  <c r="F93" i="85" s="1"/>
  <c r="I42" i="33" s="1"/>
  <c r="F61" i="85"/>
  <c r="F94" i="85" s="1"/>
  <c r="I43" i="33" s="1"/>
  <c r="R36" i="85"/>
  <c r="R37" i="85"/>
  <c r="P63" i="85"/>
  <c r="P64" i="85"/>
  <c r="F28" i="85"/>
  <c r="D90" i="85" s="1"/>
  <c r="G39" i="33" s="1"/>
  <c r="F56" i="85"/>
  <c r="F90" i="85" s="1"/>
  <c r="I39" i="33" s="1"/>
  <c r="F34" i="85"/>
  <c r="D95" i="85" s="1"/>
  <c r="G44" i="33" s="1"/>
  <c r="P51" i="85"/>
  <c r="F59" i="85"/>
  <c r="F92" i="85" s="1"/>
  <c r="I41" i="33" s="1"/>
  <c r="P50" i="85"/>
  <c r="F47" i="85"/>
  <c r="E94" i="85" s="1"/>
  <c r="H43" i="33" s="1"/>
  <c r="F33" i="85"/>
  <c r="D94" i="85" s="1"/>
  <c r="F31" i="85"/>
  <c r="D92" i="85" s="1"/>
  <c r="G41" i="33" s="1"/>
  <c r="N65" i="85"/>
  <c r="N63" i="85"/>
  <c r="N64" i="85"/>
  <c r="T49" i="85"/>
  <c r="T51" i="85"/>
  <c r="T50" i="85"/>
  <c r="K77" i="85"/>
  <c r="K79" i="85"/>
  <c r="K78" i="85"/>
  <c r="F32" i="85"/>
  <c r="D93" i="85" s="1"/>
  <c r="G42" i="33" s="1"/>
  <c r="F30" i="85"/>
  <c r="D91" i="85" s="1"/>
  <c r="S50" i="85"/>
  <c r="S49" i="85"/>
  <c r="S51" i="85"/>
  <c r="S64" i="85"/>
  <c r="S63" i="85"/>
  <c r="S65" i="85"/>
  <c r="F46" i="85"/>
  <c r="E93" i="85" s="1"/>
  <c r="H42" i="33" s="1"/>
  <c r="T78" i="85"/>
  <c r="T77" i="85"/>
  <c r="T79" i="85"/>
  <c r="F74" i="85"/>
  <c r="G93" i="85" s="1"/>
  <c r="J42" i="33" s="1"/>
  <c r="M51" i="85"/>
  <c r="M49" i="85"/>
  <c r="M50" i="85"/>
  <c r="F45" i="85"/>
  <c r="E92" i="85" s="1"/>
  <c r="H41" i="33" s="1"/>
  <c r="F44" i="85"/>
  <c r="E91" i="85" s="1"/>
  <c r="H40" i="33" s="1"/>
  <c r="F72" i="85"/>
  <c r="G91" i="85" s="1"/>
  <c r="J40" i="33" s="1"/>
  <c r="T36" i="85"/>
  <c r="T35" i="85"/>
  <c r="T37" i="85"/>
  <c r="F73" i="85"/>
  <c r="G92" i="85" s="1"/>
  <c r="J41" i="33" s="1"/>
  <c r="F70" i="85"/>
  <c r="G90" i="85" s="1"/>
  <c r="J39" i="33" s="1"/>
  <c r="F75" i="85"/>
  <c r="G94" i="85" s="1"/>
  <c r="J43" i="33" s="1"/>
  <c r="O49" i="85"/>
  <c r="O51" i="85"/>
  <c r="O50" i="85"/>
  <c r="F48" i="85"/>
  <c r="E95" i="85" s="1"/>
  <c r="H44" i="33" s="1"/>
  <c r="M64" i="85"/>
  <c r="M65" i="85"/>
  <c r="M63" i="85"/>
  <c r="F42" i="85"/>
  <c r="E90" i="85" s="1"/>
  <c r="H39" i="33" s="1"/>
  <c r="F76" i="85"/>
  <c r="O79" i="85"/>
  <c r="O78" i="85"/>
  <c r="O77" i="85"/>
  <c r="N79" i="85"/>
  <c r="N78" i="85"/>
  <c r="N77" i="85"/>
  <c r="F51" i="75" a="1"/>
  <c r="F51" i="75" s="1"/>
  <c r="I11" i="33" s="1"/>
  <c r="G18" i="33" s="1"/>
  <c r="I40" i="85"/>
  <c r="I51" i="85"/>
  <c r="I50" i="85"/>
  <c r="I49" i="85"/>
  <c r="I79" i="85"/>
  <c r="I77" i="85"/>
  <c r="I78" i="85"/>
  <c r="I36" i="85"/>
  <c r="I37" i="85"/>
  <c r="I35" i="85"/>
  <c r="I94" i="85" l="1"/>
  <c r="K94" i="85" s="1"/>
  <c r="L43" i="33" s="1"/>
  <c r="D18" i="33"/>
  <c r="C18" i="33"/>
  <c r="C26" i="33" s="1"/>
  <c r="H31" i="33" s="1"/>
  <c r="I91" i="85"/>
  <c r="K91" i="85" s="1"/>
  <c r="L40" i="33" s="1"/>
  <c r="G95" i="85"/>
  <c r="J44" i="33" s="1"/>
  <c r="F95" i="85"/>
  <c r="I44" i="33" s="1"/>
  <c r="G43" i="33"/>
  <c r="I90" i="85"/>
  <c r="K90" i="85" s="1"/>
  <c r="L39" i="33" s="1"/>
  <c r="F63" i="85"/>
  <c r="I45" i="33" s="1"/>
  <c r="F64" i="85"/>
  <c r="F65" i="85"/>
  <c r="F49" i="85"/>
  <c r="F51" i="85"/>
  <c r="I92" i="85"/>
  <c r="K92" i="85" s="1"/>
  <c r="L41" i="33" s="1"/>
  <c r="G40" i="33"/>
  <c r="F37" i="85"/>
  <c r="I93" i="85"/>
  <c r="K93" i="85" s="1"/>
  <c r="L42" i="33" s="1"/>
  <c r="F50" i="85"/>
  <c r="F77" i="85"/>
  <c r="J45" i="33" s="1"/>
  <c r="F35" i="85"/>
  <c r="F36" i="85"/>
  <c r="F78" i="85"/>
  <c r="F79" i="85"/>
  <c r="J30" i="33" l="1"/>
  <c r="F30" i="33"/>
  <c r="H30" i="33"/>
  <c r="I30" i="33"/>
  <c r="G30" i="33"/>
  <c r="A91" i="75"/>
  <c r="I91" i="75" s="1" a="1"/>
  <c r="I91" i="75" s="1"/>
  <c r="F31" i="33"/>
  <c r="J31" i="33"/>
  <c r="I31" i="33"/>
  <c r="G31" i="33"/>
  <c r="I95" i="85"/>
  <c r="K95" i="85" s="1"/>
  <c r="L44" i="33" s="1"/>
  <c r="L30" i="33" l="1"/>
  <c r="AE91" i="75" a="1"/>
  <c r="AE91" i="75" s="1"/>
  <c r="T91" i="75" a="1"/>
  <c r="T91" i="75" s="1"/>
  <c r="H91" i="75"/>
  <c r="AA91" i="75" a="1"/>
  <c r="AA91" i="75" s="1"/>
  <c r="L91" i="75" a="1"/>
  <c r="L91" i="75" s="1"/>
  <c r="P91" i="75" a="1"/>
  <c r="P91" i="75" s="1"/>
  <c r="S91" i="75" a="1"/>
  <c r="S91" i="75" s="1"/>
  <c r="Y91" i="75" a="1"/>
  <c r="Y91" i="75" s="1"/>
  <c r="Z91" i="75" a="1"/>
  <c r="Z91" i="75" s="1"/>
  <c r="W91" i="75" a="1"/>
  <c r="W91" i="75" s="1"/>
  <c r="AD91" i="75" a="1"/>
  <c r="AD91" i="75" s="1"/>
  <c r="AF91" i="75" a="1"/>
  <c r="AF91" i="75" s="1"/>
  <c r="L31" i="33"/>
  <c r="Q91" i="75" a="1"/>
  <c r="Q91" i="75" s="1"/>
  <c r="J91" i="75" a="1"/>
  <c r="J91" i="75" s="1"/>
  <c r="R91" i="75" a="1"/>
  <c r="R91" i="75" s="1"/>
  <c r="AC91" i="75" a="1"/>
  <c r="AC91" i="75" s="1"/>
  <c r="V91" i="75" a="1"/>
  <c r="V91" i="75" s="1"/>
  <c r="K91" i="75" a="1"/>
  <c r="K91" i="75" s="1"/>
  <c r="AG91" i="75" a="1"/>
  <c r="AG91" i="75" s="1"/>
  <c r="U91" i="75" a="1"/>
  <c r="U91" i="75" s="1"/>
  <c r="X91" i="75" a="1"/>
  <c r="X91" i="75" s="1"/>
  <c r="M91" i="75" a="1"/>
  <c r="M91" i="75" s="1"/>
  <c r="AB91" i="75" a="1"/>
  <c r="AB91" i="75" s="1"/>
  <c r="N91" i="75" a="1"/>
  <c r="N91" i="75" s="1"/>
  <c r="O91" i="75" a="1"/>
  <c r="O91" i="7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<sst xmlns="http://schemas.openxmlformats.org/spreadsheetml/2006/main" count="1095" uniqueCount="296">
  <si>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</si>
  <si>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</si>
  <si>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</si>
  <si>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</si>
  <si>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</si>
  <si>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</si>
  <si>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</si>
  <si>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</si>
  <si>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</si>
  <si>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</si>
  <si>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</si>
  <si>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</si>
  <si>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</si>
  <si>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</si>
  <si>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</si>
  <si>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</si>
  <si>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</si>
  <si>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</si>
  <si>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</si>
  <si>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</si>
  <si>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</si>
  <si>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</si>
  <si>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</si>
  <si>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</si>
  <si>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</si>
  <si>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</si>
  <si>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</si>
  <si>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</si>
  <si>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</si>
  <si>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</si>
  <si>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</si>
  <si>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</si>
  <si>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</si>
  <si>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</si>
  <si>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</si>
  <si>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</si>
  <si>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</si>
  <si>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</si>
  <si>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</si>
  <si>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</si>
  <si>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</si>
  <si>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</si>
  <si>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</si>
  <si>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</si>
  <si>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</si>
  <si>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</si>
  <si>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</si>
  <si>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</si>
  <si>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</si>
  <si>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</si>
  <si>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</si>
  <si>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</si>
  <si>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</si>
  <si>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</si>
  <si>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</si>
  <si>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</si>
  <si>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</si>
  <si>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</si>
  <si>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</si>
  <si>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</si>
  <si>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</si>
  <si>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</si>
  <si>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</si>
  <si>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</si>
  <si>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</si>
  <si>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</si>
  <si>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</si>
  <si>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</si>
  <si>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</si>
  <si>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</si>
  <si>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</si>
  <si>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</si>
  <si>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</si>
  <si>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</si>
  <si>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</si>
  <si>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</si>
  <si>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</si>
  <si>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</si>
  <si>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</si>
  <si>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</si>
  <si>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</si>
  <si>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</si>
  <si>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</si>
  <si>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</si>
  <si>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</si>
  <si>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</si>
  <si>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</si>
  <si>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</si>
  <si>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</si>
  <si>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</si>
  <si>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</si>
  <si>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</si>
  <si>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</si>
  <si>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</si>
  <si>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</si>
  <si>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</si>
  <si>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</si>
  <si>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</si>
  <si>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</si>
  <si>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</si>
  <si>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</si>
  <si>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</si>
  <si>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</si>
  <si>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</si>
  <si>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</si>
  <si>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</si>
  <si>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</si>
  <si>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</si>
  <si>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</si>
  <si>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</si>
  <si>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</si>
  <si>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</si>
  <si>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</si>
  <si>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</si>
  <si>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</si>
  <si>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</si>
  <si>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</si>
  <si>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</si>
  <si>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</si>
  <si>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</si>
  <si>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</si>
  <si>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</si>
  <si>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</si>
  <si>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</si>
  <si>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</si>
  <si>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</si>
  <si>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</si>
  <si>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</si>
  <si>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</si>
  <si>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</si>
  <si>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</si>
  <si>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</si>
  <si>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</si>
  <si>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</si>
  <si>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</si>
  <si>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</si>
  <si>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</si>
  <si>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</si>
  <si>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</si>
  <si>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</si>
  <si>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</si>
  <si>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</si>
  <si>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</si>
  <si>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</si>
  <si>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</si>
  <si>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</si>
  <si>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</si>
  <si>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</si>
  <si>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</si>
  <si>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</si>
  <si>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</si>
  <si>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</si>
  <si>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</si>
  <si>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</si>
  <si>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</si>
  <si>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</si>
  <si>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</si>
  <si>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</si>
  <si>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</si>
  <si>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</si>
  <si>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</si>
  <si>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</si>
  <si>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</si>
  <si>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</si>
  <si>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</si>
  <si>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</si>
  <si>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</si>
  <si>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</si>
  <si>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</si>
  <si>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</si>
  <si>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</si>
  <si>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</si>
  <si>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</si>
  <si>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</si>
  <si>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</si>
  <si>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</si>
  <si>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</si>
  <si>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</si>
  <si>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</si>
  <si>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</si>
  <si>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</si>
  <si>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</si>
  <si>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</si>
  <si>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</si>
  <si>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</si>
  <si>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</si>
  <si>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</si>
  <si>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</si>
  <si>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</si>
  <si>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</si>
  <si>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</si>
  <si>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</si>
  <si>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</si>
  <si>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</si>
  <si>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</si>
  <si>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</si>
  <si>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</si>
  <si>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</si>
  <si>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</si>
  <si>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</si>
  <si>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</si>
  <si>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</si>
  <si>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</si>
  <si>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</si>
  <si>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</si>
  <si>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</si>
  <si>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</si>
  <si>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</si>
  <si>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</si>
  <si>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</si>
  <si>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</si>
  <si>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</si>
  <si>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</si>
  <si>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</si>
  <si>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</si>
  <si>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</si>
  <si>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</si>
  <si>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</si>
  <si>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</si>
  <si>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</si>
  <si>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</si>
  <si>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</si>
  <si>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</si>
  <si>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</si>
  <si>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</si>
  <si>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</si>
  <si>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</si>
  <si>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</si>
  <si>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</si>
  <si>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</si>
  <si>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</si>
  <si>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</si>
  <si>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</si>
  <si>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</si>
  <si>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</si>
  <si>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</si>
  <si>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</si>
  <si>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</si>
  <si>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</si>
  <si>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</si>
  <si>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</si>
  <si>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RISKS</t>
  </si>
  <si>
    <t>Number of switches</t>
  </si>
  <si>
    <t>Outages</t>
  </si>
  <si>
    <t>Planned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</si>
  <si>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</si>
  <si>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</si>
  <si>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</si>
  <si>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</si>
  <si>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</si>
  <si>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</si>
  <si>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</si>
  <si>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</si>
  <si>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</si>
  <si>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</si>
  <si>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</si>
  <si>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</si>
  <si>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</si>
  <si>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</si>
  <si>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</si>
  <si>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</si>
  <si>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</si>
  <si>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</si>
  <si>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</si>
  <si>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Unplanned outages</t>
  </si>
  <si>
    <t>Planned outages</t>
  </si>
  <si>
    <t>Number of switches replaced pa</t>
  </si>
  <si>
    <t>Remaining switches</t>
  </si>
  <si>
    <t>CROd switches in service</t>
  </si>
  <si>
    <t>WORKINGS - COSTS</t>
  </si>
  <si>
    <t>Weighted average unit rate</t>
  </si>
  <si>
    <t>Program duration</t>
  </si>
  <si>
    <t>Asset failure</t>
  </si>
  <si>
    <t>Outage for planned program</t>
  </si>
  <si>
    <t>Safety (moderate)</t>
  </si>
  <si>
    <t>Safety (minor)</t>
  </si>
  <si>
    <t>% of total switch zones</t>
  </si>
  <si>
    <t>Risk summary</t>
  </si>
  <si>
    <t>Value of lost load - unable to switch</t>
  </si>
  <si>
    <t>Replacement of CRO inoperable RMUs</t>
  </si>
  <si>
    <t>Failures</t>
  </si>
  <si>
    <t>Program duration (years)</t>
  </si>
  <si>
    <t>Program duration flag</t>
  </si>
  <si>
    <t>Total CROd switches replaced</t>
  </si>
  <si>
    <t>Number of CRO switches at 30 June 2026</t>
  </si>
  <si>
    <t>Recplacement of CRO inoperable RMUs</t>
  </si>
  <si>
    <t>Replace all CRO inoperatble RMUs over 1 year</t>
  </si>
  <si>
    <t>Replace all CRO inoperatble RMUs over 5 years</t>
  </si>
  <si>
    <t>Replace all CRO inoperatble RMUs over 10 years</t>
  </si>
  <si>
    <t>Replace all CRO inoperatble RMUs over 15 years</t>
  </si>
  <si>
    <t>Value of energy at risk</t>
  </si>
  <si>
    <t>CRO inoperable HV air break switches</t>
  </si>
  <si>
    <t>Replacement of air break switches over 1 year</t>
  </si>
  <si>
    <t>Replacement of air break switches over 5 year</t>
  </si>
  <si>
    <t>Replacement of air break switches over 10 year</t>
  </si>
  <si>
    <t>Replacement of air break switches over 15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</si>
</sst>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&quot;$&quot;\ 0000"/>
  </numFmts>
  <fonts count="10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FFFF"/>
      <name val="Calibri"/>
      <family val="2"/>
      <scheme val="minor"/>
    </font>
    <font>
      <i/>
      <sz val="10"/>
      <color theme="1"/>
      <name val="Verdana"/>
      <family val="2"/>
    </font>
    <font>
      <sz val="8"/>
      <color theme="1" tint="0.499984740745262"/>
      <name val="Calibri"/>
      <family val="2"/>
      <scheme val="minor"/>
    </font>
    <font>
      <i/>
      <sz val="10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i/>
      <sz val="10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9" fillId="9" borderId="0" applyNumberFormat="0">
      <alignment horizontal="center"/>
    </xf>
    <xf numFmtId="170" fontId="22" fillId="0" borderId="8" applyNumberFormat="0" applyProtection="0">
      <alignment horizontal="right"/>
    </xf>
    <xf numFmtId="10" fontId="28" fillId="2" borderId="0" applyNumberFormat="0" applyAlignment="0" applyProtection="0"/>
    <xf numFmtId="10" fontId="48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4" applyNumberFormat="0" applyProtection="0">
      <alignment horizontal="left" vertical="center" indent="1"/>
    </xf>
    <xf numFmtId="4" fontId="93" fillId="17" borderId="14" applyNumberFormat="0" applyProtection="0">
      <alignment horizontal="left" vertical="center" indent="1"/>
    </xf>
    <xf numFmtId="4" fontId="93" fillId="0" borderId="14" applyNumberFormat="0" applyProtection="0">
      <alignment horizontal="right" vertical="center"/>
    </xf>
  </cellStyleXfs>
  <cellXfs count="372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1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3" fillId="0" borderId="0" xfId="8" applyFont="1" applyFill="1" applyBorder="1"/>
    <xf numFmtId="0" fontId="24" fillId="0" borderId="0" xfId="0" applyFont="1"/>
    <xf numFmtId="166" fontId="26" fillId="8" borderId="0" xfId="16" applyFont="1" applyFill="1"/>
    <xf numFmtId="0" fontId="15" fillId="0" borderId="0" xfId="18" applyAlignment="1">
      <alignment horizontal="left"/>
    </xf>
    <xf numFmtId="0" fontId="28" fillId="2" borderId="0" xfId="0" applyFont="1" applyFill="1"/>
    <xf numFmtId="0" fontId="17" fillId="0" borderId="0" xfId="0" applyFont="1"/>
    <xf numFmtId="166" fontId="26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5" fillId="11" borderId="0" xfId="18" applyFont="1" applyFill="1" applyAlignment="1">
      <alignment vertical="center"/>
    </xf>
    <xf numFmtId="166" fontId="32" fillId="10" borderId="0" xfId="16" applyFont="1" applyFill="1"/>
    <xf numFmtId="166" fontId="33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2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8" fillId="2" borderId="8" xfId="18" applyNumberFormat="1" applyFont="1" applyFill="1" applyBorder="1" applyAlignment="1">
      <alignment horizontal="right" vertical="center"/>
    </xf>
    <xf numFmtId="0" fontId="35" fillId="0" borderId="0" xfId="8" applyFont="1" applyFill="1"/>
    <xf numFmtId="0" fontId="36" fillId="0" borderId="0" xfId="18" applyFont="1"/>
    <xf numFmtId="0" fontId="35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8" fillId="2" borderId="0" xfId="18" quotePrefix="1" applyNumberFormat="1" applyFont="1" applyFill="1" applyAlignment="1">
      <alignment horizontal="center"/>
    </xf>
    <xf numFmtId="166" fontId="39" fillId="0" borderId="0" xfId="18" applyNumberFormat="1" applyFont="1" applyAlignment="1">
      <alignment horizontal="left"/>
    </xf>
    <xf numFmtId="0" fontId="17" fillId="0" borderId="0" xfId="18" applyFont="1" applyBorder="1"/>
    <xf numFmtId="10" fontId="28" fillId="2" borderId="0" xfId="23" applyNumberFormat="1"/>
    <xf numFmtId="0" fontId="22" fillId="0" borderId="0" xfId="18" applyFont="1" applyBorder="1"/>
    <xf numFmtId="171" fontId="34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1" fillId="0" borderId="7" xfId="18" quotePrefix="1" applyFont="1" applyBorder="1" applyAlignment="1">
      <alignment horizontal="left"/>
    </xf>
    <xf numFmtId="14" fontId="38" fillId="2" borderId="7" xfId="23" applyNumberFormat="1" applyFont="1" applyBorder="1"/>
    <xf numFmtId="166" fontId="26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1" fillId="0" borderId="7" xfId="18" applyNumberFormat="1" applyFont="1" applyBorder="1" applyAlignment="1">
      <alignment horizontal="left" vertical="center"/>
    </xf>
    <xf numFmtId="0" fontId="22" fillId="0" borderId="0" xfId="18" applyFont="1" applyAlignment="1">
      <alignment horizontal="left"/>
    </xf>
    <xf numFmtId="167" fontId="31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2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3" fillId="10" borderId="0" xfId="16" applyFont="1" applyFill="1"/>
    <xf numFmtId="0" fontId="28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8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6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168" fontId="22" fillId="0" borderId="8" xfId="22" applyNumberFormat="1" applyAlignment="1">
      <alignment horizontal="right"/>
    </xf>
    <xf numFmtId="0" fontId="47" fillId="0" borderId="0" xfId="18" quotePrefix="1" applyFont="1" applyAlignment="1">
      <alignment horizontal="left"/>
    </xf>
    <xf numFmtId="168" fontId="45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5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8" fillId="2" borderId="0" xfId="18" applyNumberFormat="1" applyFont="1" applyFill="1" applyBorder="1"/>
    <xf numFmtId="10" fontId="35" fillId="0" borderId="0" xfId="23" applyNumberFormat="1" applyFont="1" applyFill="1"/>
    <xf numFmtId="0" fontId="22" fillId="0" borderId="0" xfId="18" applyFont="1" applyFill="1"/>
    <xf numFmtId="0" fontId="22" fillId="0" borderId="0" xfId="18" applyFont="1" applyFill="1" applyBorder="1"/>
    <xf numFmtId="0" fontId="27" fillId="0" borderId="0" xfId="0" applyFont="1"/>
    <xf numFmtId="166" fontId="32" fillId="10" borderId="0" xfId="16" applyFont="1" applyFill="1" applyAlignment="1">
      <alignment horizontal="center"/>
    </xf>
    <xf numFmtId="0" fontId="24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1" fillId="0" borderId="7" xfId="18" applyFont="1" applyBorder="1"/>
    <xf numFmtId="0" fontId="52" fillId="0" borderId="7" xfId="18" applyFont="1" applyFill="1" applyBorder="1" applyAlignment="1">
      <alignment vertical="center"/>
    </xf>
    <xf numFmtId="0" fontId="37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2" fillId="13" borderId="8" xfId="22" applyNumberFormat="1" applyFill="1" applyAlignment="1">
      <alignment horizontal="left"/>
    </xf>
    <xf numFmtId="0" fontId="53" fillId="0" borderId="0" xfId="18" applyFont="1"/>
    <xf numFmtId="167" fontId="35" fillId="2" borderId="0" xfId="18" applyNumberFormat="1" applyFont="1" applyFill="1" applyBorder="1" applyAlignment="1">
      <alignment horizontal="right" vertical="center"/>
    </xf>
    <xf numFmtId="177" fontId="35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/>
    <xf numFmtId="175" fontId="4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 applyAlignment="1">
      <alignment horizontal="center"/>
    </xf>
    <xf numFmtId="0" fontId="46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1" fillId="0" borderId="0" xfId="18" applyNumberFormat="1" applyFont="1" applyFill="1" applyBorder="1" applyAlignment="1">
      <alignment horizontal="right" vertical="center"/>
    </xf>
    <xf numFmtId="0" fontId="50" fillId="0" borderId="0" xfId="0" applyFont="1"/>
    <xf numFmtId="167" fontId="31" fillId="0" borderId="0" xfId="18" applyNumberFormat="1" applyFont="1" applyFill="1" applyBorder="1" applyAlignment="1">
      <alignment horizontal="right" vertical="center"/>
    </xf>
    <xf numFmtId="166" fontId="39" fillId="0" borderId="4" xfId="18" applyNumberFormat="1" applyFont="1" applyBorder="1" applyAlignment="1">
      <alignment horizontal="left"/>
    </xf>
    <xf numFmtId="0" fontId="15" fillId="0" borderId="4" xfId="18" applyBorder="1"/>
    <xf numFmtId="0" fontId="52" fillId="0" borderId="0" xfId="18" applyFont="1" applyFill="1" applyBorder="1" applyAlignment="1">
      <alignment vertical="center"/>
    </xf>
    <xf numFmtId="169" fontId="22" fillId="0" borderId="8" xfId="22" applyNumberFormat="1" applyAlignment="1">
      <alignment horizontal="right"/>
    </xf>
    <xf numFmtId="170" fontId="22" fillId="0" borderId="8" xfId="22" applyNumberFormat="1" applyAlignment="1">
      <alignment horizontal="right"/>
    </xf>
    <xf numFmtId="0" fontId="35" fillId="0" borderId="0" xfId="8" applyFont="1"/>
    <xf numFmtId="0" fontId="49" fillId="0" borderId="0" xfId="8" applyFont="1"/>
    <xf numFmtId="0" fontId="40" fillId="0" borderId="0" xfId="8" applyFont="1"/>
    <xf numFmtId="175" fontId="46" fillId="0" borderId="0" xfId="18" applyNumberFormat="1" applyFont="1" applyAlignment="1">
      <alignment horizontal="right" vertical="center"/>
    </xf>
    <xf numFmtId="0" fontId="23" fillId="0" borderId="0" xfId="8" applyFont="1"/>
    <xf numFmtId="167" fontId="16" fillId="0" borderId="0" xfId="18" applyNumberFormat="1" applyFont="1" applyAlignment="1">
      <alignment horizontal="right" vertical="center"/>
    </xf>
    <xf numFmtId="0" fontId="52" fillId="0" borderId="7" xfId="18" applyFont="1" applyBorder="1" applyAlignment="1">
      <alignment vertical="center"/>
    </xf>
    <xf numFmtId="0" fontId="37" fillId="0" borderId="7" xfId="18" applyFont="1" applyBorder="1" applyAlignment="1">
      <alignment vertical="center"/>
    </xf>
    <xf numFmtId="0" fontId="37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3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6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2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8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9" fillId="0" borderId="0" xfId="18" applyNumberFormat="1" applyFont="1" applyBorder="1" applyAlignment="1">
      <alignment horizontal="left"/>
    </xf>
    <xf numFmtId="2" fontId="15" fillId="0" borderId="0" xfId="18" applyNumberFormat="1"/>
    <xf numFmtId="178" fontId="31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5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8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4" fillId="0" borderId="0" xfId="0" applyNumberFormat="1" applyFont="1"/>
    <xf numFmtId="0" fontId="46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5" fillId="2" borderId="0" xfId="18" applyNumberFormat="1" applyFont="1" applyFill="1" applyBorder="1" applyAlignment="1">
      <alignment horizontal="left" vertical="center"/>
    </xf>
    <xf numFmtId="170" fontId="28" fillId="2" borderId="0" xfId="23" applyNumberFormat="1" applyAlignment="1">
      <alignment horizontal="right"/>
    </xf>
    <xf numFmtId="183" fontId="48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2" fillId="0" borderId="8" xfId="22" applyNumberFormat="1">
      <alignment horizontal="right"/>
    </xf>
    <xf numFmtId="9" fontId="28" fillId="2" borderId="0" xfId="23" applyNumberFormat="1" applyAlignment="1">
      <alignment horizontal="right"/>
    </xf>
    <xf numFmtId="175" fontId="46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8" fillId="2" borderId="8" xfId="23" applyNumberFormat="1" applyBorder="1" applyAlignment="1">
      <alignment horizontal="right"/>
    </xf>
    <xf numFmtId="184" fontId="28" fillId="2" borderId="10" xfId="23" applyNumberFormat="1" applyBorder="1" applyAlignment="1">
      <alignment horizontal="right"/>
    </xf>
    <xf numFmtId="170" fontId="28" fillId="2" borderId="0" xfId="23" applyNumberFormat="1" applyBorder="1" applyAlignment="1">
      <alignment horizontal="right"/>
    </xf>
    <xf numFmtId="185" fontId="28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5" fillId="0" borderId="0" xfId="18" applyFont="1"/>
    <xf numFmtId="179" fontId="28" fillId="2" borderId="8" xfId="18" applyNumberFormat="1" applyFont="1" applyFill="1" applyBorder="1" applyAlignment="1">
      <alignment horizontal="right" vertical="center"/>
    </xf>
    <xf numFmtId="187" fontId="28" fillId="2" borderId="8" xfId="18" applyNumberFormat="1" applyFont="1" applyFill="1" applyBorder="1" applyAlignment="1">
      <alignment horizontal="right" vertical="center"/>
    </xf>
    <xf numFmtId="179" fontId="31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6" fillId="0" borderId="11" xfId="0" applyFont="1" applyFill="1" applyBorder="1" applyAlignment="1"/>
    <xf numFmtId="166" fontId="39" fillId="0" borderId="11" xfId="18" applyNumberFormat="1" applyFont="1" applyBorder="1" applyAlignment="1">
      <alignment horizontal="left"/>
    </xf>
    <xf numFmtId="167" fontId="31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5" fillId="15" borderId="0" xfId="18" applyFont="1" applyFill="1" applyAlignment="1">
      <alignment vertical="center"/>
    </xf>
    <xf numFmtId="0" fontId="25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40" fillId="0" borderId="0" xfId="8" applyNumberFormat="1" applyFont="1"/>
    <xf numFmtId="1" fontId="40" fillId="0" borderId="0" xfId="8" applyNumberFormat="1" applyFont="1"/>
    <xf numFmtId="167" fontId="23" fillId="0" borderId="0" xfId="8" applyNumberFormat="1" applyFont="1"/>
    <xf numFmtId="167" fontId="23" fillId="0" borderId="0" xfId="8" applyNumberFormat="1" applyFont="1" applyAlignment="1">
      <alignment horizontal="right"/>
    </xf>
    <xf numFmtId="0" fontId="23" fillId="0" borderId="7" xfId="8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60" fillId="0" borderId="12" xfId="0" applyFont="1" applyBorder="1"/>
    <xf numFmtId="0" fontId="23" fillId="2" borderId="0" xfId="8" applyFont="1" applyFill="1" applyAlignment="1">
      <alignment horizontal="left"/>
    </xf>
    <xf numFmtId="2" fontId="15" fillId="2" borderId="0" xfId="18" applyNumberFormat="1" applyFill="1"/>
    <xf numFmtId="2" fontId="22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1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7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7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9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7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6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7" fillId="0" borderId="0" xfId="18" applyFont="1" applyBorder="1" applyAlignment="1">
      <alignment vertical="center"/>
    </xf>
    <xf numFmtId="0" fontId="37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5" fillId="0" borderId="0" xfId="18" applyFont="1" applyBorder="1" applyAlignment="1">
      <alignment vertical="center"/>
    </xf>
    <xf numFmtId="189" fontId="15" fillId="0" borderId="0" xfId="18" applyNumberFormat="1" applyFont="1"/>
    <xf numFmtId="171" fontId="40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3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9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4" fillId="0" borderId="0" xfId="0" applyNumberFormat="1" applyFont="1"/>
    <xf numFmtId="0" fontId="15" fillId="0" borderId="7" xfId="0" applyFont="1" applyBorder="1" applyAlignment="1"/>
    <xf numFmtId="0" fontId="28" fillId="2" borderId="0" xfId="18" applyFont="1" applyFill="1"/>
    <xf numFmtId="181" fontId="17" fillId="0" borderId="13" xfId="0" applyNumberFormat="1" applyFont="1" applyFill="1" applyBorder="1" applyAlignment="1">
      <alignment horizontal="left"/>
    </xf>
    <xf numFmtId="191" fontId="31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2" fillId="0" borderId="13" xfId="0" applyNumberFormat="1" applyFont="1" applyFill="1" applyBorder="1" applyAlignment="1">
      <alignment horizontal="center"/>
    </xf>
    <xf numFmtId="188" fontId="24" fillId="0" borderId="7" xfId="18" applyNumberFormat="1" applyFont="1" applyFill="1" applyBorder="1" applyAlignment="1">
      <alignment horizontal="left"/>
    </xf>
    <xf numFmtId="0" fontId="31" fillId="0" borderId="0" xfId="18" applyFont="1" applyAlignment="1">
      <alignment horizontal="left" vertical="top"/>
    </xf>
    <xf numFmtId="0" fontId="38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4" fillId="0" borderId="0" xfId="0" applyNumberFormat="1" applyFont="1"/>
    <xf numFmtId="0" fontId="24" fillId="0" borderId="0" xfId="0" applyFont="1" applyAlignment="1">
      <alignment wrapText="1"/>
    </xf>
    <xf numFmtId="168" fontId="28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8" fillId="2" borderId="0" xfId="24" quotePrefix="1" applyNumberFormat="1" applyFont="1" applyFill="1"/>
    <xf numFmtId="168" fontId="28" fillId="2" borderId="0" xfId="24" applyNumberFormat="1" applyFont="1" applyFill="1" applyAlignment="1">
      <alignment horizontal="right"/>
    </xf>
    <xf numFmtId="0" fontId="28" fillId="2" borderId="0" xfId="24" applyNumberFormat="1" applyFont="1" applyFill="1"/>
    <xf numFmtId="168" fontId="28" fillId="2" borderId="0" xfId="24" applyNumberFormat="1" applyFont="1" applyFill="1" applyAlignment="1">
      <alignment horizontal="right" vertical="center"/>
    </xf>
    <xf numFmtId="170" fontId="28" fillId="2" borderId="0" xfId="24" applyNumberFormat="1" applyFont="1" applyFill="1" applyBorder="1" applyAlignment="1">
      <alignment horizontal="right"/>
    </xf>
    <xf numFmtId="169" fontId="28" fillId="2" borderId="0" xfId="24" applyNumberFormat="1" applyFont="1" applyFill="1" applyBorder="1" applyAlignment="1">
      <alignment horizontal="right"/>
    </xf>
    <xf numFmtId="189" fontId="28" fillId="2" borderId="0" xfId="23" applyNumberFormat="1" applyAlignment="1">
      <alignment horizontal="right"/>
    </xf>
    <xf numFmtId="189" fontId="38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4" fontId="89" fillId="0" borderId="0" xfId="20" applyNumberFormat="1" applyFont="1" applyAlignment="1">
      <alignment horizontal="left"/>
    </xf>
    <xf numFmtId="0" fontId="90" fillId="0" borderId="0" xfId="20" applyFont="1"/>
    <xf numFmtId="195" fontId="91" fillId="10" borderId="0" xfId="16" applyNumberFormat="1" applyFont="1" applyFill="1" applyAlignment="1">
      <alignment horizontal="right"/>
    </xf>
    <xf numFmtId="195" fontId="92" fillId="15" borderId="0" xfId="18" applyNumberFormat="1" applyFont="1" applyFill="1" applyAlignment="1">
      <alignment horizontal="right" vertical="center"/>
    </xf>
    <xf numFmtId="168" fontId="28" fillId="2" borderId="0" xfId="23" applyNumberFormat="1" applyAlignment="1">
      <alignment horizontal="right"/>
    </xf>
    <xf numFmtId="177" fontId="28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8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2" fillId="0" borderId="8" xfId="22" applyNumberFormat="1" applyAlignment="1">
      <alignment horizontal="center"/>
    </xf>
    <xf numFmtId="168" fontId="45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28" fillId="2" borderId="0" xfId="18" applyFont="1" applyFill="1" applyAlignment="1">
      <alignment horizontal="left" vertical="top"/>
    </xf>
    <xf numFmtId="0" fontId="19" fillId="18" borderId="0" xfId="18" applyFont="1" applyFill="1" applyAlignment="1">
      <alignment vertical="center"/>
    </xf>
    <xf numFmtId="167" fontId="28" fillId="2" borderId="0" xfId="23" applyNumberFormat="1"/>
    <xf numFmtId="195" fontId="94" fillId="11" borderId="0" xfId="18" applyNumberFormat="1" applyFont="1" applyFill="1" applyAlignment="1">
      <alignment horizontal="right" vertical="center"/>
    </xf>
    <xf numFmtId="0" fontId="19" fillId="0" borderId="0" xfId="18" applyFont="1" applyAlignment="1">
      <alignment horizontal="right" vertical="center"/>
    </xf>
    <xf numFmtId="167" fontId="15" fillId="0" borderId="0" xfId="0" applyNumberFormat="1" applyFont="1"/>
    <xf numFmtId="0" fontId="28" fillId="2" borderId="0" xfId="23" applyNumberFormat="1"/>
    <xf numFmtId="0" fontId="15" fillId="0" borderId="4" xfId="0" applyFont="1" applyBorder="1"/>
    <xf numFmtId="167" fontId="22" fillId="0" borderId="8" xfId="22" applyNumberFormat="1">
      <alignment horizontal="right"/>
    </xf>
    <xf numFmtId="0" fontId="95" fillId="0" borderId="0" xfId="0" applyFont="1"/>
    <xf numFmtId="0" fontId="17" fillId="0" borderId="4" xfId="0" applyFont="1" applyBorder="1"/>
    <xf numFmtId="167" fontId="17" fillId="0" borderId="4" xfId="0" applyNumberFormat="1" applyFont="1" applyBorder="1"/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9" fontId="15" fillId="0" borderId="0" xfId="0" applyNumberFormat="1" applyFont="1"/>
    <xf numFmtId="196" fontId="15" fillId="0" borderId="0" xfId="0" applyNumberFormat="1" applyFont="1" applyAlignment="1">
      <alignment horizontal="left"/>
    </xf>
    <xf numFmtId="0" fontId="96" fillId="0" borderId="0" xfId="18" applyFont="1"/>
    <xf numFmtId="0" fontId="96" fillId="0" borderId="0" xfId="0" applyFont="1"/>
    <xf numFmtId="0" fontId="46" fillId="0" borderId="0" xfId="0" applyFont="1"/>
    <xf numFmtId="167" fontId="20" fillId="2" borderId="0" xfId="23" applyNumberFormat="1" applyFont="1"/>
    <xf numFmtId="0" fontId="97" fillId="0" borderId="0" xfId="0" applyFont="1"/>
    <xf numFmtId="0" fontId="96" fillId="0" borderId="4" xfId="0" applyFont="1" applyBorder="1"/>
    <xf numFmtId="195" fontId="96" fillId="11" borderId="0" xfId="18" applyNumberFormat="1" applyFont="1" applyFill="1" applyAlignment="1">
      <alignment horizontal="right"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Font="1" applyBorder="1"/>
    <xf numFmtId="0" fontId="99" fillId="0" borderId="0" xfId="0" applyFont="1"/>
    <xf numFmtId="167" fontId="99" fillId="0" borderId="0" xfId="0" applyNumberFormat="1" applyFon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8" fillId="2" borderId="15" xfId="23" applyNumberFormat="1" applyFill="1" applyBorder="1" applyAlignment="1">
      <alignment horizontal="left"/>
    </xf>
    <xf numFmtId="185" fontId="28" fillId="2" borderId="4" xfId="23" applyNumberFormat="1" applyFill="1" applyBorder="1" applyAlignment="1">
      <alignment horizontal="left"/>
    </xf>
    <xf numFmtId="185" fontId="28" fillId="2" borderId="16" xfId="23" applyNumberFormat="1" applyFill="1" applyBorder="1" applyAlignment="1">
      <alignment horizontal="left"/>
    </xf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0" fontId="38" fillId="2" borderId="0" xfId="0" applyFont="1" applyFill="1" applyAlignment="1">
      <alignment horizontal="left"/>
    </xf>
    <xf numFmtId="0" fontId="28" fillId="2" borderId="0" xfId="24" applyNumberFormat="1" applyFont="1" applyFill="1" applyBorder="1" applyAlignment="1">
      <alignment horizontal="left" vertical="top"/>
    </xf>
    <xf numFmtId="0" fontId="28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161925</xdr:rowOff>
    </xdr:from>
    <xdr:to>
      <xdr:col>10</xdr:col>
      <xdr:colOff>377450</xdr:colOff>
      <xdr:row>2</xdr:row>
      <xdr:rowOff>120966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37994-7488-498A-A4FA-F343764E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61925"/>
          <a:ext cx="1034675" cy="42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4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I19" sqref="I19"/>
    </sheetView>
  </sheetViews>
  <sheetFormatPr defaultColWidth="0" defaultRowHeight="15" customHeight="1" zeroHeight="1" x14ac:dyDescent="0.3"/>
  <cols>
    <col min="1" max="1" width="8" style="129" customWidth="1"/>
    <col min="2" max="2" width="1.90625" style="129" customWidth="1"/>
    <col min="3" max="3" width="14" style="129" customWidth="1"/>
    <col min="4" max="4" width="8" style="129" customWidth="1"/>
    <col min="5" max="5" width="9.3632812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ht="14.4" x14ac:dyDescent="0.3">
      <c r="A1" s="310"/>
    </row>
    <row r="2" spans="1:19" ht="22.8" x14ac:dyDescent="0.4">
      <c r="A2" s="310"/>
      <c r="C2" s="311" t="s">
        <v>42</v>
      </c>
      <c r="D2" s="312"/>
      <c r="E2" s="312"/>
    </row>
    <row r="3" spans="1:19" ht="15.6" x14ac:dyDescent="0.3">
      <c r="A3" s="310"/>
      <c r="C3" s="313" t="s">
        <v>236</v>
      </c>
      <c r="D3" s="312"/>
      <c r="E3" s="312"/>
    </row>
    <row r="4" spans="1:19" ht="14.4" x14ac:dyDescent="0.3">
      <c r="A4" s="310"/>
      <c r="D4" s="312"/>
      <c r="E4" s="312"/>
    </row>
    <row r="5" spans="1:19" ht="14.4" x14ac:dyDescent="0.3">
      <c r="A5" s="310"/>
      <c r="C5" s="314" t="s">
        <v>291</v>
      </c>
    </row>
    <row r="6" spans="1:19" ht="14.4" x14ac:dyDescent="0.3">
      <c r="A6" s="310"/>
      <c r="C6" s="315" t="s">
        <v>237</v>
      </c>
      <c r="D6" s="328">
        <v>4.16</v>
      </c>
      <c r="E6" s="315"/>
    </row>
    <row r="7" spans="1:19" ht="14.4" x14ac:dyDescent="0.3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ht="14.4" x14ac:dyDescent="0.3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ht="14.4" x14ac:dyDescent="0.3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ht="14.4" x14ac:dyDescent="0.3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ht="14.4" x14ac:dyDescent="0.3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ht="14.4" x14ac:dyDescent="0.3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ht="14.4" x14ac:dyDescent="0.3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ht="14.4" x14ac:dyDescent="0.3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ht="14.4" x14ac:dyDescent="0.3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ht="14.4" x14ac:dyDescent="0.3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ht="14.4" x14ac:dyDescent="0.3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ht="14.4" x14ac:dyDescent="0.3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ht="14.4" x14ac:dyDescent="0.3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ht="14.4" x14ac:dyDescent="0.3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3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ht="14.4" x14ac:dyDescent="0.3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ht="14.4" x14ac:dyDescent="0.3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ht="14.4" x14ac:dyDescent="0.3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ht="14.4" x14ac:dyDescent="0.3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ht="14.4" x14ac:dyDescent="0.3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ht="14.4" x14ac:dyDescent="0.3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ht="14.4" x14ac:dyDescent="0.3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ht="14.4" x14ac:dyDescent="0.3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ht="14.4" x14ac:dyDescent="0.3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ht="14.4" x14ac:dyDescent="0.3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ht="14.4" x14ac:dyDescent="0.3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ht="14.4" x14ac:dyDescent="0.3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ht="14.4" x14ac:dyDescent="0.3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14.4" x14ac:dyDescent="0.3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ht="14.4" x14ac:dyDescent="0.3">
      <c r="A36" s="310"/>
    </row>
    <row r="37" spans="1:19" ht="14.4" x14ac:dyDescent="0.3">
      <c r="A37" s="310"/>
    </row>
    <row r="38" spans="1:19" ht="14.4" x14ac:dyDescent="0.3">
      <c r="A38" s="310"/>
    </row>
    <row r="39" spans="1:19" ht="14.4" x14ac:dyDescent="0.3">
      <c r="A39" s="310"/>
    </row>
    <row r="40" spans="1:19" ht="14.4" x14ac:dyDescent="0.3">
      <c r="A40" s="310">
        <f ca="1">_xlfn.SHEETS()</f>
        <v>14</v>
      </c>
    </row>
    <row r="41" spans="1:19" ht="14.4" x14ac:dyDescent="0.3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5"/>
  <cols>
    <col min="1" max="1" width="1.90625" style="10" customWidth="1"/>
    <col min="2" max="2" width="2" style="10" customWidth="1"/>
    <col min="3" max="3" width="21.6328125" style="10" customWidth="1"/>
    <col min="4" max="4" width="34.6328125" style="10" customWidth="1"/>
    <col min="5" max="5" width="2.453125" style="10" customWidth="1"/>
    <col min="6" max="9" width="13.08984375" style="10" customWidth="1"/>
    <col min="10" max="10" width="11.7265625" style="10" customWidth="1"/>
    <col min="11" max="11" width="1.7265625" style="10" customWidth="1"/>
    <col min="12" max="12" width="14.6328125" style="10" customWidth="1"/>
    <col min="13" max="13" width="2.26953125" style="10" customWidth="1"/>
    <col min="14" max="14" width="8.7265625" style="10" hidden="1" customWidth="1"/>
    <col min="15" max="16384" width="9" style="10" hidden="1"/>
  </cols>
  <sheetData>
    <row r="1" spans="1:1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" x14ac:dyDescent="0.35">
      <c r="A2" s="56" t="str">
        <f>proj</f>
        <v>Recplacement of CRO inoperable RMUs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" x14ac:dyDescent="0.35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" x14ac:dyDescent="0.3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4" x14ac:dyDescent="0.3">
      <c r="A5" s="19" t="s">
        <v>155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.8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.8" x14ac:dyDescent="0.3">
      <c r="G7" s="152" t="s">
        <v>183</v>
      </c>
      <c r="H7" s="152" t="s">
        <v>184</v>
      </c>
      <c r="I7" s="152" t="s">
        <v>117</v>
      </c>
    </row>
    <row r="8" spans="1:13" s="7" customFormat="1" ht="13.8" x14ac:dyDescent="0.3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3.8" x14ac:dyDescent="0.3">
      <c r="C9" s="91" t="str" cm="1">
        <f t="array" ref="C9:C13">options</f>
        <v>Option 1 (base case)</v>
      </c>
      <c r="D9" s="359" t="str">
        <f>INDEX(Assumptions!$E$14:$E$18, MATCH(C9, Assumptions!$C$14:$C$18,0))</f>
        <v>No change to existing practices</v>
      </c>
      <c r="E9" s="360"/>
      <c r="F9" s="360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61" t="str">
        <f>INDEX(Assumptions!$E$14:$E$18, MATCH(C10, Assumptions!$C$14:$C$18,0))</f>
        <v>Replace all CRO inoperatble RMUs over 1 year</v>
      </c>
      <c r="E10" s="362"/>
      <c r="F10" s="362"/>
      <c r="G10" s="103">
        <f>IF(Data!$C10, "", INDEX(Consol!$F$15:$F$82, MATCH($C10&amp;G$7, Consol!$D$15:$D$82,0))/mill_conv)</f>
        <v>-3.2290739368083541</v>
      </c>
      <c r="H10" s="103">
        <f>IF(Data!$C10, "", INDEX(Consol!$F$15:$F$82, MATCH($C10&amp;H$7, Consol!$D$15:$D$82,0))/mill_conv)</f>
        <v>31.408668676943805</v>
      </c>
      <c r="I10" s="103">
        <f>IF(Data!$C10, "", INDEX(Consol!$F$15:$F$82, MATCH($C10&amp;I$7, Consol!$D$15:$D$82,0))/mill_conv)</f>
        <v>28.179594740135453</v>
      </c>
    </row>
    <row r="11" spans="1:13" s="7" customFormat="1" ht="13.8" x14ac:dyDescent="0.3">
      <c r="C11" s="91" t="str">
        <v>Option 3</v>
      </c>
      <c r="D11" s="361" t="str">
        <f>INDEX(Assumptions!$E$14:$E$18, MATCH(C11, Assumptions!$C$14:$C$18,0))</f>
        <v>Replace all CRO inoperatble RMUs over 5 years</v>
      </c>
      <c r="E11" s="362"/>
      <c r="F11" s="362"/>
      <c r="G11" s="103">
        <f>IF(Data!$C11, "", INDEX(Consol!$F$15:$F$82, MATCH($C11&amp;G$7, Consol!$D$15:$D$82,0))/mill_conv)</f>
        <v>-2.7802957435456657</v>
      </c>
      <c r="H11" s="103">
        <f>IF(Data!$C11, "", INDEX(Consol!$F$15:$F$82, MATCH($C11&amp;H$7, Consol!$D$15:$D$82,0))/mill_conv)</f>
        <v>27.197835204150742</v>
      </c>
      <c r="I11" s="103">
        <f>IF(Data!$C11, "", INDEX(Consol!$F$15:$F$82, MATCH($C11&amp;I$7, Consol!$D$15:$D$82,0))/mill_conv)</f>
        <v>24.417539460605081</v>
      </c>
    </row>
    <row r="12" spans="1:13" s="7" customFormat="1" ht="13.8" x14ac:dyDescent="0.3">
      <c r="C12" s="91" t="str">
        <v>Option 4</v>
      </c>
      <c r="D12" s="361" t="str">
        <f>INDEX(Assumptions!$E$14:$E$18, MATCH(C12, Assumptions!$C$14:$C$18,0))</f>
        <v>Replace all CRO inoperatble RMUs over 10 years</v>
      </c>
      <c r="E12" s="362"/>
      <c r="F12" s="362"/>
      <c r="G12" s="103">
        <f>IF(Data!$C12, "", INDEX(Consol!$F$15:$F$82, MATCH($C12&amp;G$7, Consol!$D$15:$D$82,0))/mill_conv)</f>
        <v>-2.2777352857294693</v>
      </c>
      <c r="H12" s="103">
        <f>IF(Data!$C12, "", INDEX(Consol!$F$15:$F$82, MATCH($C12&amp;H$7, Consol!$D$15:$D$82,0))/mill_conv)</f>
        <v>20.649009340845016</v>
      </c>
      <c r="I12" s="103">
        <f>IF(Data!$C12, "", INDEX(Consol!$F$15:$F$82, MATCH($C12&amp;I$7, Consol!$D$15:$D$82,0))/mill_conv)</f>
        <v>18.371274055115546</v>
      </c>
    </row>
    <row r="13" spans="1:13" s="7" customFormat="1" ht="13.8" x14ac:dyDescent="0.3">
      <c r="C13" s="91" t="str">
        <v>Option 5</v>
      </c>
      <c r="D13" s="361" t="str">
        <f>INDEX(Assumptions!$E$14:$E$18, MATCH(C13, Assumptions!$C$14:$C$18,0))</f>
        <v>Replace all CRO inoperatble RMUs over 15 years</v>
      </c>
      <c r="E13" s="362"/>
      <c r="F13" s="362"/>
      <c r="G13" s="103">
        <f>IF(Data!$C13, "", INDEX(Consol!$F$15:$F$82, MATCH($C13&amp;G$7, Consol!$D$15:$D$82,0))/mill_conv)</f>
        <v>-1.7819129442315635</v>
      </c>
      <c r="H13" s="103">
        <f>IF(Data!$C13, "", INDEX(Consol!$F$15:$F$82, MATCH($C13&amp;H$7, Consol!$D$15:$D$82,0))/mill_conv)</f>
        <v>16.154088344039629</v>
      </c>
      <c r="I13" s="103">
        <f>IF(Data!$C13, "", INDEX(Consol!$F$15:$F$82, MATCH($C13&amp;I$7, Consol!$D$15:$D$82,0))/mill_conv)</f>
        <v>14.372175399808068</v>
      </c>
    </row>
    <row r="14" spans="1:13" s="7" customFormat="1" ht="13.8" x14ac:dyDescent="0.3">
      <c r="C14" s="91"/>
      <c r="D14" s="247"/>
      <c r="E14" s="247"/>
      <c r="F14" s="241"/>
      <c r="H14" s="9"/>
    </row>
    <row r="15" spans="1:13" s="7" customFormat="1" ht="13.8" x14ac:dyDescent="0.3">
      <c r="C15" s="91"/>
      <c r="D15" s="91"/>
      <c r="E15" s="91"/>
      <c r="F15" s="92"/>
      <c r="G15"/>
      <c r="I15" s="9"/>
    </row>
    <row r="16" spans="1:13" s="7" customFormat="1" ht="13.8" x14ac:dyDescent="0.3">
      <c r="G16" s="152" t="s">
        <v>117</v>
      </c>
      <c r="H16"/>
      <c r="J16" s="9"/>
    </row>
    <row r="17" spans="1:13" s="7" customFormat="1" ht="13.8" x14ac:dyDescent="0.3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3.8" x14ac:dyDescent="0.3">
      <c r="C18" s="36" t="str">
        <f>INDEX($C$9:$C$13,MATCH(G18, $I$9:$I$13,0))</f>
        <v>Option 2</v>
      </c>
      <c r="D18" s="358" t="str">
        <f>INDEX($D$9:$D$13,MATCH(G18, $I$9:$I$13,0))</f>
        <v>Replace all CRO inoperatble RMUs over 1 year</v>
      </c>
      <c r="E18" s="358"/>
      <c r="F18" s="358"/>
      <c r="G18" s="104">
        <f>_xlfn.MAXIFS(I9:I13, IF(compliance, Data!$F$9:$F$13, Data!$C$9:$C$13),FALSE)</f>
        <v>28.179594740135453</v>
      </c>
      <c r="H18"/>
    </row>
    <row r="19" spans="1:13" s="7" customFormat="1" ht="13.8" x14ac:dyDescent="0.3">
      <c r="H19"/>
    </row>
    <row r="20" spans="1:13" x14ac:dyDescent="0.25"/>
    <row r="21" spans="1:13" x14ac:dyDescent="0.25"/>
    <row r="22" spans="1:13" x14ac:dyDescent="0.25"/>
    <row r="23" spans="1:13" ht="14.4" x14ac:dyDescent="0.3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5"/>
    <row r="25" spans="1:13" s="8" customFormat="1" ht="13.8" x14ac:dyDescent="0.3">
      <c r="C25" s="14" t="s">
        <v>28</v>
      </c>
    </row>
    <row r="26" spans="1:13" s="8" customFormat="1" ht="13.8" x14ac:dyDescent="0.3">
      <c r="C26" s="93" t="str">
        <f>C18</f>
        <v>Option 2</v>
      </c>
    </row>
    <row r="27" spans="1:13" s="8" customFormat="1" ht="13.8" x14ac:dyDescent="0.3"/>
    <row r="28" spans="1:13" s="8" customFormat="1" ht="13.8" x14ac:dyDescent="0.3"/>
    <row r="29" spans="1:13" s="8" customFormat="1" ht="13.8" x14ac:dyDescent="0.3">
      <c r="C29" s="53" t="s">
        <v>29</v>
      </c>
      <c r="D29" s="289">
        <f>output_dollars</f>
        <v>46203</v>
      </c>
      <c r="E29" s="185"/>
      <c r="F29" s="55" t="str">
        <f>Assumptions!K90</f>
        <v>2026-27</v>
      </c>
      <c r="G29" s="55" t="str">
        <f>Assumptions!L90</f>
        <v>2027-28</v>
      </c>
      <c r="H29" s="55" t="str">
        <f>Assumptions!M90</f>
        <v>2028-29</v>
      </c>
      <c r="I29" s="55" t="str">
        <f>Assumptions!N90</f>
        <v>2029-30</v>
      </c>
      <c r="J29" s="55" t="str">
        <f>Assumptions!O90</f>
        <v>2030-31</v>
      </c>
      <c r="L29" s="55" t="s">
        <v>138</v>
      </c>
    </row>
    <row r="30" spans="1:13" s="8" customFormat="1" ht="13.8" x14ac:dyDescent="0.3">
      <c r="C30" s="4" t="s">
        <v>30</v>
      </c>
      <c r="F30" s="105">
        <f>-INDEX(Consol!$I$15:$Q$82,MATCH($C$26&amp;$C30,Consol!$D$15:$D$82,0), MATCH(F$29, Consol!$I$9:$Q$9,0))/mill_conv</f>
        <v>5.8140559891566568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5.8140559891566568</v>
      </c>
    </row>
    <row r="31" spans="1:13" s="8" customFormat="1" ht="13.8" x14ac:dyDescent="0.3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3.8" x14ac:dyDescent="0.3"/>
    <row r="33" spans="1:13" s="8" customFormat="1" ht="13.8" x14ac:dyDescent="0.3"/>
    <row r="34" spans="1:13" s="8" customFormat="1" ht="13.8" x14ac:dyDescent="0.3"/>
    <row r="35" spans="1:13" s="8" customFormat="1" ht="14.4" x14ac:dyDescent="0.3">
      <c r="A35" s="19" t="s">
        <v>212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.8" x14ac:dyDescent="0.3"/>
    <row r="37" spans="1:13" s="8" customFormat="1" ht="13.8" x14ac:dyDescent="0.3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3.8" x14ac:dyDescent="0.3">
      <c r="C38" s="257" t="s">
        <v>216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214</v>
      </c>
      <c r="M38" s="262"/>
    </row>
    <row r="39" spans="1:13" s="8" customFormat="1" ht="13.8" x14ac:dyDescent="0.3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28.179594740135457</v>
      </c>
      <c r="H39" s="286">
        <f>Sensitivity_calcs!E90</f>
        <v>24.417539460605081</v>
      </c>
      <c r="I39" s="286">
        <f>Sensitivity_calcs!F90</f>
        <v>18.371274055115546</v>
      </c>
      <c r="J39" s="286">
        <f>Sensitivity_calcs!G90</f>
        <v>14.372175399808068</v>
      </c>
      <c r="K39" s="256"/>
      <c r="L39" s="288" t="str">
        <f>Sensitivity_calcs!K90</f>
        <v>Option 2</v>
      </c>
      <c r="M39" s="256"/>
    </row>
    <row r="40" spans="1:13" s="8" customFormat="1" ht="13.8" x14ac:dyDescent="0.3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27.856687346454617</v>
      </c>
      <c r="H40" s="273">
        <f>Sensitivity_calcs!E91</f>
        <v>24.139509886250519</v>
      </c>
      <c r="I40" s="273">
        <f>Sensitivity_calcs!F91</f>
        <v>18.143500526542603</v>
      </c>
      <c r="J40" s="273">
        <f>Sensitivity_calcs!G91</f>
        <v>14.193984105384908</v>
      </c>
      <c r="K40" s="256"/>
      <c r="L40" s="281" t="str">
        <f>Sensitivity_calcs!K91</f>
        <v>Option 2</v>
      </c>
      <c r="M40" s="256"/>
    </row>
    <row r="41" spans="1:13" s="8" customFormat="1" ht="13.8" x14ac:dyDescent="0.3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28.502502133816296</v>
      </c>
      <c r="H41" s="274">
        <f>Sensitivity_calcs!E92</f>
        <v>24.69556903495965</v>
      </c>
      <c r="I41" s="274">
        <f>Sensitivity_calcs!F92</f>
        <v>18.599047583688495</v>
      </c>
      <c r="J41" s="274">
        <f>Sensitivity_calcs!G92</f>
        <v>14.550366694231224</v>
      </c>
      <c r="K41" s="256"/>
      <c r="L41" s="281" t="str">
        <f>Sensitivity_calcs!K92</f>
        <v>Option 2</v>
      </c>
      <c r="M41" s="256"/>
    </row>
    <row r="42" spans="1:13" s="8" customFormat="1" ht="13.8" x14ac:dyDescent="0.3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31.320461607829845</v>
      </c>
      <c r="H42" s="274">
        <f>Sensitivity_calcs!E93</f>
        <v>27.137322981020159</v>
      </c>
      <c r="I42" s="274">
        <f>Sensitivity_calcs!F93</f>
        <v>20.436174989200047</v>
      </c>
      <c r="J42" s="274">
        <f>Sensitivity_calcs!G93</f>
        <v>15.987584234212029</v>
      </c>
      <c r="K42" s="256"/>
      <c r="L42" s="281" t="str">
        <f>Sensitivity_calcs!K93</f>
        <v>Option 2</v>
      </c>
      <c r="M42" s="256"/>
    </row>
    <row r="43" spans="1:13" s="8" customFormat="1" ht="13.8" x14ac:dyDescent="0.3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25.038727872441076</v>
      </c>
      <c r="H43" s="274">
        <f>Sensitivity_calcs!E94</f>
        <v>21.697755940190007</v>
      </c>
      <c r="I43" s="274">
        <f>Sensitivity_calcs!F94</f>
        <v>16.306373121031047</v>
      </c>
      <c r="J43" s="274">
        <f>Sensitivity_calcs!G94</f>
        <v>12.756766565404106</v>
      </c>
      <c r="K43" s="256"/>
      <c r="L43" s="281" t="str">
        <f>Sensitivity_calcs!K94</f>
        <v>Option 2</v>
      </c>
      <c r="M43" s="256"/>
    </row>
    <row r="44" spans="1:13" s="8" customFormat="1" ht="13.8" x14ac:dyDescent="0.3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24.715820478760239</v>
      </c>
      <c r="H44" s="274">
        <f>Sensitivity_calcs!E95</f>
        <v>21.419726365835437</v>
      </c>
      <c r="I44" s="274">
        <f>Sensitivity_calcs!F95</f>
        <v>16.078599592458101</v>
      </c>
      <c r="J44" s="274">
        <f>Sensitivity_calcs!G95</f>
        <v>12.578575270980949</v>
      </c>
      <c r="K44" s="256"/>
      <c r="L44" s="281" t="str">
        <f>Sensitivity_calcs!K95</f>
        <v>Option 2</v>
      </c>
      <c r="M44" s="256"/>
    </row>
    <row r="45" spans="1:13" s="8" customFormat="1" ht="13.8" x14ac:dyDescent="0.3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3.8" x14ac:dyDescent="0.3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3.8" x14ac:dyDescent="0.3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3.8" x14ac:dyDescent="0.3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3.8" x14ac:dyDescent="0.3">
      <c r="F49" s="263"/>
      <c r="G49" s="105"/>
      <c r="H49" s="105"/>
      <c r="I49" s="105"/>
      <c r="J49" s="105"/>
    </row>
    <row r="50" spans="4:10" s="8" customFormat="1" ht="13.8" x14ac:dyDescent="0.3">
      <c r="F50" s="263"/>
      <c r="G50" s="263"/>
      <c r="H50" s="263"/>
      <c r="I50" s="263"/>
    </row>
    <row r="51" spans="4:10" s="8" customFormat="1" ht="13.8" x14ac:dyDescent="0.3"/>
    <row r="52" spans="4:10" s="8" customFormat="1" ht="13.8" x14ac:dyDescent="0.3"/>
    <row r="53" spans="4:10" s="8" customFormat="1" ht="13.8" x14ac:dyDescent="0.3">
      <c r="D53" s="244"/>
      <c r="E53" s="244"/>
      <c r="F53" s="244"/>
    </row>
    <row r="54" spans="4:10" s="8" customFormat="1" ht="13.8" x14ac:dyDescent="0.3">
      <c r="D54" s="244"/>
      <c r="E54" s="244"/>
      <c r="F54" s="244"/>
    </row>
    <row r="55" spans="4:10" s="8" customFormat="1" ht="13.8" hidden="1" x14ac:dyDescent="0.3">
      <c r="D55" s="244"/>
      <c r="E55" s="244"/>
      <c r="F55" s="244"/>
    </row>
    <row r="56" spans="4:10" s="8" customFormat="1" ht="13.8" hidden="1" x14ac:dyDescent="0.3"/>
    <row r="57" spans="4:10" s="8" customFormat="1" ht="13.8" hidden="1" x14ac:dyDescent="0.3"/>
    <row r="58" spans="4:10" s="8" customFormat="1" ht="13.8" hidden="1" x14ac:dyDescent="0.3"/>
    <row r="59" spans="4:10" s="8" customFormat="1" ht="13.8" hidden="1" x14ac:dyDescent="0.3"/>
    <row r="60" spans="4:10" s="8" customFormat="1" ht="13.8" hidden="1" x14ac:dyDescent="0.3"/>
    <row r="61" spans="4:10" s="8" customFormat="1" ht="13.8" hidden="1" x14ac:dyDescent="0.3"/>
    <row r="62" spans="4:10" s="8" customFormat="1" ht="13.8" hidden="1" x14ac:dyDescent="0.3"/>
    <row r="63" spans="4:10" s="8" customFormat="1" ht="13.8" hidden="1" x14ac:dyDescent="0.3"/>
    <row r="64" spans="4:10" s="8" customFormat="1" ht="13.8" hidden="1" x14ac:dyDescent="0.3"/>
    <row r="65" s="8" customFormat="1" ht="13.8" hidden="1" x14ac:dyDescent="0.3"/>
    <row r="66" s="8" customFormat="1" ht="13.8" hidden="1" x14ac:dyDescent="0.3"/>
    <row r="67" s="8" customFormat="1" ht="13.8" hidden="1" x14ac:dyDescent="0.3"/>
    <row r="68" s="8" customFormat="1" ht="13.8" hidden="1" x14ac:dyDescent="0.3"/>
    <row r="69" s="8" customFormat="1" ht="13.8" hidden="1" x14ac:dyDescent="0.3"/>
    <row r="70" s="8" customFormat="1" ht="13.8" hidden="1" x14ac:dyDescent="0.3"/>
    <row r="71" s="8" customFormat="1" ht="13.8" hidden="1" x14ac:dyDescent="0.3"/>
    <row r="72" s="8" customFormat="1" ht="13.8" hidden="1" x14ac:dyDescent="0.3"/>
    <row r="73" s="8" customFormat="1" ht="13.8" hidden="1" x14ac:dyDescent="0.3"/>
    <row r="74" s="8" customFormat="1" ht="13.8" hidden="1" x14ac:dyDescent="0.3"/>
    <row r="75" s="8" customFormat="1" ht="13.8" hidden="1" x14ac:dyDescent="0.3"/>
    <row r="76" s="8" customFormat="1" ht="13.8" hidden="1" x14ac:dyDescent="0.3"/>
    <row r="77" s="8" customFormat="1" ht="13.8" hidden="1" x14ac:dyDescent="0.3"/>
    <row r="78" s="8" customFormat="1" ht="13.8" hidden="1" x14ac:dyDescent="0.3"/>
    <row r="79" s="8" customFormat="1" ht="13.8" hidden="1" x14ac:dyDescent="0.3"/>
    <row r="80" s="8" customFormat="1" ht="13.8" hidden="1" x14ac:dyDescent="0.3"/>
    <row r="81" s="8" customFormat="1" ht="13.8" hidden="1" x14ac:dyDescent="0.3"/>
    <row r="82" s="8" customFormat="1" ht="13.8" hidden="1" x14ac:dyDescent="0.3"/>
    <row r="83" s="8" customFormat="1" ht="13.8" hidden="1" x14ac:dyDescent="0.3"/>
    <row r="84" s="8" customFormat="1" ht="13.8" hidden="1" x14ac:dyDescent="0.3"/>
    <row r="85" s="8" customFormat="1" ht="13.8" hidden="1" x14ac:dyDescent="0.3"/>
    <row r="86" s="8" customFormat="1" ht="13.8" hidden="1" x14ac:dyDescent="0.3"/>
    <row r="87" s="8" customFormat="1" ht="13.8" hidden="1" x14ac:dyDescent="0.3"/>
    <row r="88" s="8" customFormat="1" ht="13.8" hidden="1" x14ac:dyDescent="0.3"/>
    <row r="89" s="8" customFormat="1" ht="13.8" hidden="1" x14ac:dyDescent="0.3"/>
    <row r="90" s="8" customFormat="1" ht="13.8" hidden="1" x14ac:dyDescent="0.3"/>
    <row r="91" s="8" customFormat="1" ht="13.8" hidden="1" x14ac:dyDescent="0.3"/>
    <row r="92" s="8" customFormat="1" ht="13.8" hidden="1" x14ac:dyDescent="0.3"/>
    <row r="93" s="8" customFormat="1" ht="13.8" hidden="1" x14ac:dyDescent="0.3"/>
    <row r="94" s="8" customFormat="1" ht="13.8" hidden="1" x14ac:dyDescent="0.3"/>
    <row r="95" s="8" customFormat="1" ht="13.8" hidden="1" x14ac:dyDescent="0.3"/>
    <row r="96" s="8" customFormat="1" ht="13.8" hidden="1" x14ac:dyDescent="0.3"/>
    <row r="97" s="8" customFormat="1" ht="13.8" hidden="1" x14ac:dyDescent="0.3"/>
    <row r="98" s="8" customFormat="1" ht="13.8" hidden="1" x14ac:dyDescent="0.3"/>
    <row r="99" s="8" customFormat="1" ht="13.8" hidden="1" x14ac:dyDescent="0.3"/>
    <row r="100" s="8" customFormat="1" ht="13.8" hidden="1" x14ac:dyDescent="0.3"/>
    <row r="101" s="8" customFormat="1" ht="13.8" hidden="1" x14ac:dyDescent="0.3"/>
    <row r="102" s="8" customFormat="1" ht="13.8" hidden="1" x14ac:dyDescent="0.3"/>
    <row r="103" s="8" customFormat="1" ht="13.8" hidden="1" x14ac:dyDescent="0.3"/>
    <row r="104" s="8" customFormat="1" ht="13.8" hidden="1" x14ac:dyDescent="0.3"/>
    <row r="105" s="8" customFormat="1" ht="13.8" hidden="1" x14ac:dyDescent="0.3"/>
    <row r="106" s="8" customFormat="1" ht="13.8" hidden="1" x14ac:dyDescent="0.3"/>
    <row r="107" s="8" customFormat="1" ht="13.8" hidden="1" x14ac:dyDescent="0.3"/>
    <row r="108" s="8" customFormat="1" ht="13.8" hidden="1" x14ac:dyDescent="0.3"/>
    <row r="109" s="8" customFormat="1" ht="13.8" hidden="1" x14ac:dyDescent="0.3"/>
    <row r="110" s="8" customFormat="1" ht="13.8" hidden="1" x14ac:dyDescent="0.3"/>
    <row r="111" s="8" customFormat="1" ht="13.8" hidden="1" x14ac:dyDescent="0.3"/>
    <row r="112" s="8" customFormat="1" ht="13.8" hidden="1" x14ac:dyDescent="0.3"/>
    <row r="113" s="8" customFormat="1" ht="13.8" hidden="1" x14ac:dyDescent="0.3"/>
    <row r="114" s="8" customFormat="1" ht="13.8" hidden="1" x14ac:dyDescent="0.3"/>
    <row r="115" s="8" customFormat="1" ht="13.8" hidden="1" x14ac:dyDescent="0.3"/>
    <row r="116" s="8" customFormat="1" ht="13.8" hidden="1" x14ac:dyDescent="0.3"/>
    <row r="117" s="8" customFormat="1" ht="13.8" hidden="1" x14ac:dyDescent="0.3"/>
    <row r="118" s="8" customFormat="1" ht="13.8" hidden="1" x14ac:dyDescent="0.3"/>
    <row r="119" s="8" customFormat="1" ht="13.8" hidden="1" x14ac:dyDescent="0.3"/>
    <row r="120" s="8" customFormat="1" ht="13.8" hidden="1" x14ac:dyDescent="0.3"/>
    <row r="121" s="8" customFormat="1" ht="13.8" hidden="1" x14ac:dyDescent="0.3"/>
    <row r="122" s="8" customFormat="1" ht="13.8" hidden="1" x14ac:dyDescent="0.3"/>
    <row r="123" s="8" customFormat="1" ht="13.8" hidden="1" x14ac:dyDescent="0.3"/>
    <row r="124" s="8" customFormat="1" ht="13.8" hidden="1" x14ac:dyDescent="0.3"/>
    <row r="125" s="8" customFormat="1" ht="13.8" hidden="1" x14ac:dyDescent="0.3"/>
    <row r="126" s="8" customFormat="1" ht="13.8" hidden="1" x14ac:dyDescent="0.3"/>
    <row r="127" s="8" customFormat="1" ht="13.8" hidden="1" x14ac:dyDescent="0.3"/>
    <row r="128" s="8" customFormat="1" ht="13.8" hidden="1" x14ac:dyDescent="0.3"/>
    <row r="129" s="8" customFormat="1" ht="13.8" hidden="1" x14ac:dyDescent="0.3"/>
    <row r="130" s="8" customFormat="1" ht="13.8" hidden="1" x14ac:dyDescent="0.3"/>
    <row r="131" s="8" customFormat="1" ht="13.8" hidden="1" x14ac:dyDescent="0.3"/>
    <row r="132" s="8" customFormat="1" ht="13.8" hidden="1" x14ac:dyDescent="0.3"/>
    <row r="133" s="8" customFormat="1" ht="13.8" hidden="1" x14ac:dyDescent="0.3"/>
    <row r="134" s="8" customFormat="1" ht="13.8" hidden="1" x14ac:dyDescent="0.3"/>
    <row r="135" s="8" customFormat="1" ht="13.8" hidden="1" x14ac:dyDescent="0.3"/>
    <row r="136" s="8" customFormat="1" ht="13.8" hidden="1" x14ac:dyDescent="0.3"/>
    <row r="137" s="8" customFormat="1" ht="13.8" hidden="1" x14ac:dyDescent="0.3"/>
    <row r="138" s="8" customFormat="1" ht="13.8" hidden="1" x14ac:dyDescent="0.3"/>
    <row r="139" s="8" customFormat="1" ht="13.8" hidden="1" x14ac:dyDescent="0.3"/>
    <row r="140" s="8" customFormat="1" ht="13.8" hidden="1" x14ac:dyDescent="0.3"/>
    <row r="141" s="8" customFormat="1" ht="13.8" hidden="1" x14ac:dyDescent="0.3"/>
    <row r="142" s="8" customFormat="1" ht="13.8" hidden="1" x14ac:dyDescent="0.3"/>
    <row r="143" s="8" customFormat="1" ht="13.8" hidden="1" x14ac:dyDescent="0.3"/>
    <row r="144" s="8" customFormat="1" ht="13.8" hidden="1" x14ac:dyDescent="0.3"/>
    <row r="145" s="8" customFormat="1" ht="13.8" hidden="1" x14ac:dyDescent="0.3"/>
    <row r="146" s="8" customFormat="1" ht="13.8" hidden="1" x14ac:dyDescent="0.3"/>
    <row r="147" s="8" customFormat="1" ht="13.8" hidden="1" x14ac:dyDescent="0.3"/>
    <row r="148" s="8" customFormat="1" ht="13.8" hidden="1" x14ac:dyDescent="0.3"/>
    <row r="149" s="8" customFormat="1" ht="13.8" hidden="1" x14ac:dyDescent="0.3"/>
    <row r="150" s="8" customFormat="1" ht="13.8" hidden="1" x14ac:dyDescent="0.3"/>
    <row r="151" s="8" customFormat="1" ht="13.8" hidden="1" x14ac:dyDescent="0.3"/>
    <row r="152" s="8" customFormat="1" ht="13.8" hidden="1" x14ac:dyDescent="0.3"/>
    <row r="153" s="8" customFormat="1" ht="13.8" hidden="1" x14ac:dyDescent="0.3"/>
    <row r="154" s="8" customFormat="1" ht="13.8" hidden="1" x14ac:dyDescent="0.3"/>
    <row r="155" s="8" customFormat="1" ht="13.8" hidden="1" x14ac:dyDescent="0.3"/>
    <row r="156" s="8" customFormat="1" ht="13.8" hidden="1" x14ac:dyDescent="0.3"/>
    <row r="157" s="8" customFormat="1" ht="13.8" hidden="1" x14ac:dyDescent="0.3"/>
    <row r="158" s="8" customFormat="1" ht="13.8" hidden="1" x14ac:dyDescent="0.3"/>
    <row r="159" s="8" customFormat="1" ht="13.8" hidden="1" x14ac:dyDescent="0.3"/>
    <row r="160" s="8" customFormat="1" ht="13.8" hidden="1" x14ac:dyDescent="0.3"/>
    <row r="161" s="8" customFormat="1" ht="13.8" hidden="1" x14ac:dyDescent="0.3"/>
    <row r="162" s="8" customFormat="1" ht="13.8" hidden="1" x14ac:dyDescent="0.3"/>
    <row r="163" s="8" customFormat="1" ht="13.8" hidden="1" x14ac:dyDescent="0.3"/>
    <row r="164" s="8" customFormat="1" ht="13.8" hidden="1" x14ac:dyDescent="0.3"/>
    <row r="165" s="8" customFormat="1" ht="13.8" hidden="1" x14ac:dyDescent="0.3"/>
    <row r="166" s="8" customFormat="1" ht="13.8" hidden="1" x14ac:dyDescent="0.3"/>
    <row r="167" s="8" customFormat="1" ht="13.8" hidden="1" x14ac:dyDescent="0.3"/>
    <row r="168" s="8" customFormat="1" ht="13.8" hidden="1" x14ac:dyDescent="0.3"/>
    <row r="169" s="8" customFormat="1" ht="13.8" hidden="1" x14ac:dyDescent="0.3"/>
    <row r="170" s="8" customFormat="1" ht="13.8" hidden="1" x14ac:dyDescent="0.3"/>
    <row r="171" s="8" customFormat="1" ht="13.8" hidden="1" x14ac:dyDescent="0.3"/>
    <row r="172" s="8" customFormat="1" ht="13.8" hidden="1" x14ac:dyDescent="0.3"/>
    <row r="173" s="8" customFormat="1" ht="13.8" hidden="1" x14ac:dyDescent="0.3"/>
    <row r="174" s="8" customFormat="1" ht="13.8" hidden="1" x14ac:dyDescent="0.3"/>
    <row r="175" s="8" customFormat="1" ht="13.8" hidden="1" x14ac:dyDescent="0.3"/>
    <row r="176" s="8" customFormat="1" ht="13.8" hidden="1" x14ac:dyDescent="0.3"/>
    <row r="177" s="8" customFormat="1" ht="13.8" hidden="1" x14ac:dyDescent="0.3"/>
    <row r="178" s="8" customFormat="1" ht="13.8" hidden="1" x14ac:dyDescent="0.3"/>
    <row r="179" s="8" customFormat="1" ht="13.8" hidden="1" x14ac:dyDescent="0.3"/>
    <row r="180" s="8" customFormat="1" ht="13.8" hidden="1" x14ac:dyDescent="0.3"/>
    <row r="181" s="8" customFormat="1" ht="13.8" hidden="1" x14ac:dyDescent="0.3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3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L32" sqref="L32"/>
    </sheetView>
  </sheetViews>
  <sheetFormatPr defaultColWidth="9" defaultRowHeight="13.8" x14ac:dyDescent="0.3"/>
  <cols>
    <col min="1" max="1" width="3.6328125" style="8" customWidth="1"/>
    <col min="2" max="2" width="2.6328125" style="8" customWidth="1"/>
    <col min="3" max="3" width="18.7265625" style="8" customWidth="1"/>
    <col min="4" max="4" width="9.26953125" style="8" customWidth="1"/>
    <col min="5" max="5" width="16.36328125" style="8" customWidth="1"/>
    <col min="6" max="6" width="1.08984375" style="8" customWidth="1"/>
    <col min="7" max="7" width="14.7265625" style="8" customWidth="1"/>
    <col min="8" max="8" width="12.90625" style="8" customWidth="1"/>
    <col min="9" max="9" width="11.453125" style="8" customWidth="1"/>
    <col min="10" max="10" width="6.90625" style="8" customWidth="1"/>
    <col min="11" max="16" width="8.08984375" style="8" customWidth="1"/>
    <col min="17" max="19" width="9" style="8"/>
    <col min="20" max="20" width="17.6328125" style="8" customWidth="1"/>
    <col min="21" max="16384" width="9" style="8"/>
  </cols>
  <sheetData>
    <row r="1" spans="1:16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3">
      <c r="A2" s="56" t="str">
        <f>proj</f>
        <v>Recplacement of CRO inoperable RMUs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4" x14ac:dyDescent="0.3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3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69" t="s">
        <v>285</v>
      </c>
      <c r="F8" s="369"/>
      <c r="G8" s="369"/>
      <c r="H8" s="369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70" t="s">
        <v>58</v>
      </c>
      <c r="F14" s="370"/>
      <c r="G14" s="370"/>
      <c r="H14" s="370"/>
      <c r="I14" s="370"/>
      <c r="J14" s="370"/>
      <c r="K14" s="370"/>
      <c r="L14"/>
    </row>
    <row r="15" spans="1:16" s="1" customFormat="1" ht="12.75" customHeight="1" x14ac:dyDescent="0.3">
      <c r="C15" s="61" t="str">
        <v>Option 2</v>
      </c>
      <c r="D15" s="61"/>
      <c r="E15" s="371" t="s">
        <v>286</v>
      </c>
      <c r="F15" s="371"/>
      <c r="G15" s="371"/>
      <c r="H15" s="371"/>
      <c r="I15" s="371"/>
      <c r="J15" s="371"/>
      <c r="K15" s="371"/>
      <c r="L15"/>
    </row>
    <row r="16" spans="1:16" s="1" customFormat="1" ht="12.75" customHeight="1" x14ac:dyDescent="0.3">
      <c r="C16" s="61" t="str">
        <v>Option 3</v>
      </c>
      <c r="D16" s="61"/>
      <c r="E16" s="371" t="s">
        <v>287</v>
      </c>
      <c r="F16" s="371"/>
      <c r="G16" s="371"/>
      <c r="H16" s="371"/>
      <c r="I16" s="371"/>
      <c r="J16" s="371"/>
      <c r="K16" s="371"/>
      <c r="L16"/>
    </row>
    <row r="17" spans="1:16" s="1" customFormat="1" ht="12.75" customHeight="1" x14ac:dyDescent="0.3">
      <c r="C17" s="61" t="str">
        <v>Option 4</v>
      </c>
      <c r="D17" s="61"/>
      <c r="E17" s="329" t="s">
        <v>288</v>
      </c>
      <c r="F17" s="329"/>
      <c r="G17" s="329"/>
      <c r="H17" s="329"/>
      <c r="I17" s="329"/>
      <c r="J17" s="329"/>
      <c r="K17" s="329"/>
      <c r="L17"/>
    </row>
    <row r="18" spans="1:16" s="1" customFormat="1" ht="12.75" customHeight="1" x14ac:dyDescent="0.3">
      <c r="C18" s="61" t="str">
        <v>Option 5</v>
      </c>
      <c r="D18" s="61"/>
      <c r="E18" s="329" t="s">
        <v>289</v>
      </c>
      <c r="F18" s="329"/>
      <c r="G18" s="329"/>
      <c r="H18" s="329"/>
      <c r="I18" s="329"/>
      <c r="J18" s="329"/>
      <c r="K18" s="329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90" t="s">
        <v>219</v>
      </c>
      <c r="D20"/>
      <c r="E20" s="291" t="s">
        <v>222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232</v>
      </c>
      <c r="E22" s="296" t="s">
        <v>19</v>
      </c>
      <c r="F22" s="68" t="s">
        <v>65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6" x14ac:dyDescent="0.3">
      <c r="E24" s="5"/>
      <c r="F24" s="5"/>
      <c r="L24" s="8"/>
    </row>
    <row r="25" spans="1:16" s="1" customFormat="1" ht="14.4" x14ac:dyDescent="0.3">
      <c r="A25" s="18" t="s">
        <v>176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3"/>
    <row r="27" spans="1:16" s="1" customFormat="1" x14ac:dyDescent="0.3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3">
      <c r="C28" s="1" t="s">
        <v>177</v>
      </c>
      <c r="G28" s="302">
        <v>3.5000000000000003E-2</v>
      </c>
      <c r="H28" s="68" t="s">
        <v>66</v>
      </c>
      <c r="J28" s="68"/>
    </row>
    <row r="29" spans="1:16" s="1" customFormat="1" x14ac:dyDescent="0.3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3">
      <c r="J30" s="68"/>
    </row>
    <row r="31" spans="1:16" x14ac:dyDescent="0.3">
      <c r="C31" s="8" t="s">
        <v>190</v>
      </c>
      <c r="G31" s="304">
        <v>20</v>
      </c>
      <c r="H31" s="68" t="s">
        <v>191</v>
      </c>
    </row>
    <row r="32" spans="1:16" s="1" customFormat="1" x14ac:dyDescent="0.3"/>
    <row r="33" spans="1:20" s="1" customFormat="1" x14ac:dyDescent="0.3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3">
      <c r="C34" s="1" t="s">
        <v>71</v>
      </c>
      <c r="G34" s="321">
        <v>45291</v>
      </c>
      <c r="H34" s="68" t="s">
        <v>72</v>
      </c>
      <c r="J34" s="68"/>
    </row>
    <row r="35" spans="1:20" s="1" customFormat="1" x14ac:dyDescent="0.3">
      <c r="C35" s="1" t="s">
        <v>234</v>
      </c>
      <c r="G35" s="303">
        <v>45107</v>
      </c>
      <c r="H35" s="68"/>
      <c r="J35" s="68"/>
    </row>
    <row r="39" spans="1:20" s="1" customFormat="1" ht="14.4" x14ac:dyDescent="0.3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3">
      <c r="M40" s="12"/>
      <c r="N40" s="12"/>
      <c r="O40" s="12"/>
      <c r="P40" s="12"/>
    </row>
    <row r="41" spans="1:20" s="128" customFormat="1" x14ac:dyDescent="0.3">
      <c r="A41" s="127"/>
      <c r="B41" s="127"/>
      <c r="C41" s="1" t="s">
        <v>239</v>
      </c>
      <c r="D41" s="240" t="s">
        <v>240</v>
      </c>
      <c r="E41" s="324" t="s">
        <v>210</v>
      </c>
      <c r="F41" s="325"/>
      <c r="G41" s="326" t="s">
        <v>209</v>
      </c>
      <c r="H41" s="131">
        <v>43815.486225173103</v>
      </c>
      <c r="I41" s="327" t="s">
        <v>211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4.4" x14ac:dyDescent="0.3">
      <c r="A45" s="18" t="s">
        <v>146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3">
      <c r="B48" s="30" t="s">
        <v>168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3">
      <c r="C50" s="8" t="s">
        <v>145</v>
      </c>
      <c r="G50" s="306">
        <v>5400000</v>
      </c>
      <c r="H50" s="69">
        <v>45107</v>
      </c>
    </row>
    <row r="52" spans="3:8" x14ac:dyDescent="0.3">
      <c r="C52" s="8" t="s">
        <v>161</v>
      </c>
      <c r="G52" s="164">
        <v>0</v>
      </c>
      <c r="H52" s="69">
        <f>input_dollars</f>
        <v>45291</v>
      </c>
    </row>
    <row r="54" spans="3:8" x14ac:dyDescent="0.3">
      <c r="C54" s="14" t="str">
        <f>Data!A83</f>
        <v>Disproportionate factors applied to various bushfire and other risk valuations</v>
      </c>
    </row>
    <row r="55" spans="3:8" x14ac:dyDescent="0.3">
      <c r="C55" s="8" t="str">
        <f>Data!B85</f>
        <v>Harm to property from network</v>
      </c>
      <c r="G55" s="304">
        <f>Data!F85</f>
        <v>1</v>
      </c>
    </row>
    <row r="56" spans="3:8" x14ac:dyDescent="0.3">
      <c r="C56" s="8" t="str">
        <f>Data!B86</f>
        <v>Harm to property from bushfire</v>
      </c>
      <c r="G56" s="304">
        <f>Data!F86</f>
        <v>1</v>
      </c>
    </row>
    <row r="57" spans="3:8" x14ac:dyDescent="0.3">
      <c r="C57" s="8" t="str">
        <f>Data!B87</f>
        <v>Harm to environment</v>
      </c>
      <c r="G57" s="304">
        <f>Data!F87</f>
        <v>1</v>
      </c>
    </row>
    <row r="58" spans="3:8" x14ac:dyDescent="0.3">
      <c r="C58" s="8" t="str">
        <f>Data!B88</f>
        <v>Safety - Public trespass</v>
      </c>
      <c r="G58" s="304">
        <f>Data!F88</f>
        <v>1</v>
      </c>
    </row>
    <row r="59" spans="3:8" x14ac:dyDescent="0.3">
      <c r="C59" s="8" t="str">
        <f>Data!B89</f>
        <v>Safety - Single fatality or serious injury ^</v>
      </c>
      <c r="G59" s="304">
        <f>Data!F89</f>
        <v>3</v>
      </c>
    </row>
    <row r="60" spans="3:8" x14ac:dyDescent="0.3">
      <c r="C60" s="8" t="str">
        <f>Data!B90</f>
        <v>Safety from bushfire in HBRA</v>
      </c>
      <c r="G60" s="304">
        <f>Data!F90</f>
        <v>3</v>
      </c>
    </row>
    <row r="61" spans="3:8" x14ac:dyDescent="0.3">
      <c r="C61" s="8" t="str">
        <f>Data!B91</f>
        <v>Safety - Multiple fatality or serious injury ^</v>
      </c>
      <c r="G61" s="304">
        <f>Data!F91</f>
        <v>6</v>
      </c>
    </row>
    <row r="62" spans="3:8" x14ac:dyDescent="0.3">
      <c r="C62" s="8" t="str">
        <f>Data!B92</f>
        <v>Safety from bushfire (REFCL declared areas)</v>
      </c>
      <c r="G62" s="304">
        <f>Data!F92</f>
        <v>6</v>
      </c>
    </row>
    <row r="63" spans="3:8" x14ac:dyDescent="0.3">
      <c r="C63" s="8" t="str">
        <f>Data!B93</f>
        <v>Safety from bushfire (electric line construction areas)</v>
      </c>
      <c r="G63" s="304">
        <f>Data!F93</f>
        <v>10</v>
      </c>
    </row>
    <row r="64" spans="3:8" x14ac:dyDescent="0.3">
      <c r="E64"/>
      <c r="F64"/>
      <c r="G64"/>
      <c r="H64"/>
    </row>
    <row r="66" spans="2:16" x14ac:dyDescent="0.3">
      <c r="C66" s="82" t="s">
        <v>113</v>
      </c>
    </row>
    <row r="69" spans="2:16" x14ac:dyDescent="0.3">
      <c r="C69" s="53" t="s">
        <v>175</v>
      </c>
      <c r="D69" s="59"/>
      <c r="E69" s="59"/>
      <c r="F69" s="59"/>
      <c r="G69" s="157" t="s">
        <v>68</v>
      </c>
      <c r="H69" s="157" t="s">
        <v>162</v>
      </c>
      <c r="I69" s="157" t="s">
        <v>174</v>
      </c>
      <c r="J69" s="156" t="s">
        <v>178</v>
      </c>
      <c r="K69" s="157"/>
      <c r="L69" s="157"/>
      <c r="M69" s="157"/>
    </row>
    <row r="70" spans="2:16" x14ac:dyDescent="0.3">
      <c r="C70" s="8" t="s">
        <v>163</v>
      </c>
      <c r="G70" s="158">
        <f>G50*INDEX(hy_escalation, MATCH(input_dollars,hy_dates,0))/INDEX(hy_escalation, MATCH(H50,hy_dates,0))</f>
        <v>5607473.5197347086</v>
      </c>
      <c r="H70" s="163">
        <v>1.1363636363636437E-3</v>
      </c>
      <c r="I70" s="165">
        <v>3</v>
      </c>
      <c r="J70" s="363">
        <v>0</v>
      </c>
      <c r="K70" s="364"/>
      <c r="L70" s="364"/>
      <c r="M70" s="365"/>
    </row>
    <row r="71" spans="2:16" x14ac:dyDescent="0.3">
      <c r="C71" s="8" t="s">
        <v>274</v>
      </c>
      <c r="G71" s="158">
        <v>1344753.7770624899</v>
      </c>
      <c r="H71" s="163">
        <v>1.136363636363644E-2</v>
      </c>
      <c r="I71" s="165">
        <v>3</v>
      </c>
      <c r="J71" s="341"/>
      <c r="K71" s="342"/>
      <c r="L71" s="342"/>
      <c r="M71" s="343"/>
    </row>
    <row r="72" spans="2:16" x14ac:dyDescent="0.3">
      <c r="C72" s="8" t="s">
        <v>275</v>
      </c>
      <c r="G72" s="158">
        <v>127274.04252413</v>
      </c>
      <c r="H72" s="162">
        <v>0.11363636363636437</v>
      </c>
      <c r="I72" s="165">
        <v>3</v>
      </c>
      <c r="J72" s="366">
        <v>0</v>
      </c>
      <c r="K72" s="367"/>
      <c r="L72" s="367"/>
      <c r="M72" s="368"/>
    </row>
    <row r="73" spans="2:16" x14ac:dyDescent="0.3">
      <c r="I73" s="161"/>
      <c r="M73"/>
    </row>
    <row r="74" spans="2:16" x14ac:dyDescent="0.3">
      <c r="G74" s="166"/>
    </row>
    <row r="75" spans="2:16" x14ac:dyDescent="0.3">
      <c r="C75" s="82"/>
    </row>
    <row r="78" spans="2:16" x14ac:dyDescent="0.3">
      <c r="B78" s="30" t="s">
        <v>169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6" x14ac:dyDescent="0.3">
      <c r="C79" s="8" t="s">
        <v>164</v>
      </c>
      <c r="G79" s="154">
        <v>0</v>
      </c>
      <c r="H79" s="69">
        <f>input_dollars</f>
        <v>45291</v>
      </c>
    </row>
    <row r="80" spans="2:16" x14ac:dyDescent="0.3">
      <c r="C80" s="8" t="s">
        <v>165</v>
      </c>
      <c r="G80" s="154">
        <v>0</v>
      </c>
      <c r="H80" s="69">
        <f>input_dollars</f>
        <v>45291</v>
      </c>
    </row>
    <row r="82" spans="1:16" x14ac:dyDescent="0.3">
      <c r="C82" s="8" t="s">
        <v>166</v>
      </c>
      <c r="G82" s="159">
        <v>0.2</v>
      </c>
    </row>
    <row r="87" spans="1:16" x14ac:dyDescent="0.3">
      <c r="A87" s="1"/>
      <c r="B87" s="1"/>
      <c r="C87" s="1"/>
      <c r="D87" s="1"/>
      <c r="E87" s="1"/>
      <c r="F87" s="1"/>
      <c r="K87" s="1"/>
      <c r="L87" s="1"/>
      <c r="M87" s="1"/>
      <c r="N87" s="1"/>
      <c r="O87" s="1"/>
    </row>
    <row r="88" spans="1:16" ht="14.4" x14ac:dyDescent="0.3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</row>
    <row r="89" spans="1:16" x14ac:dyDescent="0.3">
      <c r="A89" s="1"/>
      <c r="B89" s="1"/>
      <c r="C89" s="1"/>
      <c r="D89" s="1"/>
      <c r="F89" s="1"/>
      <c r="H89" s="1"/>
      <c r="L89" s="1"/>
      <c r="N89" s="1"/>
      <c r="O89" s="1"/>
    </row>
    <row r="90" spans="1:16" x14ac:dyDescent="0.3">
      <c r="A90" s="1"/>
      <c r="B90" s="30" t="s">
        <v>170</v>
      </c>
      <c r="C90" s="30"/>
      <c r="D90" s="30"/>
      <c r="E90" s="30"/>
      <c r="F90" s="30"/>
      <c r="G90" s="30"/>
      <c r="H90" s="53"/>
      <c r="I90" s="53"/>
      <c r="J90" s="53"/>
      <c r="K90" s="70" t="s">
        <v>19</v>
      </c>
      <c r="L90" s="70" t="s">
        <v>21</v>
      </c>
      <c r="M90" s="70" t="s">
        <v>20</v>
      </c>
      <c r="N90" s="70" t="s">
        <v>22</v>
      </c>
      <c r="O90" s="70" t="s">
        <v>93</v>
      </c>
      <c r="P90" s="70" t="s">
        <v>94</v>
      </c>
    </row>
    <row r="91" spans="1:16" x14ac:dyDescent="0.3">
      <c r="A91" s="1"/>
      <c r="B91" s="1"/>
      <c r="C91" s="1" t="s">
        <v>73</v>
      </c>
      <c r="D91" s="1"/>
      <c r="F91" s="1"/>
      <c r="G91" s="68"/>
      <c r="H91" s="69">
        <f>G35</f>
        <v>45107</v>
      </c>
      <c r="I91" s="71" t="s">
        <v>62</v>
      </c>
      <c r="J91" s="71"/>
      <c r="K91" s="307">
        <v>2.4730486797759084E-2</v>
      </c>
      <c r="L91" s="307">
        <v>2.2340740091772258E-2</v>
      </c>
      <c r="M91" s="307">
        <v>2.0196329122153123E-2</v>
      </c>
      <c r="N91" s="307">
        <v>1.806294207659629E-2</v>
      </c>
      <c r="O91" s="307">
        <v>1.5913397615084226E-2</v>
      </c>
      <c r="P91" s="307">
        <v>1.3715069432539001E-2</v>
      </c>
    </row>
    <row r="92" spans="1:16" x14ac:dyDescent="0.3">
      <c r="A92" s="1"/>
      <c r="B92" s="1"/>
      <c r="C92" s="1"/>
      <c r="D92" s="1"/>
      <c r="E92" s="1"/>
      <c r="F92" s="1"/>
      <c r="G92" s="1"/>
      <c r="K92" s="1"/>
      <c r="L92" s="1"/>
      <c r="M92" s="1"/>
      <c r="N92" s="1"/>
      <c r="O92" s="1"/>
    </row>
    <row r="93" spans="1:16" x14ac:dyDescent="0.3">
      <c r="A93" s="1"/>
      <c r="B93" s="1"/>
      <c r="C93" s="1"/>
      <c r="D93" s="1"/>
      <c r="E93" s="1"/>
      <c r="F93" s="1"/>
      <c r="K93" s="1"/>
      <c r="L93" s="1"/>
      <c r="M93" s="1"/>
      <c r="N93" s="1"/>
      <c r="O93" s="1"/>
    </row>
    <row r="94" spans="1:16" x14ac:dyDescent="0.3">
      <c r="A94" s="1"/>
      <c r="B94" s="30" t="s">
        <v>171</v>
      </c>
      <c r="C94" s="30"/>
      <c r="D94" s="30"/>
      <c r="E94" s="30"/>
      <c r="F94" s="30"/>
      <c r="G94" s="70" t="s">
        <v>68</v>
      </c>
      <c r="H94" s="30"/>
      <c r="I94" s="30"/>
      <c r="J94" s="39"/>
      <c r="K94" s="1"/>
      <c r="L94" s="1"/>
    </row>
    <row r="95" spans="1:16" x14ac:dyDescent="0.3">
      <c r="A95" s="1"/>
      <c r="B95" s="1"/>
      <c r="C95" s="1" t="str">
        <f>Data!B60</f>
        <v>Reliability in worst-served areas</v>
      </c>
      <c r="D95" s="1"/>
      <c r="E95"/>
      <c r="F95" s="1"/>
      <c r="G95" s="306">
        <v>0</v>
      </c>
      <c r="H95" s="69">
        <f t="shared" ref="H95:H102" si="0">custval_date</f>
        <v>45291</v>
      </c>
      <c r="I95" s="71" t="s">
        <v>53</v>
      </c>
      <c r="J95" s="71"/>
      <c r="K95" s="1"/>
      <c r="P95" s="1"/>
    </row>
    <row r="96" spans="1:16" x14ac:dyDescent="0.3">
      <c r="A96" s="1"/>
      <c r="B96" s="1"/>
      <c r="C96" s="1" t="str">
        <f>Data!B61</f>
        <v>Network resilience</v>
      </c>
      <c r="D96" s="1"/>
      <c r="E96"/>
      <c r="F96" s="1"/>
      <c r="G96" s="306">
        <v>0</v>
      </c>
      <c r="H96" s="69">
        <f t="shared" si="0"/>
        <v>45291</v>
      </c>
      <c r="I96" s="71" t="s">
        <v>53</v>
      </c>
      <c r="J96" s="71"/>
      <c r="P96" s="1"/>
    </row>
    <row r="97" spans="1:16" x14ac:dyDescent="0.3">
      <c r="A97" s="1"/>
      <c r="B97" s="1"/>
      <c r="C97" s="1" t="str">
        <f>Data!B62</f>
        <v>Enabling solar exports</v>
      </c>
      <c r="D97" s="1"/>
      <c r="E97"/>
      <c r="G97" s="306">
        <v>4220.9953699573898</v>
      </c>
      <c r="H97" s="69">
        <f t="shared" si="0"/>
        <v>45291</v>
      </c>
      <c r="I97" s="71" t="s">
        <v>53</v>
      </c>
      <c r="J97" s="71"/>
      <c r="P97" s="1"/>
    </row>
    <row r="98" spans="1:16" x14ac:dyDescent="0.3">
      <c r="A98" s="1"/>
      <c r="B98" s="1"/>
      <c r="C98" s="1" t="str">
        <f>Data!B63</f>
        <v>Aesthetics</v>
      </c>
      <c r="D98" s="1"/>
      <c r="E98"/>
      <c r="G98" s="307">
        <v>0</v>
      </c>
      <c r="H98" s="69">
        <f t="shared" si="0"/>
        <v>45291</v>
      </c>
      <c r="I98" s="71" t="s">
        <v>78</v>
      </c>
      <c r="J98" s="71"/>
      <c r="P98" s="1"/>
    </row>
    <row r="99" spans="1:16" x14ac:dyDescent="0.3">
      <c r="A99" s="1"/>
      <c r="B99" s="1"/>
      <c r="C99" s="1" t="str">
        <f>Data!B64</f>
        <v>Customer value of time - residential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3">
      <c r="A100" s="1"/>
      <c r="B100" s="1"/>
      <c r="C100" s="1" t="str">
        <f>Data!B65</f>
        <v>Customer value of time - business</v>
      </c>
      <c r="D100" s="1"/>
      <c r="E100"/>
      <c r="G100" s="307">
        <v>0.54769380678923496</v>
      </c>
      <c r="H100" s="69">
        <f t="shared" si="0"/>
        <v>45291</v>
      </c>
      <c r="I100" s="71" t="s">
        <v>79</v>
      </c>
      <c r="J100" s="71"/>
      <c r="P100" s="1"/>
    </row>
    <row r="101" spans="1:16" x14ac:dyDescent="0.3">
      <c r="A101" s="1"/>
      <c r="B101" s="1"/>
      <c r="C101" s="1" t="str">
        <f>Data!B66</f>
        <v>Communication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3">
      <c r="A102" s="1"/>
      <c r="B102" s="1"/>
      <c r="C102" s="1" t="str">
        <f>Data!B67</f>
        <v>Information accessibility</v>
      </c>
      <c r="D102" s="1"/>
      <c r="E102"/>
      <c r="G102" s="307">
        <v>0</v>
      </c>
      <c r="H102" s="69">
        <f t="shared" si="0"/>
        <v>45291</v>
      </c>
      <c r="I102" s="71" t="s">
        <v>78</v>
      </c>
      <c r="J102" s="71"/>
      <c r="P102" s="1"/>
    </row>
    <row r="103" spans="1:16" x14ac:dyDescent="0.3">
      <c r="A103" s="1"/>
      <c r="B103" s="1"/>
      <c r="C103" s="1"/>
      <c r="D103" s="1"/>
      <c r="E103"/>
      <c r="L103" s="1"/>
      <c r="N103" s="1"/>
      <c r="O103" s="1"/>
      <c r="P103" s="1"/>
    </row>
    <row r="104" spans="1:16" x14ac:dyDescent="0.3">
      <c r="A104" s="1"/>
      <c r="B104" s="1"/>
      <c r="C104" s="1"/>
      <c r="D104" s="1"/>
      <c r="E104"/>
      <c r="F104" s="1"/>
      <c r="L104" s="1"/>
      <c r="N104" s="1"/>
      <c r="O104" s="1"/>
    </row>
    <row r="107" spans="1:16" ht="14.4" x14ac:dyDescent="0.3">
      <c r="A107" s="18" t="s">
        <v>213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x14ac:dyDescent="0.3">
      <c r="A111" s="6"/>
      <c r="B111" s="171"/>
      <c r="C111" s="298"/>
      <c r="D111" s="59"/>
      <c r="E111" s="299"/>
      <c r="F111" s="298"/>
      <c r="G111" s="298" t="s">
        <v>17</v>
      </c>
      <c r="H111" s="298" t="s">
        <v>235</v>
      </c>
      <c r="I111"/>
      <c r="J111"/>
      <c r="K111"/>
      <c r="L111"/>
      <c r="M111"/>
      <c r="N111"/>
      <c r="O111"/>
      <c r="P111"/>
    </row>
    <row r="112" spans="1:16" x14ac:dyDescent="0.3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7"/>
      <c r="G112" s="308">
        <v>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3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7"/>
      <c r="G113" s="308">
        <v>-0.1</v>
      </c>
      <c r="H113" s="308">
        <v>0</v>
      </c>
      <c r="I113" s="261"/>
      <c r="J113"/>
      <c r="K113"/>
      <c r="L113"/>
      <c r="M113"/>
      <c r="N113"/>
      <c r="O113"/>
      <c r="P113"/>
    </row>
    <row r="114" spans="2:16" x14ac:dyDescent="0.3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7"/>
      <c r="G114" s="309">
        <v>0</v>
      </c>
      <c r="H114" s="308">
        <v>0.1</v>
      </c>
      <c r="I114" s="261"/>
      <c r="J114"/>
      <c r="K114"/>
      <c r="L114"/>
      <c r="M114"/>
      <c r="N114"/>
      <c r="O114"/>
      <c r="P114"/>
    </row>
    <row r="115" spans="2:16" x14ac:dyDescent="0.3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7"/>
      <c r="G115" s="309">
        <v>0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3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7"/>
      <c r="G116" s="308">
        <v>0.1</v>
      </c>
      <c r="H116" s="308">
        <v>-0.1</v>
      </c>
      <c r="I116" s="261"/>
      <c r="J116"/>
      <c r="K116"/>
      <c r="L116"/>
      <c r="M116"/>
      <c r="N116"/>
      <c r="O116"/>
      <c r="P116"/>
    </row>
    <row r="117" spans="2:16" x14ac:dyDescent="0.3">
      <c r="E117" s="267"/>
      <c r="H117"/>
      <c r="I117"/>
      <c r="J117"/>
      <c r="K117"/>
      <c r="L117"/>
      <c r="M117"/>
      <c r="N117"/>
      <c r="O117"/>
      <c r="P117"/>
    </row>
    <row r="118" spans="2:16" x14ac:dyDescent="0.3">
      <c r="E118" s="260"/>
      <c r="H118"/>
      <c r="I118"/>
      <c r="J118"/>
      <c r="K118"/>
      <c r="L118"/>
      <c r="M118"/>
      <c r="N118"/>
      <c r="O118"/>
      <c r="P118"/>
    </row>
    <row r="119" spans="2:16" x14ac:dyDescent="0.3">
      <c r="H119"/>
      <c r="I119"/>
      <c r="J119"/>
      <c r="K119"/>
      <c r="L119"/>
      <c r="M119"/>
      <c r="N119"/>
      <c r="O119"/>
      <c r="P119"/>
    </row>
    <row r="120" spans="2:16" x14ac:dyDescent="0.3">
      <c r="H120"/>
      <c r="I120"/>
      <c r="J120"/>
      <c r="K120"/>
      <c r="L120"/>
      <c r="M120"/>
      <c r="N120"/>
      <c r="O120"/>
      <c r="P120"/>
    </row>
    <row r="121" spans="2:16" x14ac:dyDescent="0.3">
      <c r="H121"/>
      <c r="I121"/>
      <c r="J121"/>
      <c r="K121"/>
      <c r="L121"/>
      <c r="M121"/>
      <c r="N121"/>
      <c r="O121"/>
      <c r="P121"/>
    </row>
    <row r="122" spans="2:16" x14ac:dyDescent="0.3">
      <c r="H122"/>
      <c r="I122"/>
      <c r="J122"/>
      <c r="K122"/>
      <c r="L122"/>
      <c r="M122"/>
      <c r="N122"/>
      <c r="O122"/>
      <c r="P122"/>
    </row>
    <row r="123" spans="2:16" x14ac:dyDescent="0.3">
      <c r="H123"/>
      <c r="I123"/>
      <c r="J123"/>
      <c r="K123"/>
      <c r="L123"/>
      <c r="M123"/>
      <c r="N123"/>
      <c r="O123"/>
      <c r="P123"/>
    </row>
  </sheetData>
  <mergeCells count="6">
    <mergeCell ref="J70:M70"/>
    <mergeCell ref="J72:M72"/>
    <mergeCell ref="E8:H8"/>
    <mergeCell ref="E14:K14"/>
    <mergeCell ref="E15:K15"/>
    <mergeCell ref="E16:K16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O18" activePane="bottomRight" state="frozen"/>
      <selection activeCell="S27" sqref="S27"/>
      <selection pane="topRight" activeCell="S27" sqref="S27"/>
      <selection pane="bottomLeft" activeCell="S27" sqref="S27"/>
      <selection pane="bottomRight" activeCell="O24" sqref="O2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8.90625" style="1" customWidth="1"/>
    <col min="7" max="7" width="9.90625" style="1" customWidth="1"/>
    <col min="8" max="8" width="6.906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139</v>
      </c>
      <c r="B3" s="5"/>
      <c r="C3" s="134"/>
      <c r="D3" s="94"/>
    </row>
    <row r="4" spans="1:43" x14ac:dyDescent="0.3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3">
      <c r="A7" s="98" t="s">
        <v>125</v>
      </c>
      <c r="B7" s="98"/>
      <c r="G7" s="160" t="s">
        <v>63</v>
      </c>
      <c r="I7" s="99">
        <f>IF(ISBLANK(Assumptions!K91), H7,Assumptions!K91*thous_conv)</f>
        <v>24.730486797759085</v>
      </c>
      <c r="J7" s="99">
        <f>IF(ISBLANK(Assumptions!L91), I7,Assumptions!L91*thous_conv)</f>
        <v>22.340740091772258</v>
      </c>
      <c r="K7" s="99">
        <f>IF(ISBLANK(Assumptions!M91), J7,Assumptions!M91*thous_conv)</f>
        <v>20.196329122153124</v>
      </c>
      <c r="L7" s="99">
        <f>IF(ISBLANK(Assumptions!N91), K7,Assumptions!N91*thous_conv)</f>
        <v>18.06294207659629</v>
      </c>
      <c r="M7" s="99">
        <f>IF(ISBLANK(Assumptions!O91), L7,Assumptions!O91*thous_conv)</f>
        <v>15.913397615084225</v>
      </c>
      <c r="N7" s="99">
        <f>IF(ISBLANK(Assumptions!P91), M7,Assumptions!P91*thous_conv)</f>
        <v>13.715069432539002</v>
      </c>
      <c r="O7" s="99">
        <f>IF(ISBLANK(Assumptions!Q91), N7,Assumptions!Q91*thous_conv)</f>
        <v>13.715069432539002</v>
      </c>
      <c r="P7" s="99">
        <f>IF(ISBLANK(Assumptions!R91), O7,Assumptions!R91*thous_conv)</f>
        <v>13.715069432539002</v>
      </c>
      <c r="Q7" s="99">
        <f>IF(ISBLANK(Assumptions!S91), P7,Assumptions!S91*thous_conv)</f>
        <v>13.715069432539002</v>
      </c>
      <c r="R7" s="99">
        <f>IF(ISBLANK(Assumptions!T91), Q7,Assumptions!T91*thous_conv)</f>
        <v>13.715069432539002</v>
      </c>
      <c r="S7" s="99">
        <f>IF(ISBLANK(Assumptions!U91), R7,Assumptions!U91*thous_conv)</f>
        <v>13.715069432539002</v>
      </c>
      <c r="T7" s="99">
        <f>IF(ISBLANK(Assumptions!V91), S7,Assumptions!V91*thous_conv)</f>
        <v>13.715069432539002</v>
      </c>
      <c r="U7" s="99">
        <f>IF(ISBLANK(Assumptions!W91), T7,Assumptions!W91*thous_conv)</f>
        <v>13.715069432539002</v>
      </c>
      <c r="V7" s="99">
        <f>IF(ISBLANK(Assumptions!X91), U7,Assumptions!X91*thous_conv)</f>
        <v>13.715069432539002</v>
      </c>
      <c r="W7" s="99">
        <f>IF(ISBLANK(Assumptions!Y91), V7,Assumptions!Y91*thous_conv)</f>
        <v>13.715069432539002</v>
      </c>
      <c r="X7" s="99">
        <f>IF(ISBLANK(Assumptions!Z91), W7,Assumptions!Z91*thous_conv)</f>
        <v>13.715069432539002</v>
      </c>
      <c r="Y7" s="99">
        <f>IF(ISBLANK(Assumptions!AA91), X7,Assumptions!AA91*thous_conv)</f>
        <v>13.715069432539002</v>
      </c>
      <c r="Z7" s="99">
        <f>IF(ISBLANK(Assumptions!AB91), Y7,Assumptions!AB91*thous_conv)</f>
        <v>13.715069432539002</v>
      </c>
      <c r="AA7" s="99">
        <f>IF(ISBLANK(Assumptions!AC91), Z7,Assumptions!AC91*thous_conv)</f>
        <v>13.715069432539002</v>
      </c>
      <c r="AB7" s="99">
        <f>IF(ISBLANK(Assumptions!AD91), AA7,Assumptions!AD91*thous_conv)</f>
        <v>13.715069432539002</v>
      </c>
      <c r="AC7" s="99">
        <f>IF(ISBLANK(Assumptions!AE91), AB7,Assumptions!AE91*thous_conv)</f>
        <v>13.715069432539002</v>
      </c>
      <c r="AD7" s="99">
        <f>IF(ISBLANK(Assumptions!AF91), AC7,Assumptions!AF91*thous_conv)</f>
        <v>13.715069432539002</v>
      </c>
      <c r="AE7" s="99">
        <f>IF(ISBLANK(Assumptions!AG91), AD7,Assumptions!AG91*thous_conv)</f>
        <v>13.715069432539002</v>
      </c>
      <c r="AF7" s="99">
        <f>IF(ISBLANK(Assumptions!AH91), AE7,Assumptions!AH91*thous_conv)</f>
        <v>13.715069432539002</v>
      </c>
      <c r="AG7" s="99">
        <f>IF(ISBLANK(Assumptions!AI91), AF7,Assumptions!AI91*thous_conv)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279</v>
      </c>
      <c r="D14"/>
      <c r="E14" s="148">
        <v>55</v>
      </c>
      <c r="F14" s="346" t="s">
        <v>17</v>
      </c>
      <c r="G14" s="207">
        <f>input_dollars</f>
        <v>45291</v>
      </c>
      <c r="H14" s="2"/>
      <c r="I14" s="32">
        <f>INDEX(Workings_costs!K$23:K$75, MATCH($A$3&amp;$F14, Workings_costs!$G$23:$G$75,0))</f>
        <v>0</v>
      </c>
      <c r="J14" s="32">
        <f>INDEX(Workings_costs!L$23:L$75, MATCH($A$3&amp;$F14, Workings_costs!$G$23:$G$75,0))</f>
        <v>0</v>
      </c>
      <c r="K14" s="32">
        <f>INDEX(Workings_costs!M$23:M$75, MATCH($A$3&amp;$F14, Workings_costs!$G$23:$G$75,0))</f>
        <v>0</v>
      </c>
      <c r="L14" s="32">
        <f>INDEX(Workings_costs!N$23:N$75, MATCH($A$3&amp;$F14, Workings_costs!$G$23:$G$75,0))</f>
        <v>0</v>
      </c>
      <c r="M14" s="32">
        <f>INDEX(Workings_costs!O$23:O$75, MATCH($A$3&amp;$F14, Workings_costs!$G$23:$G$75,0))</f>
        <v>0</v>
      </c>
      <c r="N14" s="32">
        <f>INDEX(Workings_costs!P$23:P$75, MATCH($A$3&amp;$F14, Workings_costs!$G$23:$G$75,0))</f>
        <v>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6"/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Workings_risks!I28</f>
        <v>1951869.3887187999</v>
      </c>
      <c r="J28" s="119">
        <f>Workings_risks!J28</f>
        <v>1951869.3887187999</v>
      </c>
      <c r="K28" s="119">
        <f>Workings_risks!K28</f>
        <v>1951869.3887187999</v>
      </c>
      <c r="L28" s="119">
        <f>Workings_risks!L28</f>
        <v>1951869.3887187999</v>
      </c>
      <c r="M28" s="119">
        <f>Workings_risks!M28</f>
        <v>1951869.3887187999</v>
      </c>
      <c r="N28" s="119">
        <f>Workings_risks!N28</f>
        <v>1951869.3887187999</v>
      </c>
      <c r="O28" s="119">
        <f>Workings_risks!O28</f>
        <v>1951869.3887187999</v>
      </c>
      <c r="P28" s="119">
        <f>Workings_risks!P28</f>
        <v>1951869.3887187999</v>
      </c>
      <c r="Q28" s="119">
        <f>Workings_risks!Q28</f>
        <v>1951869.3887187999</v>
      </c>
      <c r="R28" s="119">
        <f>Workings_risks!R28</f>
        <v>1951869.3887187999</v>
      </c>
      <c r="S28" s="119">
        <f>Workings_risks!S28</f>
        <v>1951869.3887187999</v>
      </c>
      <c r="T28" s="119">
        <f>Workings_risks!T28</f>
        <v>1951869.3887187999</v>
      </c>
      <c r="U28" s="119">
        <f>Workings_risks!U28</f>
        <v>1951869.3887187999</v>
      </c>
      <c r="V28" s="119">
        <f>Workings_risks!V28</f>
        <v>1951869.3887187999</v>
      </c>
      <c r="W28" s="119">
        <f>Workings_risks!W28</f>
        <v>1951869.3887187999</v>
      </c>
      <c r="X28" s="119">
        <f>Workings_risks!X28</f>
        <v>1951869.3887187999</v>
      </c>
      <c r="Y28" s="119">
        <f>Workings_risks!Y28</f>
        <v>1951869.3887187999</v>
      </c>
      <c r="Z28" s="119">
        <f>Workings_risks!Z28</f>
        <v>1951869.3887187999</v>
      </c>
      <c r="AA28" s="119">
        <f>Workings_risks!AA28</f>
        <v>1951869.3887187999</v>
      </c>
      <c r="AB28" s="119">
        <f>Workings_risks!AB28</f>
        <v>1951869.3887187999</v>
      </c>
      <c r="AC28" s="119">
        <f>Workings_risks!AC28</f>
        <v>1951869.3887187999</v>
      </c>
      <c r="AD28" s="119">
        <f>Workings_risks!AD28</f>
        <v>1951869.3887187999</v>
      </c>
      <c r="AE28" s="119">
        <f>Workings_risks!AE28</f>
        <v>1951869.3887187999</v>
      </c>
      <c r="AF28" s="119">
        <f>Workings_risks!AF28</f>
        <v>1951869.3887187999</v>
      </c>
      <c r="AG28" s="119">
        <f>Workings_risks!AG28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202</v>
      </c>
      <c r="F30" s="346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243</v>
      </c>
      <c r="D31" s="206"/>
      <c r="E31"/>
      <c r="F31" s="346" t="s">
        <v>243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272</v>
      </c>
      <c r="D32" s="205" t="s">
        <v>202</v>
      </c>
      <c r="E32"/>
      <c r="F32" s="346" t="s">
        <v>280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273</v>
      </c>
      <c r="D33" s="219"/>
      <c r="E33"/>
      <c r="F33" s="346" t="s">
        <v>244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167</v>
      </c>
      <c r="D36" s="218"/>
      <c r="E36" s="107"/>
      <c r="F36" s="3"/>
      <c r="G36" s="209"/>
      <c r="H36" s="107"/>
      <c r="I36" s="106">
        <f>SUM(I28:I34)</f>
        <v>1951869.3887187999</v>
      </c>
      <c r="J36" s="106">
        <f t="shared" ref="J36:AB36" si="3">SUM(J28:J34)</f>
        <v>1951869.3887187999</v>
      </c>
      <c r="K36" s="106">
        <f t="shared" si="3"/>
        <v>1951869.3887187999</v>
      </c>
      <c r="L36" s="106">
        <f t="shared" si="3"/>
        <v>1951869.3887187999</v>
      </c>
      <c r="M36" s="106">
        <f t="shared" si="3"/>
        <v>1951869.3887187999</v>
      </c>
      <c r="N36" s="106">
        <f t="shared" si="3"/>
        <v>1951869.3887187999</v>
      </c>
      <c r="O36" s="106">
        <f t="shared" si="3"/>
        <v>1951869.3887187999</v>
      </c>
      <c r="P36" s="106">
        <f t="shared" si="3"/>
        <v>1951869.3887187999</v>
      </c>
      <c r="Q36" s="106">
        <f t="shared" si="3"/>
        <v>1951869.3887187999</v>
      </c>
      <c r="R36" s="106">
        <f t="shared" si="3"/>
        <v>1951869.3887187999</v>
      </c>
      <c r="S36" s="106">
        <f t="shared" si="3"/>
        <v>1951869.3887187999</v>
      </c>
      <c r="T36" s="106">
        <f t="shared" si="3"/>
        <v>1951869.3887187999</v>
      </c>
      <c r="U36" s="106">
        <f t="shared" si="3"/>
        <v>1951869.3887187999</v>
      </c>
      <c r="V36" s="106">
        <f t="shared" si="3"/>
        <v>1951869.3887187999</v>
      </c>
      <c r="W36" s="106">
        <f t="shared" si="3"/>
        <v>1951869.3887187999</v>
      </c>
      <c r="X36" s="106">
        <f t="shared" si="3"/>
        <v>1951869.3887187999</v>
      </c>
      <c r="Y36" s="106">
        <f t="shared" si="3"/>
        <v>1951869.3887187999</v>
      </c>
      <c r="Z36" s="106">
        <f t="shared" si="3"/>
        <v>1951869.3887187999</v>
      </c>
      <c r="AA36" s="106">
        <f t="shared" si="3"/>
        <v>1951869.3887187999</v>
      </c>
      <c r="AB36" s="106">
        <f t="shared" si="3"/>
        <v>1951869.3887187999</v>
      </c>
      <c r="AC36" s="106">
        <f>SUM(AC28:AC34)</f>
        <v>1951869.3887187999</v>
      </c>
      <c r="AD36" s="106">
        <f>SUM(AD28:AD34)</f>
        <v>1951869.3887187999</v>
      </c>
      <c r="AE36" s="106">
        <f>SUM(AE28:AE34)</f>
        <v>1951869.3887187999</v>
      </c>
      <c r="AF36" s="106">
        <f>SUM(AF28:AF34)</f>
        <v>1951869.3887187999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127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</row>
    <row r="64" spans="1:43" x14ac:dyDescent="0.3">
      <c r="C64" s="4" t="s">
        <v>119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80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3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231"/>
      <c r="D91" s="231"/>
      <c r="E91" s="231"/>
      <c r="F91" s="231"/>
      <c r="G91" s="231"/>
    </row>
    <row r="92" spans="1:33" x14ac:dyDescent="0.3">
      <c r="C92" s="231"/>
      <c r="D92" s="231"/>
      <c r="E92" s="231"/>
      <c r="F92" s="231"/>
      <c r="G92" s="231"/>
    </row>
    <row r="94" spans="1:33" x14ac:dyDescent="0.3">
      <c r="G94" s="12"/>
    </row>
    <row r="102" spans="1:43" ht="14.4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3">
      <c r="C108" s="1" t="s">
        <v>235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7" priority="12">
      <formula>AND(SUM($I14:$AB14)&lt;&gt;0, E14=0)</formula>
    </cfRule>
  </conditionalFormatting>
  <conditionalFormatting sqref="E28">
    <cfRule type="expression" dxfId="16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33.906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128</v>
      </c>
      <c r="B3" s="5"/>
      <c r="C3" s="200" t="str">
        <f>INDEX(Assumptions!$E$14:$E$18, MATCH(A3,_xlfn.ANCHORARRAY( Assumptions!$C$14),0))</f>
        <v>Replace all CRO inoperatble RMUs over 1 year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292</v>
      </c>
      <c r="D14"/>
      <c r="E14" s="148">
        <v>55</v>
      </c>
      <c r="F14" s="346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5224180</v>
      </c>
      <c r="J14" s="32">
        <f>INDEX(Workings_costs!L$23:L$75, MATCH($A$3&amp;$F14, Workings_costs!$G$23:$G$75,0))</f>
        <v>0</v>
      </c>
      <c r="K14" s="32">
        <f>INDEX(Workings_costs!M$23:M$75, MATCH($A$3&amp;$F14, Workings_costs!$G$23:$G$75,0))</f>
        <v>0</v>
      </c>
      <c r="L14" s="32">
        <f>INDEX(Workings_costs!N$23:N$75, MATCH($A$3&amp;$F14, Workings_costs!$G$23:$G$75,0))</f>
        <v>0</v>
      </c>
      <c r="M14" s="32">
        <f>INDEX(Workings_costs!O$23:O$75, MATCH($A$3&amp;$F14, Workings_costs!$G$23:$G$75,0))</f>
        <v>0</v>
      </c>
      <c r="N14" s="32">
        <f>INDEX(Workings_costs!P$23:P$75, MATCH($A$3&amp;$F14, Workings_costs!$G$23:$G$75,0))</f>
        <v>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6" t="s">
        <v>30</v>
      </c>
      <c r="F17" s="346"/>
      <c r="G17" s="207">
        <f>input_dollars</f>
        <v>45291</v>
      </c>
      <c r="H17" s="107"/>
      <c r="I17" s="106">
        <f t="shared" ref="I17:Q17" si="0">SUM(I14:I16)</f>
        <v>5224180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Workings_risks!I43</f>
        <v>0</v>
      </c>
      <c r="J28" s="119">
        <f>Workings_risks!J43</f>
        <v>0</v>
      </c>
      <c r="K28" s="119">
        <f>Workings_risks!K43</f>
        <v>0</v>
      </c>
      <c r="L28" s="119">
        <f>Workings_risks!L43</f>
        <v>0</v>
      </c>
      <c r="M28" s="119">
        <f>Workings_risks!M43</f>
        <v>0</v>
      </c>
      <c r="N28" s="119">
        <f>Workings_risks!N43</f>
        <v>0</v>
      </c>
      <c r="O28" s="119">
        <f>Workings_risks!O43</f>
        <v>0</v>
      </c>
      <c r="P28" s="119">
        <f>Workings_risks!P43</f>
        <v>0</v>
      </c>
      <c r="Q28" s="119">
        <f>Workings_risks!Q43</f>
        <v>0</v>
      </c>
      <c r="R28" s="119">
        <f>Workings_risks!R43</f>
        <v>0</v>
      </c>
      <c r="S28" s="119">
        <f>Workings_risks!S43</f>
        <v>0</v>
      </c>
      <c r="T28" s="119">
        <f>Workings_risks!T43</f>
        <v>0</v>
      </c>
      <c r="U28" s="119">
        <f>Workings_risks!U43</f>
        <v>0</v>
      </c>
      <c r="V28" s="119">
        <f>Workings_risks!V43</f>
        <v>0</v>
      </c>
      <c r="W28" s="119">
        <f>Workings_risks!W43</f>
        <v>0</v>
      </c>
      <c r="X28" s="119">
        <f>Workings_risks!X43</f>
        <v>0</v>
      </c>
      <c r="Y28" s="119">
        <f>Workings_risks!Y43</f>
        <v>0</v>
      </c>
      <c r="Z28" s="119">
        <f>Workings_risks!Z43</f>
        <v>0</v>
      </c>
      <c r="AA28" s="119">
        <f>Workings_risks!AA43</f>
        <v>0</v>
      </c>
      <c r="AB28" s="119">
        <f>Workings_risks!AB43</f>
        <v>0</v>
      </c>
      <c r="AC28" s="119">
        <f>Workings_risks!AC43</f>
        <v>0</v>
      </c>
      <c r="AD28" s="119">
        <f>Workings_risks!AD43</f>
        <v>0</v>
      </c>
      <c r="AE28" s="119">
        <f>Workings_risks!AE43</f>
        <v>0</v>
      </c>
      <c r="AF28" s="119">
        <f>Workings_risks!AF43</f>
        <v>0</v>
      </c>
      <c r="AG28" s="119">
        <f>Workings_risks!AG43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202</v>
      </c>
      <c r="F30" s="346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243</v>
      </c>
      <c r="D31" s="206"/>
      <c r="E31"/>
      <c r="F31" s="346" t="s">
        <v>243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272</v>
      </c>
      <c r="D32" s="205" t="s">
        <v>202</v>
      </c>
      <c r="E32"/>
      <c r="F32" s="346" t="s">
        <v>280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273</v>
      </c>
      <c r="D33" s="219"/>
      <c r="E33"/>
      <c r="F33" s="346" t="s">
        <v>244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2">SUM(J28:J34)</f>
        <v>0</v>
      </c>
      <c r="K36" s="170">
        <f t="shared" si="2"/>
        <v>0</v>
      </c>
      <c r="L36" s="170">
        <f t="shared" si="2"/>
        <v>0</v>
      </c>
      <c r="M36" s="170">
        <f t="shared" si="2"/>
        <v>0</v>
      </c>
      <c r="N36" s="170">
        <f t="shared" si="2"/>
        <v>0</v>
      </c>
      <c r="O36" s="170">
        <f t="shared" si="2"/>
        <v>0</v>
      </c>
      <c r="P36" s="170">
        <f t="shared" si="2"/>
        <v>0</v>
      </c>
      <c r="Q36" s="170">
        <f t="shared" si="2"/>
        <v>0</v>
      </c>
      <c r="R36" s="170">
        <f t="shared" si="2"/>
        <v>0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3">
      <c r="C47" s="1" t="s">
        <v>5</v>
      </c>
      <c r="D47" s="205" t="s">
        <v>63</v>
      </c>
      <c r="E47" s="113">
        <f>Assumptions!G97</f>
        <v>4220.9953699573898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3">
      <c r="C49" s="1" t="s">
        <v>9</v>
      </c>
      <c r="D49" s="205" t="s">
        <v>200</v>
      </c>
      <c r="E49" s="112">
        <f>Assumptions!G99</f>
        <v>0.54769380678923496</v>
      </c>
      <c r="G49" s="207" t="s">
        <v>201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3">
      <c r="C50" s="1" t="s">
        <v>10</v>
      </c>
      <c r="D50" s="205" t="s">
        <v>200</v>
      </c>
      <c r="E50" s="112">
        <f>Assumptions!G100</f>
        <v>0.54769380678923496</v>
      </c>
      <c r="G50" s="207" t="s">
        <v>201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1951869.3887187999</v>
      </c>
      <c r="J64" s="132">
        <f>(1-INDEX(Data!$C$9:$C$13, MATCH($A$3, options,0)))*('Option1 (base case)'!J36-J36)</f>
        <v>1951869.3887187999</v>
      </c>
      <c r="K64" s="132">
        <f>(1-INDEX(Data!$C$9:$C$13, MATCH($A$3, options,0)))*('Option1 (base case)'!K36-K36)</f>
        <v>1951869.3887187999</v>
      </c>
      <c r="L64" s="132">
        <f>(1-INDEX(Data!$C$9:$C$13, MATCH($A$3, options,0)))*('Option1 (base case)'!L36-L36)</f>
        <v>1951869.3887187999</v>
      </c>
      <c r="M64" s="132">
        <f>(1-INDEX(Data!$C$9:$C$13, MATCH($A$3, options,0)))*('Option1 (base case)'!M36-M36)</f>
        <v>1951869.3887187999</v>
      </c>
      <c r="N64" s="132">
        <f>(1-INDEX(Data!$C$9:$C$13, MATCH($A$3, options,0)))*('Option1 (base case)'!N36-N36)</f>
        <v>1951869.3887187999</v>
      </c>
      <c r="O64" s="132">
        <f>(1-INDEX(Data!$C$9:$C$13, MATCH($A$3, options,0)))*('Option1 (base case)'!O36-O36)</f>
        <v>1951869.3887187999</v>
      </c>
      <c r="P64" s="132">
        <f>(1-INDEX(Data!$C$9:$C$13, MATCH($A$3, options,0)))*('Option1 (base case)'!P36-P36)</f>
        <v>1951869.3887187999</v>
      </c>
      <c r="Q64" s="132">
        <f>(1-INDEX(Data!$C$9:$C$13, MATCH($A$3, options,0)))*('Option1 (base case)'!Q36-Q36)</f>
        <v>1951869.3887187999</v>
      </c>
      <c r="R64" s="132">
        <f>(1-INDEX(Data!$C$9:$C$13, MATCH($A$3, options,0)))*('Option1 (base case)'!R36-R36)</f>
        <v>1951869.3887187999</v>
      </c>
      <c r="S64" s="132">
        <f>(1-INDEX(Data!$C$9:$C$13, MATCH($A$3, options,0)))*('Option1 (base case)'!S36-S36)</f>
        <v>1951869.3887187999</v>
      </c>
      <c r="T64" s="132">
        <f>(1-INDEX(Data!$C$9:$C$13, MATCH($A$3, options,0)))*('Option1 (base case)'!T36-T36)</f>
        <v>1951869.3887187999</v>
      </c>
      <c r="U64" s="132">
        <f>(1-INDEX(Data!$C$9:$C$13, MATCH($A$3, options,0)))*('Option1 (base case)'!U36-U36)</f>
        <v>1951869.3887187999</v>
      </c>
      <c r="V64" s="132">
        <f>(1-INDEX(Data!$C$9:$C$13, MATCH($A$3, options,0)))*('Option1 (base case)'!V36-V36)</f>
        <v>1951869.3887187999</v>
      </c>
      <c r="W64" s="132">
        <f>(1-INDEX(Data!$C$9:$C$13, MATCH($A$3, options,0)))*('Option1 (base case)'!W36-W36)</f>
        <v>1951869.3887187999</v>
      </c>
      <c r="X64" s="132">
        <f>(1-INDEX(Data!$C$9:$C$13, MATCH($A$3, options,0)))*('Option1 (base case)'!X36-X36)</f>
        <v>1951869.3887187999</v>
      </c>
      <c r="Y64" s="132">
        <f>(1-INDEX(Data!$C$9:$C$13, MATCH($A$3, options,0)))*('Option1 (base case)'!Y36-Y36)</f>
        <v>1951869.3887187999</v>
      </c>
      <c r="Z64" s="132">
        <f>(1-INDEX(Data!$C$9:$C$13, MATCH($A$3, options,0)))*('Option1 (base case)'!Z36-Z36)</f>
        <v>1951869.3887187999</v>
      </c>
      <c r="AA64" s="132">
        <f>(1-INDEX(Data!$C$9:$C$13, MATCH($A$3, options,0)))*('Option1 (base case)'!AA36-AA36)</f>
        <v>1951869.3887187999</v>
      </c>
      <c r="AB64" s="132">
        <f>(1-INDEX(Data!$C$9:$C$13, MATCH($A$3, options,0)))*('Option1 (base case)'!AB36-AB36)</f>
        <v>1951869.3887187999</v>
      </c>
      <c r="AC64" s="132">
        <f>(1-INDEX(Data!$C$9:$C$13, MATCH($A$3, options,0)))*('Option1 (base case)'!AC36-AC36)</f>
        <v>1951869.3887187999</v>
      </c>
      <c r="AD64" s="132">
        <f>(1-INDEX(Data!$C$9:$C$13, MATCH($A$3, options,0)))*('Option1 (base case)'!AD36-AD36)</f>
        <v>1951869.3887187999</v>
      </c>
      <c r="AE64" s="132">
        <f>(1-INDEX(Data!$C$9:$C$13, MATCH($A$3, options,0)))*('Option1 (base case)'!AE36-AE36)</f>
        <v>1951869.3887187999</v>
      </c>
      <c r="AF64" s="132">
        <f>(1-INDEX(Data!$C$9:$C$13, MATCH($A$3, options,0)))*('Option1 (base case)'!AF36-AF36)</f>
        <v>1951869.3887187999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air break switches over 1 year</v>
      </c>
      <c r="D67" s="38"/>
      <c r="F67" s="97"/>
      <c r="G67" s="210">
        <f>input_dollars</f>
        <v>45291</v>
      </c>
      <c r="H67" s="31"/>
      <c r="I67" s="119">
        <f t="shared" ref="I67:AG67" si="4">-I14</f>
        <v>-5224180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air break switches over 1 year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-5224180</v>
      </c>
      <c r="J72" s="119" cm="1">
        <f t="array" ref="J72">SUMPRODUCT(($I67:J67))-SUMPRODUCT(($I67:J67)*($I$6:J$6&lt;=(J$6-$E14)))</f>
        <v>-5224180</v>
      </c>
      <c r="K72" s="119" cm="1">
        <f t="array" ref="K72">SUMPRODUCT(($I67:K67))-SUMPRODUCT(($I67:K67)*($I$6:K$6&lt;=(K$6-$E14)))</f>
        <v>-5224180</v>
      </c>
      <c r="L72" s="119" cm="1">
        <f t="array" ref="L72">SUMPRODUCT(($I67:L67))-SUMPRODUCT(($I67:L67)*($I$6:L$6&lt;=(L$6-$E14)))</f>
        <v>-5224180</v>
      </c>
      <c r="M72" s="119" cm="1">
        <f t="array" ref="M72">SUMPRODUCT(($I67:M67))-SUMPRODUCT(($I67:M67)*($I$6:M$6&lt;=(M$6-$E14)))</f>
        <v>-5224180</v>
      </c>
      <c r="N72" s="119" cm="1">
        <f t="array" ref="N72">SUMPRODUCT(($I67:N67))-SUMPRODUCT(($I67:N67)*($I$6:N$6&lt;=(N$6-$E14)))</f>
        <v>-5224180</v>
      </c>
      <c r="O72" s="119" cm="1">
        <f t="array" ref="O72">SUMPRODUCT(($I67:O67))-SUMPRODUCT(($I67:O67)*($I$6:O$6&lt;=(O$6-$E14)))</f>
        <v>-5224180</v>
      </c>
      <c r="P72" s="119" cm="1">
        <f t="array" ref="P72">SUMPRODUCT(($I67:P67))-SUMPRODUCT(($I67:P67)*($I$6:P$6&lt;=(P$6-$E14)))</f>
        <v>-5224180</v>
      </c>
      <c r="Q72" s="119" cm="1">
        <f t="array" ref="Q72">SUMPRODUCT(($I67:Q67))-SUMPRODUCT(($I67:Q67)*($I$6:Q$6&lt;=(Q$6-$E14)))</f>
        <v>-5224180</v>
      </c>
      <c r="R72" s="119" cm="1">
        <f t="array" ref="R72">SUMPRODUCT(($I67:R67))-SUMPRODUCT(($I67:R67)*($I$6:R$6&lt;=(R$6-$E14)))</f>
        <v>-5224180</v>
      </c>
      <c r="S72" s="119" cm="1">
        <f t="array" ref="S72">SUMPRODUCT(($I67:S67))-SUMPRODUCT(($I67:S67)*($I$6:S$6&lt;=(S$6-$E14)))</f>
        <v>-5224180</v>
      </c>
      <c r="T72" s="119" cm="1">
        <f t="array" ref="T72">SUMPRODUCT(($I67:T67))-SUMPRODUCT(($I67:T67)*($I$6:T$6&lt;=(T$6-$E14)))</f>
        <v>-5224180</v>
      </c>
      <c r="U72" s="119" cm="1">
        <f t="array" ref="U72">SUMPRODUCT(($I67:U67))-SUMPRODUCT(($I67:U67)*($I$6:U$6&lt;=(U$6-$E14)))</f>
        <v>-5224180</v>
      </c>
      <c r="V72" s="119" cm="1">
        <f t="array" ref="V72">SUMPRODUCT(($I67:V67))-SUMPRODUCT(($I67:V67)*($I$6:V$6&lt;=(V$6-$E14)))</f>
        <v>-5224180</v>
      </c>
      <c r="W72" s="119" cm="1">
        <f t="array" ref="W72">SUMPRODUCT(($I67:W67))-SUMPRODUCT(($I67:W67)*($I$6:W$6&lt;=(W$6-$E14)))</f>
        <v>-5224180</v>
      </c>
      <c r="X72" s="119" cm="1">
        <f t="array" ref="X72">SUMPRODUCT(($I67:X67))-SUMPRODUCT(($I67:X67)*($I$6:X$6&lt;=(X$6-$E14)))</f>
        <v>-5224180</v>
      </c>
      <c r="Y72" s="119" cm="1">
        <f t="array" ref="Y72">SUMPRODUCT(($I67:Y67))-SUMPRODUCT(($I67:Y67)*($I$6:Y$6&lt;=(Y$6-$E14)))</f>
        <v>-5224180</v>
      </c>
      <c r="Z72" s="119" cm="1">
        <f t="array" ref="Z72">SUMPRODUCT(($I67:Z67))-SUMPRODUCT(($I67:Z67)*($I$6:Z$6&lt;=(Z$6-$E14)))</f>
        <v>-5224180</v>
      </c>
      <c r="AA72" s="119" cm="1">
        <f t="array" ref="AA72">SUMPRODUCT(($I67:AA67))-SUMPRODUCT(($I67:AA67)*($I$6:AA$6&lt;=(AA$6-$E14)))</f>
        <v>-5224180</v>
      </c>
      <c r="AB72" s="119" cm="1">
        <f t="array" ref="AB72">SUMPRODUCT(($I67:AB67))-SUMPRODUCT(($I67:AB67)*($I$6:AB$6&lt;=(AB$6-$E14)))</f>
        <v>-5224180</v>
      </c>
      <c r="AC72" s="119" cm="1">
        <f t="array" ref="AC72">SUMPRODUCT(($I67:AC67))-SUMPRODUCT(($I67:AC67)*($I$6:AC$6&lt;=(AC$6-$E14)))</f>
        <v>-5224180</v>
      </c>
      <c r="AD72" s="119" cm="1">
        <f t="array" ref="AD72">SUMPRODUCT(($I67:AD67))-SUMPRODUCT(($I67:AD67)*($I$6:AD$6&lt;=(AD$6-$E14)))</f>
        <v>-5224180</v>
      </c>
      <c r="AE72" s="119" cm="1">
        <f t="array" ref="AE72">SUMPRODUCT(($I67:AE67))-SUMPRODUCT(($I67:AE67)*($I$6:AE$6&lt;=(AE$6-$E14)))</f>
        <v>-5224180</v>
      </c>
      <c r="AF72" s="119" cm="1">
        <f t="array" ref="AF72">SUMPRODUCT(($I67:AF67))-SUMPRODUCT(($I67:AF67)*($I$6:AF$6&lt;=(AF$6-$E14)))</f>
        <v>-5224180</v>
      </c>
      <c r="AG72" s="119" cm="1">
        <f t="array" ref="AG72">SUMPRODUCT(($I67:AG67))-SUMPRODUCT(($I67:AG67)*($I$6:AG$6&lt;=(AG$6-$E14)))</f>
        <v>-5224180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air break switches over 1 year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-215305.33046085996</v>
      </c>
      <c r="K77" s="119">
        <f t="shared" si="7"/>
        <v>-215305.33046085996</v>
      </c>
      <c r="L77" s="119">
        <f t="shared" si="7"/>
        <v>-215305.33046085996</v>
      </c>
      <c r="M77" s="119">
        <f t="shared" si="7"/>
        <v>-215305.33046085996</v>
      </c>
      <c r="N77" s="119">
        <f t="shared" si="7"/>
        <v>-215305.33046085996</v>
      </c>
      <c r="O77" s="119">
        <f t="shared" si="7"/>
        <v>-215305.33046085996</v>
      </c>
      <c r="P77" s="119">
        <f t="shared" si="7"/>
        <v>-215305.33046085996</v>
      </c>
      <c r="Q77" s="119">
        <f t="shared" si="7"/>
        <v>-215305.33046085996</v>
      </c>
      <c r="R77" s="119">
        <f t="shared" si="7"/>
        <v>-215305.33046085996</v>
      </c>
      <c r="S77" s="119">
        <f t="shared" si="7"/>
        <v>-215305.33046085996</v>
      </c>
      <c r="T77" s="119">
        <f t="shared" si="7"/>
        <v>-215305.33046085996</v>
      </c>
      <c r="U77" s="119">
        <f t="shared" si="7"/>
        <v>-215305.33046085996</v>
      </c>
      <c r="V77" s="119">
        <f t="shared" si="7"/>
        <v>-215305.33046085996</v>
      </c>
      <c r="W77" s="119">
        <f t="shared" si="7"/>
        <v>-215305.33046085996</v>
      </c>
      <c r="X77" s="119">
        <f t="shared" si="7"/>
        <v>-215305.33046085996</v>
      </c>
      <c r="Y77" s="119">
        <f t="shared" si="7"/>
        <v>-215305.33046085996</v>
      </c>
      <c r="Z77" s="119">
        <f t="shared" si="7"/>
        <v>-215305.33046085996</v>
      </c>
      <c r="AA77" s="119">
        <f t="shared" si="7"/>
        <v>-215305.33046085996</v>
      </c>
      <c r="AB77" s="119">
        <f t="shared" si="7"/>
        <v>-215305.33046085996</v>
      </c>
      <c r="AC77" s="119">
        <f t="shared" si="7"/>
        <v>-215305.33046085996</v>
      </c>
      <c r="AD77" s="119">
        <f t="shared" si="7"/>
        <v>-215305.33046085996</v>
      </c>
      <c r="AE77" s="119">
        <f t="shared" si="7"/>
        <v>-215305.33046085996</v>
      </c>
      <c r="AF77" s="119">
        <f t="shared" si="7"/>
        <v>-215305.33046085996</v>
      </c>
      <c r="AG77" s="119">
        <f t="shared" si="7"/>
        <v>-215305.33046085996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-215305.33046085996</v>
      </c>
      <c r="K80" s="176">
        <f t="shared" si="10"/>
        <v>-215305.33046085996</v>
      </c>
      <c r="L80" s="176">
        <f t="shared" si="10"/>
        <v>-215305.33046085996</v>
      </c>
      <c r="M80" s="176">
        <f t="shared" si="10"/>
        <v>-215305.33046085996</v>
      </c>
      <c r="N80" s="176">
        <f t="shared" si="10"/>
        <v>-215305.33046085996</v>
      </c>
      <c r="O80" s="176">
        <f t="shared" si="10"/>
        <v>-215305.33046085996</v>
      </c>
      <c r="P80" s="176">
        <f t="shared" si="10"/>
        <v>-215305.33046085996</v>
      </c>
      <c r="Q80" s="176">
        <f t="shared" si="10"/>
        <v>-215305.33046085996</v>
      </c>
      <c r="R80" s="176">
        <f t="shared" si="10"/>
        <v>-215305.33046085996</v>
      </c>
      <c r="S80" s="176">
        <f t="shared" si="10"/>
        <v>-215305.33046085996</v>
      </c>
      <c r="T80" s="176">
        <f t="shared" si="10"/>
        <v>-215305.33046085996</v>
      </c>
      <c r="U80" s="176">
        <f t="shared" si="10"/>
        <v>-215305.33046085996</v>
      </c>
      <c r="V80" s="176">
        <f t="shared" si="10"/>
        <v>-215305.33046085996</v>
      </c>
      <c r="W80" s="176">
        <f t="shared" si="10"/>
        <v>-215305.33046085996</v>
      </c>
      <c r="X80" s="176">
        <f t="shared" si="10"/>
        <v>-215305.33046085996</v>
      </c>
      <c r="Y80" s="176">
        <f t="shared" si="10"/>
        <v>-215305.33046085996</v>
      </c>
      <c r="Z80" s="176">
        <f t="shared" si="10"/>
        <v>-215305.33046085996</v>
      </c>
      <c r="AA80" s="176">
        <f t="shared" si="10"/>
        <v>-215305.33046085996</v>
      </c>
      <c r="AB80" s="176">
        <f t="shared" si="10"/>
        <v>-215305.33046085996</v>
      </c>
      <c r="AC80" s="176">
        <f>SUM(AC77:AC79)</f>
        <v>-215305.33046085996</v>
      </c>
      <c r="AD80" s="176">
        <f>SUM(AD77:AD79)</f>
        <v>-215305.33046085996</v>
      </c>
      <c r="AE80" s="176">
        <f>SUM(AE77:AE79)</f>
        <v>-215305.33046085996</v>
      </c>
      <c r="AF80" s="176">
        <f>SUM(AF77:AF79)</f>
        <v>-215305.33046085996</v>
      </c>
      <c r="AG80" s="176">
        <f>SUM(AG77:AG79)</f>
        <v>-215305.33046085996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-215305.33046085996</v>
      </c>
      <c r="K82" s="119">
        <f t="shared" si="12"/>
        <v>-215305.33046085996</v>
      </c>
      <c r="L82" s="119">
        <f t="shared" si="12"/>
        <v>-215305.33046085996</v>
      </c>
      <c r="M82" s="119">
        <f t="shared" si="12"/>
        <v>-215305.33046085996</v>
      </c>
      <c r="N82" s="119">
        <f t="shared" si="12"/>
        <v>-215305.33046085996</v>
      </c>
      <c r="O82" s="119">
        <f t="shared" si="12"/>
        <v>-215305.33046085996</v>
      </c>
      <c r="P82" s="119">
        <f t="shared" si="12"/>
        <v>-215305.33046085996</v>
      </c>
      <c r="Q82" s="119">
        <f t="shared" si="12"/>
        <v>-215305.33046085996</v>
      </c>
      <c r="R82" s="119">
        <f t="shared" si="12"/>
        <v>-215305.33046085996</v>
      </c>
      <c r="S82" s="119">
        <f t="shared" si="12"/>
        <v>-215305.33046085996</v>
      </c>
      <c r="T82" s="119">
        <f t="shared" si="12"/>
        <v>-215305.33046085996</v>
      </c>
      <c r="U82" s="119">
        <f t="shared" si="12"/>
        <v>-215305.33046085996</v>
      </c>
      <c r="V82" s="119">
        <f t="shared" si="12"/>
        <v>-215305.33046085996</v>
      </c>
      <c r="W82" s="119">
        <f t="shared" si="12"/>
        <v>-215305.33046085996</v>
      </c>
      <c r="X82" s="119">
        <f t="shared" si="12"/>
        <v>-215305.33046085996</v>
      </c>
      <c r="Y82" s="119">
        <f t="shared" si="12"/>
        <v>-215305.33046085996</v>
      </c>
      <c r="Z82" s="119">
        <f t="shared" si="12"/>
        <v>-215305.33046085996</v>
      </c>
      <c r="AA82" s="119">
        <f t="shared" si="12"/>
        <v>-215305.33046085996</v>
      </c>
      <c r="AB82" s="119">
        <f t="shared" si="12"/>
        <v>-215305.33046085996</v>
      </c>
      <c r="AC82" s="119">
        <f>AC80</f>
        <v>-215305.33046085996</v>
      </c>
      <c r="AD82" s="119">
        <f>AD80</f>
        <v>-215305.33046085996</v>
      </c>
      <c r="AE82" s="119">
        <f>AE80</f>
        <v>-215305.33046085996</v>
      </c>
      <c r="AF82" s="119">
        <f>AF80</f>
        <v>-215305.33046085996</v>
      </c>
      <c r="AG82" s="119">
        <f>AG80</f>
        <v>-215305.33046085996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>I64</f>
        <v>1951869.3887187999</v>
      </c>
      <c r="J84" s="31">
        <f t="shared" ref="J84:AB84" si="14">J64</f>
        <v>1951869.3887187999</v>
      </c>
      <c r="K84" s="31">
        <f t="shared" si="14"/>
        <v>1951869.3887187999</v>
      </c>
      <c r="L84" s="31">
        <f t="shared" si="14"/>
        <v>1951869.3887187999</v>
      </c>
      <c r="M84" s="31">
        <f t="shared" si="14"/>
        <v>1951869.3887187999</v>
      </c>
      <c r="N84" s="31">
        <f t="shared" si="14"/>
        <v>1951869.3887187999</v>
      </c>
      <c r="O84" s="31">
        <f t="shared" si="14"/>
        <v>1951869.3887187999</v>
      </c>
      <c r="P84" s="31">
        <f t="shared" si="14"/>
        <v>1951869.3887187999</v>
      </c>
      <c r="Q84" s="31">
        <f t="shared" si="14"/>
        <v>1951869.3887187999</v>
      </c>
      <c r="R84" s="31">
        <f t="shared" si="14"/>
        <v>1951869.3887187999</v>
      </c>
      <c r="S84" s="31">
        <f t="shared" si="14"/>
        <v>1951869.3887187999</v>
      </c>
      <c r="T84" s="31">
        <f t="shared" si="14"/>
        <v>1951869.3887187999</v>
      </c>
      <c r="U84" s="31">
        <f t="shared" si="14"/>
        <v>1951869.3887187999</v>
      </c>
      <c r="V84" s="31">
        <f t="shared" si="14"/>
        <v>1951869.3887187999</v>
      </c>
      <c r="W84" s="31">
        <f t="shared" si="14"/>
        <v>1951869.3887187999</v>
      </c>
      <c r="X84" s="31">
        <f t="shared" si="14"/>
        <v>1951869.3887187999</v>
      </c>
      <c r="Y84" s="31">
        <f t="shared" si="14"/>
        <v>1951869.3887187999</v>
      </c>
      <c r="Z84" s="31">
        <f t="shared" si="14"/>
        <v>1951869.3887187999</v>
      </c>
      <c r="AA84" s="31">
        <f t="shared" si="14"/>
        <v>1951869.3887187999</v>
      </c>
      <c r="AB84" s="31">
        <f t="shared" si="14"/>
        <v>1951869.3887187999</v>
      </c>
      <c r="AC84" s="31">
        <f>AC64</f>
        <v>1951869.3887187999</v>
      </c>
      <c r="AD84" s="31">
        <f>AD64</f>
        <v>1951869.3887187999</v>
      </c>
      <c r="AE84" s="31">
        <f>AE64</f>
        <v>1951869.3887187999</v>
      </c>
      <c r="AF84" s="31">
        <f>AF64</f>
        <v>1951869.3887187999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1951869.3887187999</v>
      </c>
      <c r="J87" s="179">
        <f t="shared" si="16"/>
        <v>1736564.05825794</v>
      </c>
      <c r="K87" s="179">
        <f t="shared" si="16"/>
        <v>1736564.05825794</v>
      </c>
      <c r="L87" s="179">
        <f t="shared" si="16"/>
        <v>1736564.05825794</v>
      </c>
      <c r="M87" s="179">
        <f t="shared" si="16"/>
        <v>1736564.05825794</v>
      </c>
      <c r="N87" s="179">
        <f t="shared" si="16"/>
        <v>1736564.05825794</v>
      </c>
      <c r="O87" s="179">
        <f t="shared" si="16"/>
        <v>1736564.05825794</v>
      </c>
      <c r="P87" s="179">
        <f t="shared" si="16"/>
        <v>1736564.05825794</v>
      </c>
      <c r="Q87" s="179">
        <f t="shared" si="16"/>
        <v>1736564.05825794</v>
      </c>
      <c r="R87" s="179">
        <f t="shared" si="16"/>
        <v>1736564.05825794</v>
      </c>
      <c r="S87" s="179">
        <f t="shared" si="16"/>
        <v>1736564.05825794</v>
      </c>
      <c r="T87" s="179">
        <f t="shared" si="16"/>
        <v>1736564.05825794</v>
      </c>
      <c r="U87" s="179">
        <f t="shared" si="16"/>
        <v>1736564.05825794</v>
      </c>
      <c r="V87" s="179">
        <f t="shared" si="16"/>
        <v>1736564.05825794</v>
      </c>
      <c r="W87" s="179">
        <f t="shared" si="16"/>
        <v>1736564.05825794</v>
      </c>
      <c r="X87" s="179">
        <f t="shared" si="16"/>
        <v>1736564.05825794</v>
      </c>
      <c r="Y87" s="179">
        <f t="shared" si="16"/>
        <v>1736564.05825794</v>
      </c>
      <c r="Z87" s="179">
        <f t="shared" si="16"/>
        <v>1736564.05825794</v>
      </c>
      <c r="AA87" s="179">
        <f t="shared" si="16"/>
        <v>1736564.05825794</v>
      </c>
      <c r="AB87" s="179">
        <f t="shared" si="16"/>
        <v>1736564.05825794</v>
      </c>
      <c r="AC87" s="179">
        <f>SUM(AC82:AC86)</f>
        <v>1736564.05825794</v>
      </c>
      <c r="AD87" s="179">
        <f>SUM(AD82:AD86)</f>
        <v>1736564.05825794</v>
      </c>
      <c r="AE87" s="179">
        <f>SUM(AE82:AE86)</f>
        <v>1736564.05825794</v>
      </c>
      <c r="AF87" s="179">
        <f>SUM(AF82:AF86)</f>
        <v>1736564.05825794</v>
      </c>
      <c r="AG87" s="179">
        <f>SUM(AG82:AG86)</f>
        <v>-215305.33046085996</v>
      </c>
    </row>
    <row r="88" spans="1:33" x14ac:dyDescent="0.3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3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3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3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3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3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3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3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4.4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2NPV</v>
      </c>
      <c r="I106" s="31">
        <f>I87</f>
        <v>1951869.3887187999</v>
      </c>
      <c r="J106" s="31">
        <f t="shared" ref="J106:AG106" si="17">J87</f>
        <v>1736564.05825794</v>
      </c>
      <c r="K106" s="31">
        <f t="shared" si="17"/>
        <v>1736564.05825794</v>
      </c>
      <c r="L106" s="31">
        <f t="shared" si="17"/>
        <v>1736564.05825794</v>
      </c>
      <c r="M106" s="31">
        <f t="shared" si="17"/>
        <v>1736564.05825794</v>
      </c>
      <c r="N106" s="31">
        <f t="shared" si="17"/>
        <v>1736564.05825794</v>
      </c>
      <c r="O106" s="31">
        <f t="shared" si="17"/>
        <v>1736564.05825794</v>
      </c>
      <c r="P106" s="31">
        <f t="shared" si="17"/>
        <v>1736564.05825794</v>
      </c>
      <c r="Q106" s="31">
        <f t="shared" si="17"/>
        <v>1736564.05825794</v>
      </c>
      <c r="R106" s="31">
        <f t="shared" si="17"/>
        <v>1736564.05825794</v>
      </c>
      <c r="S106" s="31">
        <f t="shared" si="17"/>
        <v>1736564.05825794</v>
      </c>
      <c r="T106" s="31">
        <f t="shared" si="17"/>
        <v>1736564.05825794</v>
      </c>
      <c r="U106" s="31">
        <f t="shared" si="17"/>
        <v>1736564.05825794</v>
      </c>
      <c r="V106" s="31">
        <f t="shared" si="17"/>
        <v>1736564.05825794</v>
      </c>
      <c r="W106" s="31">
        <f t="shared" si="17"/>
        <v>1736564.05825794</v>
      </c>
      <c r="X106" s="31">
        <f t="shared" si="17"/>
        <v>1736564.05825794</v>
      </c>
      <c r="Y106" s="31">
        <f t="shared" si="17"/>
        <v>1736564.05825794</v>
      </c>
      <c r="Z106" s="31">
        <f t="shared" si="17"/>
        <v>1736564.05825794</v>
      </c>
      <c r="AA106" s="31">
        <f t="shared" si="17"/>
        <v>1736564.05825794</v>
      </c>
      <c r="AB106" s="31">
        <f t="shared" si="17"/>
        <v>1736564.05825794</v>
      </c>
      <c r="AC106" s="31">
        <f t="shared" si="17"/>
        <v>1736564.05825794</v>
      </c>
      <c r="AD106" s="31">
        <f t="shared" si="17"/>
        <v>1736564.05825794</v>
      </c>
      <c r="AE106" s="31">
        <f t="shared" si="17"/>
        <v>1736564.05825794</v>
      </c>
      <c r="AF106" s="31">
        <f t="shared" si="17"/>
        <v>1736564.05825794</v>
      </c>
      <c r="AG106" s="31">
        <f t="shared" si="17"/>
        <v>-215305.33046085996</v>
      </c>
    </row>
    <row r="107" spans="1:43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-215305.33046085996</v>
      </c>
      <c r="K107" s="31">
        <f t="shared" si="18"/>
        <v>-215305.33046085996</v>
      </c>
      <c r="L107" s="31">
        <f t="shared" si="18"/>
        <v>-215305.33046085996</v>
      </c>
      <c r="M107" s="31">
        <f t="shared" si="18"/>
        <v>-215305.33046085996</v>
      </c>
      <c r="N107" s="31">
        <f t="shared" si="18"/>
        <v>-215305.33046085996</v>
      </c>
      <c r="O107" s="31">
        <f t="shared" si="18"/>
        <v>-215305.33046085996</v>
      </c>
      <c r="P107" s="31">
        <f t="shared" si="18"/>
        <v>-215305.33046085996</v>
      </c>
      <c r="Q107" s="31">
        <f t="shared" si="18"/>
        <v>-215305.33046085996</v>
      </c>
      <c r="R107" s="31">
        <f t="shared" si="18"/>
        <v>-215305.33046085996</v>
      </c>
      <c r="S107" s="31">
        <f t="shared" si="18"/>
        <v>-215305.33046085996</v>
      </c>
      <c r="T107" s="31">
        <f t="shared" si="18"/>
        <v>-215305.33046085996</v>
      </c>
      <c r="U107" s="31">
        <f t="shared" si="18"/>
        <v>-215305.33046085996</v>
      </c>
      <c r="V107" s="31">
        <f t="shared" si="18"/>
        <v>-215305.33046085996</v>
      </c>
      <c r="W107" s="31">
        <f t="shared" si="18"/>
        <v>-215305.33046085996</v>
      </c>
      <c r="X107" s="31">
        <f t="shared" si="18"/>
        <v>-215305.33046085996</v>
      </c>
      <c r="Y107" s="31">
        <f t="shared" si="18"/>
        <v>-215305.33046085996</v>
      </c>
      <c r="Z107" s="31">
        <f t="shared" si="18"/>
        <v>-215305.33046085996</v>
      </c>
      <c r="AA107" s="31">
        <f t="shared" si="18"/>
        <v>-215305.33046085996</v>
      </c>
      <c r="AB107" s="31">
        <f t="shared" si="18"/>
        <v>-215305.33046085996</v>
      </c>
      <c r="AC107" s="31">
        <f t="shared" si="18"/>
        <v>-215305.33046085996</v>
      </c>
      <c r="AD107" s="31">
        <f t="shared" si="18"/>
        <v>-215305.33046085996</v>
      </c>
      <c r="AE107" s="31">
        <f t="shared" si="18"/>
        <v>-215305.33046085996</v>
      </c>
      <c r="AF107" s="31">
        <f t="shared" si="18"/>
        <v>-215305.33046085996</v>
      </c>
      <c r="AG107" s="31">
        <f t="shared" si="18"/>
        <v>-215305.33046085996</v>
      </c>
    </row>
    <row r="108" spans="1:43" x14ac:dyDescent="0.3">
      <c r="C108" s="1" t="s">
        <v>235</v>
      </c>
      <c r="D108" s="252"/>
      <c r="E108" s="38"/>
      <c r="I108" s="31">
        <f>SUM(I84:I85)</f>
        <v>1951869.3887187999</v>
      </c>
      <c r="J108" s="31">
        <f t="shared" ref="J108:AG108" si="19">SUM(J84:J85)</f>
        <v>1951869.3887187999</v>
      </c>
      <c r="K108" s="31">
        <f t="shared" si="19"/>
        <v>1951869.3887187999</v>
      </c>
      <c r="L108" s="31">
        <f t="shared" si="19"/>
        <v>1951869.3887187999</v>
      </c>
      <c r="M108" s="31">
        <f t="shared" si="19"/>
        <v>1951869.3887187999</v>
      </c>
      <c r="N108" s="31">
        <f t="shared" si="19"/>
        <v>1951869.3887187999</v>
      </c>
      <c r="O108" s="31">
        <f t="shared" si="19"/>
        <v>1951869.3887187999</v>
      </c>
      <c r="P108" s="31">
        <f t="shared" si="19"/>
        <v>1951869.3887187999</v>
      </c>
      <c r="Q108" s="31">
        <f t="shared" si="19"/>
        <v>1951869.3887187999</v>
      </c>
      <c r="R108" s="31">
        <f t="shared" si="19"/>
        <v>1951869.3887187999</v>
      </c>
      <c r="S108" s="31">
        <f t="shared" si="19"/>
        <v>1951869.3887187999</v>
      </c>
      <c r="T108" s="31">
        <f t="shared" si="19"/>
        <v>1951869.3887187999</v>
      </c>
      <c r="U108" s="31">
        <f t="shared" si="19"/>
        <v>1951869.3887187999</v>
      </c>
      <c r="V108" s="31">
        <f t="shared" si="19"/>
        <v>1951869.3887187999</v>
      </c>
      <c r="W108" s="31">
        <f t="shared" si="19"/>
        <v>1951869.3887187999</v>
      </c>
      <c r="X108" s="31">
        <f t="shared" si="19"/>
        <v>1951869.3887187999</v>
      </c>
      <c r="Y108" s="31">
        <f t="shared" si="19"/>
        <v>1951869.3887187999</v>
      </c>
      <c r="Z108" s="31">
        <f t="shared" si="19"/>
        <v>1951869.3887187999</v>
      </c>
      <c r="AA108" s="31">
        <f t="shared" si="19"/>
        <v>1951869.3887187999</v>
      </c>
      <c r="AB108" s="31">
        <f t="shared" si="19"/>
        <v>1951869.3887187999</v>
      </c>
      <c r="AC108" s="31">
        <f t="shared" si="19"/>
        <v>1951869.3887187999</v>
      </c>
      <c r="AD108" s="31">
        <f t="shared" si="19"/>
        <v>1951869.3887187999</v>
      </c>
      <c r="AE108" s="31">
        <f t="shared" si="19"/>
        <v>1951869.3887187999</v>
      </c>
      <c r="AF108" s="31">
        <f t="shared" si="19"/>
        <v>1951869.3887187999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1951869.3887187999</v>
      </c>
      <c r="J110" s="31" cm="1">
        <f t="array" ref="J110">J$106+IF($C110&lt;&gt;0,SUMPRODUCT((J$107:J$108)*TRANSPOSE(($D110:$E110))),0)</f>
        <v>1715033.5252118539</v>
      </c>
      <c r="K110" s="31" cm="1">
        <f t="array" ref="K110">K$106+IF($C110&lt;&gt;0,SUMPRODUCT((K$107:K$108)*TRANSPOSE(($D110:$E110))),0)</f>
        <v>1715033.5252118539</v>
      </c>
      <c r="L110" s="31" cm="1">
        <f t="array" ref="L110">L$106+IF($C110&lt;&gt;0,SUMPRODUCT((L$107:L$108)*TRANSPOSE(($D110:$E110))),0)</f>
        <v>1715033.5252118539</v>
      </c>
      <c r="M110" s="31" cm="1">
        <f t="array" ref="M110">M$106+IF($C110&lt;&gt;0,SUMPRODUCT((M$107:M$108)*TRANSPOSE(($D110:$E110))),0)</f>
        <v>1715033.5252118539</v>
      </c>
      <c r="N110" s="31" cm="1">
        <f t="array" ref="N110">N$106+IF($C110&lt;&gt;0,SUMPRODUCT((N$107:N$108)*TRANSPOSE(($D110:$E110))),0)</f>
        <v>1715033.5252118539</v>
      </c>
      <c r="O110" s="31" cm="1">
        <f t="array" ref="O110">O$106+IF($C110&lt;&gt;0,SUMPRODUCT((O$107:O$108)*TRANSPOSE(($D110:$E110))),0)</f>
        <v>1715033.5252118539</v>
      </c>
      <c r="P110" s="31" cm="1">
        <f t="array" ref="P110">P$106+IF($C110&lt;&gt;0,SUMPRODUCT((P$107:P$108)*TRANSPOSE(($D110:$E110))),0)</f>
        <v>1715033.5252118539</v>
      </c>
      <c r="Q110" s="31" cm="1">
        <f t="array" ref="Q110">Q$106+IF($C110&lt;&gt;0,SUMPRODUCT((Q$107:Q$108)*TRANSPOSE(($D110:$E110))),0)</f>
        <v>1715033.5252118539</v>
      </c>
      <c r="R110" s="31" cm="1">
        <f t="array" ref="R110">R$106+IF($C110&lt;&gt;0,SUMPRODUCT((R$107:R$108)*TRANSPOSE(($D110:$E110))),0)</f>
        <v>1715033.5252118539</v>
      </c>
      <c r="S110" s="31" cm="1">
        <f t="array" ref="S110">S$106+IF($C110&lt;&gt;0,SUMPRODUCT((S$107:S$108)*TRANSPOSE(($D110:$E110))),0)</f>
        <v>1715033.5252118539</v>
      </c>
      <c r="T110" s="31" cm="1">
        <f t="array" ref="T110">T$106+IF($C110&lt;&gt;0,SUMPRODUCT((T$107:T$108)*TRANSPOSE(($D110:$E110))),0)</f>
        <v>1715033.5252118539</v>
      </c>
      <c r="U110" s="31" cm="1">
        <f t="array" ref="U110">U$106+IF($C110&lt;&gt;0,SUMPRODUCT((U$107:U$108)*TRANSPOSE(($D110:$E110))),0)</f>
        <v>1715033.5252118539</v>
      </c>
      <c r="V110" s="31" cm="1">
        <f t="array" ref="V110">V$106+IF($C110&lt;&gt;0,SUMPRODUCT((V$107:V$108)*TRANSPOSE(($D110:$E110))),0)</f>
        <v>1715033.5252118539</v>
      </c>
      <c r="W110" s="31" cm="1">
        <f t="array" ref="W110">W$106+IF($C110&lt;&gt;0,SUMPRODUCT((W$107:W$108)*TRANSPOSE(($D110:$E110))),0)</f>
        <v>1715033.5252118539</v>
      </c>
      <c r="X110" s="31" cm="1">
        <f t="array" ref="X110">X$106+IF($C110&lt;&gt;0,SUMPRODUCT((X$107:X$108)*TRANSPOSE(($D110:$E110))),0)</f>
        <v>1715033.5252118539</v>
      </c>
      <c r="Y110" s="31" cm="1">
        <f t="array" ref="Y110">Y$106+IF($C110&lt;&gt;0,SUMPRODUCT((Y$107:Y$108)*TRANSPOSE(($D110:$E110))),0)</f>
        <v>1715033.5252118539</v>
      </c>
      <c r="Z110" s="31" cm="1">
        <f t="array" ref="Z110">Z$106+IF($C110&lt;&gt;0,SUMPRODUCT((Z$107:Z$108)*TRANSPOSE(($D110:$E110))),0)</f>
        <v>1715033.5252118539</v>
      </c>
      <c r="AA110" s="31" cm="1">
        <f t="array" ref="AA110">AA$106+IF($C110&lt;&gt;0,SUMPRODUCT((AA$107:AA$108)*TRANSPOSE(($D110:$E110))),0)</f>
        <v>1715033.5252118539</v>
      </c>
      <c r="AB110" s="31" cm="1">
        <f t="array" ref="AB110">AB$106+IF($C110&lt;&gt;0,SUMPRODUCT((AB$107:AB$108)*TRANSPOSE(($D110:$E110))),0)</f>
        <v>1715033.5252118539</v>
      </c>
      <c r="AC110" s="31" cm="1">
        <f t="array" ref="AC110">AC$106+IF($C110&lt;&gt;0,SUMPRODUCT((AC$107:AC$108)*TRANSPOSE(($D110:$E110))),0)</f>
        <v>1715033.5252118539</v>
      </c>
      <c r="AD110" s="31" cm="1">
        <f t="array" ref="AD110">AD$106+IF($C110&lt;&gt;0,SUMPRODUCT((AD$107:AD$108)*TRANSPOSE(($D110:$E110))),0)</f>
        <v>1715033.5252118539</v>
      </c>
      <c r="AE110" s="31" cm="1">
        <f t="array" ref="AE110">AE$106+IF($C110&lt;&gt;0,SUMPRODUCT((AE$107:AE$108)*TRANSPOSE(($D110:$E110))),0)</f>
        <v>1715033.5252118539</v>
      </c>
      <c r="AF110" s="31" cm="1">
        <f t="array" ref="AF110">AF$106+IF($C110&lt;&gt;0,SUMPRODUCT((AF$107:AF$108)*TRANSPOSE(($D110:$E110))),0)</f>
        <v>1715033.5252118539</v>
      </c>
      <c r="AG110" s="31" cm="1">
        <f t="array" ref="AG110">AG$106+IF($C110&lt;&gt;0,SUMPRODUCT((AG$107:AG$108)*TRANSPOSE(($D110:$E110))),0)</f>
        <v>-236835.86350694596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1951869.3887187999</v>
      </c>
      <c r="J111" s="31" cm="1">
        <f t="array" ref="J111">J$106+IF($C111&lt;&gt;0,SUMPRODUCT((J$107:J$108)*TRANSPOSE(($D111:$E111))),0)</f>
        <v>1758094.5913040261</v>
      </c>
      <c r="K111" s="31" cm="1">
        <f t="array" ref="K111">K$106+IF($C111&lt;&gt;0,SUMPRODUCT((K$107:K$108)*TRANSPOSE(($D111:$E111))),0)</f>
        <v>1758094.5913040261</v>
      </c>
      <c r="L111" s="31" cm="1">
        <f t="array" ref="L111">L$106+IF($C111&lt;&gt;0,SUMPRODUCT((L$107:L$108)*TRANSPOSE(($D111:$E111))),0)</f>
        <v>1758094.5913040261</v>
      </c>
      <c r="M111" s="31" cm="1">
        <f t="array" ref="M111">M$106+IF($C111&lt;&gt;0,SUMPRODUCT((M$107:M$108)*TRANSPOSE(($D111:$E111))),0)</f>
        <v>1758094.5913040261</v>
      </c>
      <c r="N111" s="31" cm="1">
        <f t="array" ref="N111">N$106+IF($C111&lt;&gt;0,SUMPRODUCT((N$107:N$108)*TRANSPOSE(($D111:$E111))),0)</f>
        <v>1758094.5913040261</v>
      </c>
      <c r="O111" s="31" cm="1">
        <f t="array" ref="O111">O$106+IF($C111&lt;&gt;0,SUMPRODUCT((O$107:O$108)*TRANSPOSE(($D111:$E111))),0)</f>
        <v>1758094.5913040261</v>
      </c>
      <c r="P111" s="31" cm="1">
        <f t="array" ref="P111">P$106+IF($C111&lt;&gt;0,SUMPRODUCT((P$107:P$108)*TRANSPOSE(($D111:$E111))),0)</f>
        <v>1758094.5913040261</v>
      </c>
      <c r="Q111" s="31" cm="1">
        <f t="array" ref="Q111">Q$106+IF($C111&lt;&gt;0,SUMPRODUCT((Q$107:Q$108)*TRANSPOSE(($D111:$E111))),0)</f>
        <v>1758094.5913040261</v>
      </c>
      <c r="R111" s="31" cm="1">
        <f t="array" ref="R111">R$106+IF($C111&lt;&gt;0,SUMPRODUCT((R$107:R$108)*TRANSPOSE(($D111:$E111))),0)</f>
        <v>1758094.5913040261</v>
      </c>
      <c r="S111" s="31" cm="1">
        <f t="array" ref="S111">S$106+IF($C111&lt;&gt;0,SUMPRODUCT((S$107:S$108)*TRANSPOSE(($D111:$E111))),0)</f>
        <v>1758094.5913040261</v>
      </c>
      <c r="T111" s="31" cm="1">
        <f t="array" ref="T111">T$106+IF($C111&lt;&gt;0,SUMPRODUCT((T$107:T$108)*TRANSPOSE(($D111:$E111))),0)</f>
        <v>1758094.5913040261</v>
      </c>
      <c r="U111" s="31" cm="1">
        <f t="array" ref="U111">U$106+IF($C111&lt;&gt;0,SUMPRODUCT((U$107:U$108)*TRANSPOSE(($D111:$E111))),0)</f>
        <v>1758094.5913040261</v>
      </c>
      <c r="V111" s="31" cm="1">
        <f t="array" ref="V111">V$106+IF($C111&lt;&gt;0,SUMPRODUCT((V$107:V$108)*TRANSPOSE(($D111:$E111))),0)</f>
        <v>1758094.5913040261</v>
      </c>
      <c r="W111" s="31" cm="1">
        <f t="array" ref="W111">W$106+IF($C111&lt;&gt;0,SUMPRODUCT((W$107:W$108)*TRANSPOSE(($D111:$E111))),0)</f>
        <v>1758094.5913040261</v>
      </c>
      <c r="X111" s="31" cm="1">
        <f t="array" ref="X111">X$106+IF($C111&lt;&gt;0,SUMPRODUCT((X$107:X$108)*TRANSPOSE(($D111:$E111))),0)</f>
        <v>1758094.5913040261</v>
      </c>
      <c r="Y111" s="31" cm="1">
        <f t="array" ref="Y111">Y$106+IF($C111&lt;&gt;0,SUMPRODUCT((Y$107:Y$108)*TRANSPOSE(($D111:$E111))),0)</f>
        <v>1758094.5913040261</v>
      </c>
      <c r="Z111" s="31" cm="1">
        <f t="array" ref="Z111">Z$106+IF($C111&lt;&gt;0,SUMPRODUCT((Z$107:Z$108)*TRANSPOSE(($D111:$E111))),0)</f>
        <v>1758094.5913040261</v>
      </c>
      <c r="AA111" s="31" cm="1">
        <f t="array" ref="AA111">AA$106+IF($C111&lt;&gt;0,SUMPRODUCT((AA$107:AA$108)*TRANSPOSE(($D111:$E111))),0)</f>
        <v>1758094.5913040261</v>
      </c>
      <c r="AB111" s="31" cm="1">
        <f t="array" ref="AB111">AB$106+IF($C111&lt;&gt;0,SUMPRODUCT((AB$107:AB$108)*TRANSPOSE(($D111:$E111))),0)</f>
        <v>1758094.5913040261</v>
      </c>
      <c r="AC111" s="31" cm="1">
        <f t="array" ref="AC111">AC$106+IF($C111&lt;&gt;0,SUMPRODUCT((AC$107:AC$108)*TRANSPOSE(($D111:$E111))),0)</f>
        <v>1758094.5913040261</v>
      </c>
      <c r="AD111" s="31" cm="1">
        <f t="array" ref="AD111">AD$106+IF($C111&lt;&gt;0,SUMPRODUCT((AD$107:AD$108)*TRANSPOSE(($D111:$E111))),0)</f>
        <v>1758094.5913040261</v>
      </c>
      <c r="AE111" s="31" cm="1">
        <f t="array" ref="AE111">AE$106+IF($C111&lt;&gt;0,SUMPRODUCT((AE$107:AE$108)*TRANSPOSE(($D111:$E111))),0)</f>
        <v>1758094.5913040261</v>
      </c>
      <c r="AF111" s="31" cm="1">
        <f t="array" ref="AF111">AF$106+IF($C111&lt;&gt;0,SUMPRODUCT((AF$107:AF$108)*TRANSPOSE(($D111:$E111))),0)</f>
        <v>1758094.5913040261</v>
      </c>
      <c r="AG111" s="31" cm="1">
        <f t="array" ref="AG111">AG$106+IF($C111&lt;&gt;0,SUMPRODUCT((AG$107:AG$108)*TRANSPOSE(($D111:$E111))),0)</f>
        <v>-193774.79741477396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2147056.3275906797</v>
      </c>
      <c r="J112" s="31" cm="1">
        <f t="array" ref="J112">J$106+IF($C112&lt;&gt;0,SUMPRODUCT((J$107:J$108)*TRANSPOSE(($D112:$E112))),0)</f>
        <v>1931750.9971298201</v>
      </c>
      <c r="K112" s="31" cm="1">
        <f t="array" ref="K112">K$106+IF($C112&lt;&gt;0,SUMPRODUCT((K$107:K$108)*TRANSPOSE(($D112:$E112))),0)</f>
        <v>1931750.9971298201</v>
      </c>
      <c r="L112" s="31" cm="1">
        <f t="array" ref="L112">L$106+IF($C112&lt;&gt;0,SUMPRODUCT((L$107:L$108)*TRANSPOSE(($D112:$E112))),0)</f>
        <v>1931750.9971298201</v>
      </c>
      <c r="M112" s="31" cm="1">
        <f t="array" ref="M112">M$106+IF($C112&lt;&gt;0,SUMPRODUCT((M$107:M$108)*TRANSPOSE(($D112:$E112))),0)</f>
        <v>1931750.9971298201</v>
      </c>
      <c r="N112" s="31" cm="1">
        <f t="array" ref="N112">N$106+IF($C112&lt;&gt;0,SUMPRODUCT((N$107:N$108)*TRANSPOSE(($D112:$E112))),0)</f>
        <v>1931750.9971298201</v>
      </c>
      <c r="O112" s="31" cm="1">
        <f t="array" ref="O112">O$106+IF($C112&lt;&gt;0,SUMPRODUCT((O$107:O$108)*TRANSPOSE(($D112:$E112))),0)</f>
        <v>1931750.9971298201</v>
      </c>
      <c r="P112" s="31" cm="1">
        <f t="array" ref="P112">P$106+IF($C112&lt;&gt;0,SUMPRODUCT((P$107:P$108)*TRANSPOSE(($D112:$E112))),0)</f>
        <v>1931750.9971298201</v>
      </c>
      <c r="Q112" s="31" cm="1">
        <f t="array" ref="Q112">Q$106+IF($C112&lt;&gt;0,SUMPRODUCT((Q$107:Q$108)*TRANSPOSE(($D112:$E112))),0)</f>
        <v>1931750.9971298201</v>
      </c>
      <c r="R112" s="31" cm="1">
        <f t="array" ref="R112">R$106+IF($C112&lt;&gt;0,SUMPRODUCT((R$107:R$108)*TRANSPOSE(($D112:$E112))),0)</f>
        <v>1931750.9971298201</v>
      </c>
      <c r="S112" s="31" cm="1">
        <f t="array" ref="S112">S$106+IF($C112&lt;&gt;0,SUMPRODUCT((S$107:S$108)*TRANSPOSE(($D112:$E112))),0)</f>
        <v>1931750.9971298201</v>
      </c>
      <c r="T112" s="31" cm="1">
        <f t="array" ref="T112">T$106+IF($C112&lt;&gt;0,SUMPRODUCT((T$107:T$108)*TRANSPOSE(($D112:$E112))),0)</f>
        <v>1931750.9971298201</v>
      </c>
      <c r="U112" s="31" cm="1">
        <f t="array" ref="U112">U$106+IF($C112&lt;&gt;0,SUMPRODUCT((U$107:U$108)*TRANSPOSE(($D112:$E112))),0)</f>
        <v>1931750.9971298201</v>
      </c>
      <c r="V112" s="31" cm="1">
        <f t="array" ref="V112">V$106+IF($C112&lt;&gt;0,SUMPRODUCT((V$107:V$108)*TRANSPOSE(($D112:$E112))),0)</f>
        <v>1931750.9971298201</v>
      </c>
      <c r="W112" s="31" cm="1">
        <f t="array" ref="W112">W$106+IF($C112&lt;&gt;0,SUMPRODUCT((W$107:W$108)*TRANSPOSE(($D112:$E112))),0)</f>
        <v>1931750.9971298201</v>
      </c>
      <c r="X112" s="31" cm="1">
        <f t="array" ref="X112">X$106+IF($C112&lt;&gt;0,SUMPRODUCT((X$107:X$108)*TRANSPOSE(($D112:$E112))),0)</f>
        <v>1931750.9971298201</v>
      </c>
      <c r="Y112" s="31" cm="1">
        <f t="array" ref="Y112">Y$106+IF($C112&lt;&gt;0,SUMPRODUCT((Y$107:Y$108)*TRANSPOSE(($D112:$E112))),0)</f>
        <v>1931750.9971298201</v>
      </c>
      <c r="Z112" s="31" cm="1">
        <f t="array" ref="Z112">Z$106+IF($C112&lt;&gt;0,SUMPRODUCT((Z$107:Z$108)*TRANSPOSE(($D112:$E112))),0)</f>
        <v>1931750.9971298201</v>
      </c>
      <c r="AA112" s="31" cm="1">
        <f t="array" ref="AA112">AA$106+IF($C112&lt;&gt;0,SUMPRODUCT((AA$107:AA$108)*TRANSPOSE(($D112:$E112))),0)</f>
        <v>1931750.9971298201</v>
      </c>
      <c r="AB112" s="31" cm="1">
        <f t="array" ref="AB112">AB$106+IF($C112&lt;&gt;0,SUMPRODUCT((AB$107:AB$108)*TRANSPOSE(($D112:$E112))),0)</f>
        <v>1931750.9971298201</v>
      </c>
      <c r="AC112" s="31" cm="1">
        <f t="array" ref="AC112">AC$106+IF($C112&lt;&gt;0,SUMPRODUCT((AC$107:AC$108)*TRANSPOSE(($D112:$E112))),0)</f>
        <v>1931750.9971298201</v>
      </c>
      <c r="AD112" s="31" cm="1">
        <f t="array" ref="AD112">AD$106+IF($C112&lt;&gt;0,SUMPRODUCT((AD$107:AD$108)*TRANSPOSE(($D112:$E112))),0)</f>
        <v>1931750.9971298201</v>
      </c>
      <c r="AE112" s="31" cm="1">
        <f t="array" ref="AE112">AE$106+IF($C112&lt;&gt;0,SUMPRODUCT((AE$107:AE$108)*TRANSPOSE(($D112:$E112))),0)</f>
        <v>1931750.9971298201</v>
      </c>
      <c r="AF112" s="31" cm="1">
        <f t="array" ref="AF112">AF$106+IF($C112&lt;&gt;0,SUMPRODUCT((AF$107:AF$108)*TRANSPOSE(($D112:$E112))),0)</f>
        <v>1931750.9971298201</v>
      </c>
      <c r="AG112" s="31" cm="1">
        <f t="array" ref="AG112">AG$106+IF($C112&lt;&gt;0,SUMPRODUCT((AG$107:AG$108)*TRANSPOSE(($D112:$E112))),0)</f>
        <v>-215305.33046085996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1756682.4498469199</v>
      </c>
      <c r="J113" s="31" cm="1">
        <f t="array" ref="J113">J$106+IF($C113&lt;&gt;0,SUMPRODUCT((J$107:J$108)*TRANSPOSE(($D113:$E113))),0)</f>
        <v>1541377.1193860599</v>
      </c>
      <c r="K113" s="31" cm="1">
        <f t="array" ref="K113">K$106+IF($C113&lt;&gt;0,SUMPRODUCT((K$107:K$108)*TRANSPOSE(($D113:$E113))),0)</f>
        <v>1541377.1193860599</v>
      </c>
      <c r="L113" s="31" cm="1">
        <f t="array" ref="L113">L$106+IF($C113&lt;&gt;0,SUMPRODUCT((L$107:L$108)*TRANSPOSE(($D113:$E113))),0)</f>
        <v>1541377.1193860599</v>
      </c>
      <c r="M113" s="31" cm="1">
        <f t="array" ref="M113">M$106+IF($C113&lt;&gt;0,SUMPRODUCT((M$107:M$108)*TRANSPOSE(($D113:$E113))),0)</f>
        <v>1541377.1193860599</v>
      </c>
      <c r="N113" s="31" cm="1">
        <f t="array" ref="N113">N$106+IF($C113&lt;&gt;0,SUMPRODUCT((N$107:N$108)*TRANSPOSE(($D113:$E113))),0)</f>
        <v>1541377.1193860599</v>
      </c>
      <c r="O113" s="31" cm="1">
        <f t="array" ref="O113">O$106+IF($C113&lt;&gt;0,SUMPRODUCT((O$107:O$108)*TRANSPOSE(($D113:$E113))),0)</f>
        <v>1541377.1193860599</v>
      </c>
      <c r="P113" s="31" cm="1">
        <f t="array" ref="P113">P$106+IF($C113&lt;&gt;0,SUMPRODUCT((P$107:P$108)*TRANSPOSE(($D113:$E113))),0)</f>
        <v>1541377.1193860599</v>
      </c>
      <c r="Q113" s="31" cm="1">
        <f t="array" ref="Q113">Q$106+IF($C113&lt;&gt;0,SUMPRODUCT((Q$107:Q$108)*TRANSPOSE(($D113:$E113))),0)</f>
        <v>1541377.1193860599</v>
      </c>
      <c r="R113" s="31" cm="1">
        <f t="array" ref="R113">R$106+IF($C113&lt;&gt;0,SUMPRODUCT((R$107:R$108)*TRANSPOSE(($D113:$E113))),0)</f>
        <v>1541377.1193860599</v>
      </c>
      <c r="S113" s="31" cm="1">
        <f t="array" ref="S113">S$106+IF($C113&lt;&gt;0,SUMPRODUCT((S$107:S$108)*TRANSPOSE(($D113:$E113))),0)</f>
        <v>1541377.1193860599</v>
      </c>
      <c r="T113" s="31" cm="1">
        <f t="array" ref="T113">T$106+IF($C113&lt;&gt;0,SUMPRODUCT((T$107:T$108)*TRANSPOSE(($D113:$E113))),0)</f>
        <v>1541377.1193860599</v>
      </c>
      <c r="U113" s="31" cm="1">
        <f t="array" ref="U113">U$106+IF($C113&lt;&gt;0,SUMPRODUCT((U$107:U$108)*TRANSPOSE(($D113:$E113))),0)</f>
        <v>1541377.1193860599</v>
      </c>
      <c r="V113" s="31" cm="1">
        <f t="array" ref="V113">V$106+IF($C113&lt;&gt;0,SUMPRODUCT((V$107:V$108)*TRANSPOSE(($D113:$E113))),0)</f>
        <v>1541377.1193860599</v>
      </c>
      <c r="W113" s="31" cm="1">
        <f t="array" ref="W113">W$106+IF($C113&lt;&gt;0,SUMPRODUCT((W$107:W$108)*TRANSPOSE(($D113:$E113))),0)</f>
        <v>1541377.1193860599</v>
      </c>
      <c r="X113" s="31" cm="1">
        <f t="array" ref="X113">X$106+IF($C113&lt;&gt;0,SUMPRODUCT((X$107:X$108)*TRANSPOSE(($D113:$E113))),0)</f>
        <v>1541377.1193860599</v>
      </c>
      <c r="Y113" s="31" cm="1">
        <f t="array" ref="Y113">Y$106+IF($C113&lt;&gt;0,SUMPRODUCT((Y$107:Y$108)*TRANSPOSE(($D113:$E113))),0)</f>
        <v>1541377.1193860599</v>
      </c>
      <c r="Z113" s="31" cm="1">
        <f t="array" ref="Z113">Z$106+IF($C113&lt;&gt;0,SUMPRODUCT((Z$107:Z$108)*TRANSPOSE(($D113:$E113))),0)</f>
        <v>1541377.1193860599</v>
      </c>
      <c r="AA113" s="31" cm="1">
        <f t="array" ref="AA113">AA$106+IF($C113&lt;&gt;0,SUMPRODUCT((AA$107:AA$108)*TRANSPOSE(($D113:$E113))),0)</f>
        <v>1541377.1193860599</v>
      </c>
      <c r="AB113" s="31" cm="1">
        <f t="array" ref="AB113">AB$106+IF($C113&lt;&gt;0,SUMPRODUCT((AB$107:AB$108)*TRANSPOSE(($D113:$E113))),0)</f>
        <v>1541377.1193860599</v>
      </c>
      <c r="AC113" s="31" cm="1">
        <f t="array" ref="AC113">AC$106+IF($C113&lt;&gt;0,SUMPRODUCT((AC$107:AC$108)*TRANSPOSE(($D113:$E113))),0)</f>
        <v>1541377.1193860599</v>
      </c>
      <c r="AD113" s="31" cm="1">
        <f t="array" ref="AD113">AD$106+IF($C113&lt;&gt;0,SUMPRODUCT((AD$107:AD$108)*TRANSPOSE(($D113:$E113))),0)</f>
        <v>1541377.1193860599</v>
      </c>
      <c r="AE113" s="31" cm="1">
        <f t="array" ref="AE113">AE$106+IF($C113&lt;&gt;0,SUMPRODUCT((AE$107:AE$108)*TRANSPOSE(($D113:$E113))),0)</f>
        <v>1541377.1193860599</v>
      </c>
      <c r="AF113" s="31" cm="1">
        <f t="array" ref="AF113">AF$106+IF($C113&lt;&gt;0,SUMPRODUCT((AF$107:AF$108)*TRANSPOSE(($D113:$E113))),0)</f>
        <v>1541377.1193860599</v>
      </c>
      <c r="AG113" s="31" cm="1">
        <f t="array" ref="AG113">AG$106+IF($C113&lt;&gt;0,SUMPRODUCT((AG$107:AG$108)*TRANSPOSE(($D113:$E113))),0)</f>
        <v>-215305.33046085996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1756682.4498469199</v>
      </c>
      <c r="J114" s="31" cm="1">
        <f t="array" ref="J114">J$106+IF($C114&lt;&gt;0,SUMPRODUCT((J$107:J$108)*TRANSPOSE(($D114:$E114))),0)</f>
        <v>1519846.5863399741</v>
      </c>
      <c r="K114" s="31" cm="1">
        <f t="array" ref="K114">K$106+IF($C114&lt;&gt;0,SUMPRODUCT((K$107:K$108)*TRANSPOSE(($D114:$E114))),0)</f>
        <v>1519846.5863399741</v>
      </c>
      <c r="L114" s="31" cm="1">
        <f t="array" ref="L114">L$106+IF($C114&lt;&gt;0,SUMPRODUCT((L$107:L$108)*TRANSPOSE(($D114:$E114))),0)</f>
        <v>1519846.5863399741</v>
      </c>
      <c r="M114" s="31" cm="1">
        <f t="array" ref="M114">M$106+IF($C114&lt;&gt;0,SUMPRODUCT((M$107:M$108)*TRANSPOSE(($D114:$E114))),0)</f>
        <v>1519846.5863399741</v>
      </c>
      <c r="N114" s="31" cm="1">
        <f t="array" ref="N114">N$106+IF($C114&lt;&gt;0,SUMPRODUCT((N$107:N$108)*TRANSPOSE(($D114:$E114))),0)</f>
        <v>1519846.5863399741</v>
      </c>
      <c r="O114" s="31" cm="1">
        <f t="array" ref="O114">O$106+IF($C114&lt;&gt;0,SUMPRODUCT((O$107:O$108)*TRANSPOSE(($D114:$E114))),0)</f>
        <v>1519846.5863399741</v>
      </c>
      <c r="P114" s="31" cm="1">
        <f t="array" ref="P114">P$106+IF($C114&lt;&gt;0,SUMPRODUCT((P$107:P$108)*TRANSPOSE(($D114:$E114))),0)</f>
        <v>1519846.5863399741</v>
      </c>
      <c r="Q114" s="31" cm="1">
        <f t="array" ref="Q114">Q$106+IF($C114&lt;&gt;0,SUMPRODUCT((Q$107:Q$108)*TRANSPOSE(($D114:$E114))),0)</f>
        <v>1519846.5863399741</v>
      </c>
      <c r="R114" s="31" cm="1">
        <f t="array" ref="R114">R$106+IF($C114&lt;&gt;0,SUMPRODUCT((R$107:R$108)*TRANSPOSE(($D114:$E114))),0)</f>
        <v>1519846.5863399741</v>
      </c>
      <c r="S114" s="31" cm="1">
        <f t="array" ref="S114">S$106+IF($C114&lt;&gt;0,SUMPRODUCT((S$107:S$108)*TRANSPOSE(($D114:$E114))),0)</f>
        <v>1519846.5863399741</v>
      </c>
      <c r="T114" s="31" cm="1">
        <f t="array" ref="T114">T$106+IF($C114&lt;&gt;0,SUMPRODUCT((T$107:T$108)*TRANSPOSE(($D114:$E114))),0)</f>
        <v>1519846.5863399741</v>
      </c>
      <c r="U114" s="31" cm="1">
        <f t="array" ref="U114">U$106+IF($C114&lt;&gt;0,SUMPRODUCT((U$107:U$108)*TRANSPOSE(($D114:$E114))),0)</f>
        <v>1519846.5863399741</v>
      </c>
      <c r="V114" s="31" cm="1">
        <f t="array" ref="V114">V$106+IF($C114&lt;&gt;0,SUMPRODUCT((V$107:V$108)*TRANSPOSE(($D114:$E114))),0)</f>
        <v>1519846.5863399741</v>
      </c>
      <c r="W114" s="31" cm="1">
        <f t="array" ref="W114">W$106+IF($C114&lt;&gt;0,SUMPRODUCT((W$107:W$108)*TRANSPOSE(($D114:$E114))),0)</f>
        <v>1519846.5863399741</v>
      </c>
      <c r="X114" s="31" cm="1">
        <f t="array" ref="X114">X$106+IF($C114&lt;&gt;0,SUMPRODUCT((X$107:X$108)*TRANSPOSE(($D114:$E114))),0)</f>
        <v>1519846.5863399741</v>
      </c>
      <c r="Y114" s="31" cm="1">
        <f t="array" ref="Y114">Y$106+IF($C114&lt;&gt;0,SUMPRODUCT((Y$107:Y$108)*TRANSPOSE(($D114:$E114))),0)</f>
        <v>1519846.5863399741</v>
      </c>
      <c r="Z114" s="31" cm="1">
        <f t="array" ref="Z114">Z$106+IF($C114&lt;&gt;0,SUMPRODUCT((Z$107:Z$108)*TRANSPOSE(($D114:$E114))),0)</f>
        <v>1519846.5863399741</v>
      </c>
      <c r="AA114" s="31" cm="1">
        <f t="array" ref="AA114">AA$106+IF($C114&lt;&gt;0,SUMPRODUCT((AA$107:AA$108)*TRANSPOSE(($D114:$E114))),0)</f>
        <v>1519846.5863399741</v>
      </c>
      <c r="AB114" s="31" cm="1">
        <f t="array" ref="AB114">AB$106+IF($C114&lt;&gt;0,SUMPRODUCT((AB$107:AB$108)*TRANSPOSE(($D114:$E114))),0)</f>
        <v>1519846.5863399741</v>
      </c>
      <c r="AC114" s="31" cm="1">
        <f t="array" ref="AC114">AC$106+IF($C114&lt;&gt;0,SUMPRODUCT((AC$107:AC$108)*TRANSPOSE(($D114:$E114))),0)</f>
        <v>1519846.5863399741</v>
      </c>
      <c r="AD114" s="31" cm="1">
        <f t="array" ref="AD114">AD$106+IF($C114&lt;&gt;0,SUMPRODUCT((AD$107:AD$108)*TRANSPOSE(($D114:$E114))),0)</f>
        <v>1519846.5863399741</v>
      </c>
      <c r="AE114" s="31" cm="1">
        <f t="array" ref="AE114">AE$106+IF($C114&lt;&gt;0,SUMPRODUCT((AE$107:AE$108)*TRANSPOSE(($D114:$E114))),0)</f>
        <v>1519846.5863399741</v>
      </c>
      <c r="AF114" s="31" cm="1">
        <f t="array" ref="AF114">AF$106+IF($C114&lt;&gt;0,SUMPRODUCT((AF$107:AF$108)*TRANSPOSE(($D114:$E114))),0)</f>
        <v>1519846.5863399741</v>
      </c>
      <c r="AG114" s="31" cm="1">
        <f t="array" ref="AG114">AG$106+IF($C114&lt;&gt;0,SUMPRODUCT((AG$107:AG$108)*TRANSPOSE(($D114:$E114))),0)</f>
        <v>-236835.86350694596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1951869.3887187999</v>
      </c>
      <c r="J115" s="31" cm="1">
        <f t="array" ref="J115">J$106+IF($C115&lt;&gt;0,SUMPRODUCT((J$107:J$108)*TRANSPOSE(($D115:$E115))),0)</f>
        <v>1736564.05825794</v>
      </c>
      <c r="K115" s="31" cm="1">
        <f t="array" ref="K115">K$106+IF($C115&lt;&gt;0,SUMPRODUCT((K$107:K$108)*TRANSPOSE(($D115:$E115))),0)</f>
        <v>1736564.05825794</v>
      </c>
      <c r="L115" s="31" cm="1">
        <f t="array" ref="L115">L$106+IF($C115&lt;&gt;0,SUMPRODUCT((L$107:L$108)*TRANSPOSE(($D115:$E115))),0)</f>
        <v>1736564.05825794</v>
      </c>
      <c r="M115" s="31" cm="1">
        <f t="array" ref="M115">M$106+IF($C115&lt;&gt;0,SUMPRODUCT((M$107:M$108)*TRANSPOSE(($D115:$E115))),0)</f>
        <v>1736564.05825794</v>
      </c>
      <c r="N115" s="31" cm="1">
        <f t="array" ref="N115">N$106+IF($C115&lt;&gt;0,SUMPRODUCT((N$107:N$108)*TRANSPOSE(($D115:$E115))),0)</f>
        <v>1736564.05825794</v>
      </c>
      <c r="O115" s="31" cm="1">
        <f t="array" ref="O115">O$106+IF($C115&lt;&gt;0,SUMPRODUCT((O$107:O$108)*TRANSPOSE(($D115:$E115))),0)</f>
        <v>1736564.05825794</v>
      </c>
      <c r="P115" s="31" cm="1">
        <f t="array" ref="P115">P$106+IF($C115&lt;&gt;0,SUMPRODUCT((P$107:P$108)*TRANSPOSE(($D115:$E115))),0)</f>
        <v>1736564.05825794</v>
      </c>
      <c r="Q115" s="31" cm="1">
        <f t="array" ref="Q115">Q$106+IF($C115&lt;&gt;0,SUMPRODUCT((Q$107:Q$108)*TRANSPOSE(($D115:$E115))),0)</f>
        <v>1736564.05825794</v>
      </c>
      <c r="R115" s="31" cm="1">
        <f t="array" ref="R115">R$106+IF($C115&lt;&gt;0,SUMPRODUCT((R$107:R$108)*TRANSPOSE(($D115:$E115))),0)</f>
        <v>1736564.05825794</v>
      </c>
      <c r="S115" s="31" cm="1">
        <f t="array" ref="S115">S$106+IF($C115&lt;&gt;0,SUMPRODUCT((S$107:S$108)*TRANSPOSE(($D115:$E115))),0)</f>
        <v>1736564.05825794</v>
      </c>
      <c r="T115" s="31" cm="1">
        <f t="array" ref="T115">T$106+IF($C115&lt;&gt;0,SUMPRODUCT((T$107:T$108)*TRANSPOSE(($D115:$E115))),0)</f>
        <v>1736564.05825794</v>
      </c>
      <c r="U115" s="31" cm="1">
        <f t="array" ref="U115">U$106+IF($C115&lt;&gt;0,SUMPRODUCT((U$107:U$108)*TRANSPOSE(($D115:$E115))),0)</f>
        <v>1736564.05825794</v>
      </c>
      <c r="V115" s="31" cm="1">
        <f t="array" ref="V115">V$106+IF($C115&lt;&gt;0,SUMPRODUCT((V$107:V$108)*TRANSPOSE(($D115:$E115))),0)</f>
        <v>1736564.05825794</v>
      </c>
      <c r="W115" s="31" cm="1">
        <f t="array" ref="W115">W$106+IF($C115&lt;&gt;0,SUMPRODUCT((W$107:W$108)*TRANSPOSE(($D115:$E115))),0)</f>
        <v>1736564.05825794</v>
      </c>
      <c r="X115" s="31" cm="1">
        <f t="array" ref="X115">X$106+IF($C115&lt;&gt;0,SUMPRODUCT((X$107:X$108)*TRANSPOSE(($D115:$E115))),0)</f>
        <v>1736564.05825794</v>
      </c>
      <c r="Y115" s="31" cm="1">
        <f t="array" ref="Y115">Y$106+IF($C115&lt;&gt;0,SUMPRODUCT((Y$107:Y$108)*TRANSPOSE(($D115:$E115))),0)</f>
        <v>1736564.05825794</v>
      </c>
      <c r="Z115" s="31" cm="1">
        <f t="array" ref="Z115">Z$106+IF($C115&lt;&gt;0,SUMPRODUCT((Z$107:Z$108)*TRANSPOSE(($D115:$E115))),0)</f>
        <v>1736564.05825794</v>
      </c>
      <c r="AA115" s="31" cm="1">
        <f t="array" ref="AA115">AA$106+IF($C115&lt;&gt;0,SUMPRODUCT((AA$107:AA$108)*TRANSPOSE(($D115:$E115))),0)</f>
        <v>1736564.05825794</v>
      </c>
      <c r="AB115" s="31" cm="1">
        <f t="array" ref="AB115">AB$106+IF($C115&lt;&gt;0,SUMPRODUCT((AB$107:AB$108)*TRANSPOSE(($D115:$E115))),0)</f>
        <v>1736564.05825794</v>
      </c>
      <c r="AC115" s="31" cm="1">
        <f t="array" ref="AC115">AC$106+IF($C115&lt;&gt;0,SUMPRODUCT((AC$107:AC$108)*TRANSPOSE(($D115:$E115))),0)</f>
        <v>1736564.05825794</v>
      </c>
      <c r="AD115" s="31" cm="1">
        <f t="array" ref="AD115">AD$106+IF($C115&lt;&gt;0,SUMPRODUCT((AD$107:AD$108)*TRANSPOSE(($D115:$E115))),0)</f>
        <v>1736564.05825794</v>
      </c>
      <c r="AE115" s="31" cm="1">
        <f t="array" ref="AE115">AE$106+IF($C115&lt;&gt;0,SUMPRODUCT((AE$107:AE$108)*TRANSPOSE(($D115:$E115))),0)</f>
        <v>1736564.05825794</v>
      </c>
      <c r="AF115" s="31" cm="1">
        <f t="array" ref="AF115">AF$106+IF($C115&lt;&gt;0,SUMPRODUCT((AF$107:AF$108)*TRANSPOSE(($D115:$E115))),0)</f>
        <v>1736564.05825794</v>
      </c>
      <c r="AG115" s="31" cm="1">
        <f t="array" ref="AG115">AG$106+IF($C115&lt;&gt;0,SUMPRODUCT((AG$107:AG$108)*TRANSPOSE(($D115:$E115))),0)</f>
        <v>-215305.33046085996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1951869.3887187999</v>
      </c>
      <c r="J116" s="31" cm="1">
        <f t="array" ref="J116">J$106+IF($C116&lt;&gt;0,SUMPRODUCT((J$107:J$108)*TRANSPOSE(($D116:$E116))),0)</f>
        <v>1736564.05825794</v>
      </c>
      <c r="K116" s="31" cm="1">
        <f t="array" ref="K116">K$106+IF($C116&lt;&gt;0,SUMPRODUCT((K$107:K$108)*TRANSPOSE(($D116:$E116))),0)</f>
        <v>1736564.05825794</v>
      </c>
      <c r="L116" s="31" cm="1">
        <f t="array" ref="L116">L$106+IF($C116&lt;&gt;0,SUMPRODUCT((L$107:L$108)*TRANSPOSE(($D116:$E116))),0)</f>
        <v>1736564.05825794</v>
      </c>
      <c r="M116" s="31" cm="1">
        <f t="array" ref="M116">M$106+IF($C116&lt;&gt;0,SUMPRODUCT((M$107:M$108)*TRANSPOSE(($D116:$E116))),0)</f>
        <v>1736564.05825794</v>
      </c>
      <c r="N116" s="31" cm="1">
        <f t="array" ref="N116">N$106+IF($C116&lt;&gt;0,SUMPRODUCT((N$107:N$108)*TRANSPOSE(($D116:$E116))),0)</f>
        <v>1736564.05825794</v>
      </c>
      <c r="O116" s="31" cm="1">
        <f t="array" ref="O116">O$106+IF($C116&lt;&gt;0,SUMPRODUCT((O$107:O$108)*TRANSPOSE(($D116:$E116))),0)</f>
        <v>1736564.05825794</v>
      </c>
      <c r="P116" s="31" cm="1">
        <f t="array" ref="P116">P$106+IF($C116&lt;&gt;0,SUMPRODUCT((P$107:P$108)*TRANSPOSE(($D116:$E116))),0)</f>
        <v>1736564.05825794</v>
      </c>
      <c r="Q116" s="31" cm="1">
        <f t="array" ref="Q116">Q$106+IF($C116&lt;&gt;0,SUMPRODUCT((Q$107:Q$108)*TRANSPOSE(($D116:$E116))),0)</f>
        <v>1736564.05825794</v>
      </c>
      <c r="R116" s="31" cm="1">
        <f t="array" ref="R116">R$106+IF($C116&lt;&gt;0,SUMPRODUCT((R$107:R$108)*TRANSPOSE(($D116:$E116))),0)</f>
        <v>1736564.05825794</v>
      </c>
      <c r="S116" s="31" cm="1">
        <f t="array" ref="S116">S$106+IF($C116&lt;&gt;0,SUMPRODUCT((S$107:S$108)*TRANSPOSE(($D116:$E116))),0)</f>
        <v>1736564.05825794</v>
      </c>
      <c r="T116" s="31" cm="1">
        <f t="array" ref="T116">T$106+IF($C116&lt;&gt;0,SUMPRODUCT((T$107:T$108)*TRANSPOSE(($D116:$E116))),0)</f>
        <v>1736564.05825794</v>
      </c>
      <c r="U116" s="31" cm="1">
        <f t="array" ref="U116">U$106+IF($C116&lt;&gt;0,SUMPRODUCT((U$107:U$108)*TRANSPOSE(($D116:$E116))),0)</f>
        <v>1736564.05825794</v>
      </c>
      <c r="V116" s="31" cm="1">
        <f t="array" ref="V116">V$106+IF($C116&lt;&gt;0,SUMPRODUCT((V$107:V$108)*TRANSPOSE(($D116:$E116))),0)</f>
        <v>1736564.05825794</v>
      </c>
      <c r="W116" s="31" cm="1">
        <f t="array" ref="W116">W$106+IF($C116&lt;&gt;0,SUMPRODUCT((W$107:W$108)*TRANSPOSE(($D116:$E116))),0)</f>
        <v>1736564.05825794</v>
      </c>
      <c r="X116" s="31" cm="1">
        <f t="array" ref="X116">X$106+IF($C116&lt;&gt;0,SUMPRODUCT((X$107:X$108)*TRANSPOSE(($D116:$E116))),0)</f>
        <v>1736564.05825794</v>
      </c>
      <c r="Y116" s="31" cm="1">
        <f t="array" ref="Y116">Y$106+IF($C116&lt;&gt;0,SUMPRODUCT((Y$107:Y$108)*TRANSPOSE(($D116:$E116))),0)</f>
        <v>1736564.05825794</v>
      </c>
      <c r="Z116" s="31" cm="1">
        <f t="array" ref="Z116">Z$106+IF($C116&lt;&gt;0,SUMPRODUCT((Z$107:Z$108)*TRANSPOSE(($D116:$E116))),0)</f>
        <v>1736564.05825794</v>
      </c>
      <c r="AA116" s="31" cm="1">
        <f t="array" ref="AA116">AA$106+IF($C116&lt;&gt;0,SUMPRODUCT((AA$107:AA$108)*TRANSPOSE(($D116:$E116))),0)</f>
        <v>1736564.05825794</v>
      </c>
      <c r="AB116" s="31" cm="1">
        <f t="array" ref="AB116">AB$106+IF($C116&lt;&gt;0,SUMPRODUCT((AB$107:AB$108)*TRANSPOSE(($D116:$E116))),0)</f>
        <v>1736564.05825794</v>
      </c>
      <c r="AC116" s="31" cm="1">
        <f t="array" ref="AC116">AC$106+IF($C116&lt;&gt;0,SUMPRODUCT((AC$107:AC$108)*TRANSPOSE(($D116:$E116))),0)</f>
        <v>1736564.05825794</v>
      </c>
      <c r="AD116" s="31" cm="1">
        <f t="array" ref="AD116">AD$106+IF($C116&lt;&gt;0,SUMPRODUCT((AD$107:AD$108)*TRANSPOSE(($D116:$E116))),0)</f>
        <v>1736564.05825794</v>
      </c>
      <c r="AE116" s="31" cm="1">
        <f t="array" ref="AE116">AE$106+IF($C116&lt;&gt;0,SUMPRODUCT((AE$107:AE$108)*TRANSPOSE(($D116:$E116))),0)</f>
        <v>1736564.05825794</v>
      </c>
      <c r="AF116" s="31" cm="1">
        <f t="array" ref="AF116">AF$106+IF($C116&lt;&gt;0,SUMPRODUCT((AF$107:AF$108)*TRANSPOSE(($D116:$E116))),0)</f>
        <v>1736564.05825794</v>
      </c>
      <c r="AG116" s="31" cm="1">
        <f t="array" ref="AG116">AG$106+IF($C116&lt;&gt;0,SUMPRODUCT((AG$107:AG$108)*TRANSPOSE(($D116:$E116))),0)</f>
        <v>-215305.33046085996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1951869.3887187999</v>
      </c>
      <c r="J117" s="31" cm="1">
        <f t="array" ref="J117">J$106+IF($C117&lt;&gt;0,SUMPRODUCT((J$107:J$108)*TRANSPOSE(($D117:$E117))),0)</f>
        <v>1736564.05825794</v>
      </c>
      <c r="K117" s="31" cm="1">
        <f t="array" ref="K117">K$106+IF($C117&lt;&gt;0,SUMPRODUCT((K$107:K$108)*TRANSPOSE(($D117:$E117))),0)</f>
        <v>1736564.05825794</v>
      </c>
      <c r="L117" s="31" cm="1">
        <f t="array" ref="L117">L$106+IF($C117&lt;&gt;0,SUMPRODUCT((L$107:L$108)*TRANSPOSE(($D117:$E117))),0)</f>
        <v>1736564.05825794</v>
      </c>
      <c r="M117" s="31" cm="1">
        <f t="array" ref="M117">M$106+IF($C117&lt;&gt;0,SUMPRODUCT((M$107:M$108)*TRANSPOSE(($D117:$E117))),0)</f>
        <v>1736564.05825794</v>
      </c>
      <c r="N117" s="31" cm="1">
        <f t="array" ref="N117">N$106+IF($C117&lt;&gt;0,SUMPRODUCT((N$107:N$108)*TRANSPOSE(($D117:$E117))),0)</f>
        <v>1736564.05825794</v>
      </c>
      <c r="O117" s="31" cm="1">
        <f t="array" ref="O117">O$106+IF($C117&lt;&gt;0,SUMPRODUCT((O$107:O$108)*TRANSPOSE(($D117:$E117))),0)</f>
        <v>1736564.05825794</v>
      </c>
      <c r="P117" s="31" cm="1">
        <f t="array" ref="P117">P$106+IF($C117&lt;&gt;0,SUMPRODUCT((P$107:P$108)*TRANSPOSE(($D117:$E117))),0)</f>
        <v>1736564.05825794</v>
      </c>
      <c r="Q117" s="31" cm="1">
        <f t="array" ref="Q117">Q$106+IF($C117&lt;&gt;0,SUMPRODUCT((Q$107:Q$108)*TRANSPOSE(($D117:$E117))),0)</f>
        <v>1736564.05825794</v>
      </c>
      <c r="R117" s="31" cm="1">
        <f t="array" ref="R117">R$106+IF($C117&lt;&gt;0,SUMPRODUCT((R$107:R$108)*TRANSPOSE(($D117:$E117))),0)</f>
        <v>1736564.05825794</v>
      </c>
      <c r="S117" s="31" cm="1">
        <f t="array" ref="S117">S$106+IF($C117&lt;&gt;0,SUMPRODUCT((S$107:S$108)*TRANSPOSE(($D117:$E117))),0)</f>
        <v>1736564.05825794</v>
      </c>
      <c r="T117" s="31" cm="1">
        <f t="array" ref="T117">T$106+IF($C117&lt;&gt;0,SUMPRODUCT((T$107:T$108)*TRANSPOSE(($D117:$E117))),0)</f>
        <v>1736564.05825794</v>
      </c>
      <c r="U117" s="31" cm="1">
        <f t="array" ref="U117">U$106+IF($C117&lt;&gt;0,SUMPRODUCT((U$107:U$108)*TRANSPOSE(($D117:$E117))),0)</f>
        <v>1736564.05825794</v>
      </c>
      <c r="V117" s="31" cm="1">
        <f t="array" ref="V117">V$106+IF($C117&lt;&gt;0,SUMPRODUCT((V$107:V$108)*TRANSPOSE(($D117:$E117))),0)</f>
        <v>1736564.05825794</v>
      </c>
      <c r="W117" s="31" cm="1">
        <f t="array" ref="W117">W$106+IF($C117&lt;&gt;0,SUMPRODUCT((W$107:W$108)*TRANSPOSE(($D117:$E117))),0)</f>
        <v>1736564.05825794</v>
      </c>
      <c r="X117" s="31" cm="1">
        <f t="array" ref="X117">X$106+IF($C117&lt;&gt;0,SUMPRODUCT((X$107:X$108)*TRANSPOSE(($D117:$E117))),0)</f>
        <v>1736564.05825794</v>
      </c>
      <c r="Y117" s="31" cm="1">
        <f t="array" ref="Y117">Y$106+IF($C117&lt;&gt;0,SUMPRODUCT((Y$107:Y$108)*TRANSPOSE(($D117:$E117))),0)</f>
        <v>1736564.05825794</v>
      </c>
      <c r="Z117" s="31" cm="1">
        <f t="array" ref="Z117">Z$106+IF($C117&lt;&gt;0,SUMPRODUCT((Z$107:Z$108)*TRANSPOSE(($D117:$E117))),0)</f>
        <v>1736564.05825794</v>
      </c>
      <c r="AA117" s="31" cm="1">
        <f t="array" ref="AA117">AA$106+IF($C117&lt;&gt;0,SUMPRODUCT((AA$107:AA$108)*TRANSPOSE(($D117:$E117))),0)</f>
        <v>1736564.05825794</v>
      </c>
      <c r="AB117" s="31" cm="1">
        <f t="array" ref="AB117">AB$106+IF($C117&lt;&gt;0,SUMPRODUCT((AB$107:AB$108)*TRANSPOSE(($D117:$E117))),0)</f>
        <v>1736564.05825794</v>
      </c>
      <c r="AC117" s="31" cm="1">
        <f t="array" ref="AC117">AC$106+IF($C117&lt;&gt;0,SUMPRODUCT((AC$107:AC$108)*TRANSPOSE(($D117:$E117))),0)</f>
        <v>1736564.05825794</v>
      </c>
      <c r="AD117" s="31" cm="1">
        <f t="array" ref="AD117">AD$106+IF($C117&lt;&gt;0,SUMPRODUCT((AD$107:AD$108)*TRANSPOSE(($D117:$E117))),0)</f>
        <v>1736564.05825794</v>
      </c>
      <c r="AE117" s="31" cm="1">
        <f t="array" ref="AE117">AE$106+IF($C117&lt;&gt;0,SUMPRODUCT((AE$107:AE$108)*TRANSPOSE(($D117:$E117))),0)</f>
        <v>1736564.05825794</v>
      </c>
      <c r="AF117" s="31" cm="1">
        <f t="array" ref="AF117">AF$106+IF($C117&lt;&gt;0,SUMPRODUCT((AF$107:AF$108)*TRANSPOSE(($D117:$E117))),0)</f>
        <v>1736564.05825794</v>
      </c>
      <c r="AG117" s="31" cm="1">
        <f t="array" ref="AG117">AG$106+IF($C117&lt;&gt;0,SUMPRODUCT((AG$107:AG$108)*TRANSPOSE(($D117:$E117))),0)</f>
        <v>-215305.33046085996</v>
      </c>
    </row>
    <row r="118" spans="1:33" x14ac:dyDescent="0.3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3">
      <c r="I129" s="248"/>
      <c r="J129" s="248"/>
      <c r="K129" s="248"/>
      <c r="L129" s="248"/>
    </row>
    <row r="130" spans="9:12" x14ac:dyDescent="0.3">
      <c r="I130" s="248"/>
      <c r="J130" s="248"/>
      <c r="K130" s="248"/>
      <c r="L130" s="248"/>
    </row>
    <row r="131" spans="9:12" x14ac:dyDescent="0.3">
      <c r="I131" s="248"/>
      <c r="J131" s="248"/>
      <c r="K131" s="248"/>
      <c r="L131" s="248"/>
    </row>
    <row r="132" spans="9:12" x14ac:dyDescent="0.3">
      <c r="I132" s="248"/>
      <c r="J132" s="248"/>
      <c r="K132" s="248"/>
      <c r="L132" s="248"/>
    </row>
    <row r="133" spans="9:12" x14ac:dyDescent="0.3">
      <c r="I133" s="248"/>
      <c r="J133" s="248"/>
      <c r="K133" s="248"/>
      <c r="L133" s="248"/>
    </row>
    <row r="134" spans="9:12" x14ac:dyDescent="0.3">
      <c r="I134" s="248"/>
      <c r="J134" s="248"/>
      <c r="K134" s="248"/>
      <c r="L134" s="248"/>
    </row>
    <row r="135" spans="9:12" x14ac:dyDescent="0.3">
      <c r="I135" s="248"/>
      <c r="J135" s="248"/>
      <c r="K135" s="248"/>
      <c r="L135" s="248"/>
    </row>
    <row r="136" spans="9:12" x14ac:dyDescent="0.3">
      <c r="I136" s="248"/>
      <c r="J136" s="248"/>
      <c r="K136" s="248"/>
      <c r="L136" s="248"/>
    </row>
  </sheetData>
  <conditionalFormatting sqref="E14">
    <cfRule type="expression" dxfId="14" priority="1">
      <formula>AND(SUM($I14:$AB14)&lt;&gt;0, E14=0)</formula>
    </cfRule>
  </conditionalFormatting>
  <conditionalFormatting sqref="E15:E16">
    <cfRule type="expression" dxfId="13" priority="2">
      <formula>AND(SUM($I15:$AB15)&lt;&gt;0, E15=0)</formula>
    </cfRule>
  </conditionalFormatting>
  <conditionalFormatting sqref="E28">
    <cfRule type="expression" dxfId="12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133</v>
      </c>
      <c r="B3" s="5"/>
      <c r="C3" s="200" t="str">
        <f>INDEX(Assumptions!$E$14:$E$18, MATCH(A3,_xlfn.ANCHORARRAY( Assumptions!$C$14),0))</f>
        <v>Replace all CRO inoperatble RMUs over 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293</v>
      </c>
      <c r="D14"/>
      <c r="E14" s="148">
        <v>55</v>
      </c>
      <c r="F14" s="346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1030120</v>
      </c>
      <c r="J14" s="32">
        <f>INDEX(Workings_costs!L$23:L$75, MATCH($A$3&amp;$F14, Workings_costs!$G$23:$G$75,0))</f>
        <v>1030120</v>
      </c>
      <c r="K14" s="32">
        <f>INDEX(Workings_costs!M$23:M$75, MATCH($A$3&amp;$F14, Workings_costs!$G$23:$G$75,0))</f>
        <v>1030120</v>
      </c>
      <c r="L14" s="32">
        <f>INDEX(Workings_costs!N$23:N$75, MATCH($A$3&amp;$F14, Workings_costs!$G$23:$G$75,0))</f>
        <v>1030120</v>
      </c>
      <c r="M14" s="32">
        <f>INDEX(Workings_costs!O$23:O$75, MATCH($A$3&amp;$F14, Workings_costs!$G$23:$G$75,0))</f>
        <v>1030120</v>
      </c>
      <c r="N14" s="32">
        <f>INDEX(Workings_costs!P$23:P$75, MATCH($A$3&amp;$F14, Workings_costs!$G$23:$G$75,0))</f>
        <v>73580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6"/>
      <c r="G17" s="207">
        <f>input_dollars</f>
        <v>45291</v>
      </c>
      <c r="H17" s="107"/>
      <c r="I17" s="106">
        <f t="shared" ref="I17:Q17" si="0">SUM(I14:I16)</f>
        <v>1030120</v>
      </c>
      <c r="J17" s="106">
        <f t="shared" si="0"/>
        <v>1030120</v>
      </c>
      <c r="K17" s="106">
        <f t="shared" si="0"/>
        <v>1030120</v>
      </c>
      <c r="L17" s="106">
        <f t="shared" si="0"/>
        <v>1030120</v>
      </c>
      <c r="M17" s="106">
        <f t="shared" si="0"/>
        <v>1030120</v>
      </c>
      <c r="N17" s="106">
        <f t="shared" si="0"/>
        <v>73580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3">
      <c r="G20" s="205"/>
      <c r="AH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Workings_risks!I56</f>
        <v>1566993.7346052337</v>
      </c>
      <c r="J28" s="119">
        <f>Workings_risks!J56</f>
        <v>1182118.0804916674</v>
      </c>
      <c r="K28" s="119">
        <f>Workings_risks!K56</f>
        <v>797242.42637810146</v>
      </c>
      <c r="L28" s="119">
        <f>Workings_risks!L56</f>
        <v>412366.77226453519</v>
      </c>
      <c r="M28" s="119">
        <f>Workings_risks!M56</f>
        <v>27491.118150969014</v>
      </c>
      <c r="N28" s="119">
        <f>Workings_risks!N56</f>
        <v>0</v>
      </c>
      <c r="O28" s="119">
        <f>Workings_risks!O56</f>
        <v>0</v>
      </c>
      <c r="P28" s="119">
        <f>Workings_risks!P56</f>
        <v>0</v>
      </c>
      <c r="Q28" s="119">
        <f>Workings_risks!Q56</f>
        <v>0</v>
      </c>
      <c r="R28" s="119">
        <f>Workings_risks!R56</f>
        <v>0</v>
      </c>
      <c r="S28" s="119">
        <f>Workings_risks!S56</f>
        <v>0</v>
      </c>
      <c r="T28" s="119">
        <f>Workings_risks!T56</f>
        <v>0</v>
      </c>
      <c r="U28" s="119">
        <f>Workings_risks!U56</f>
        <v>0</v>
      </c>
      <c r="V28" s="119">
        <f>Workings_risks!V56</f>
        <v>0</v>
      </c>
      <c r="W28" s="119">
        <f>Workings_risks!W56</f>
        <v>0</v>
      </c>
      <c r="X28" s="119">
        <f>Workings_risks!X56</f>
        <v>0</v>
      </c>
      <c r="Y28" s="119">
        <f>Workings_risks!Y56</f>
        <v>0</v>
      </c>
      <c r="Z28" s="119">
        <f>Workings_risks!Z56</f>
        <v>0</v>
      </c>
      <c r="AA28" s="119">
        <f>Workings_risks!AA56</f>
        <v>0</v>
      </c>
      <c r="AB28" s="119">
        <f>Workings_risks!AB56</f>
        <v>0</v>
      </c>
      <c r="AC28" s="119">
        <f>Workings_risks!AC56</f>
        <v>0</v>
      </c>
      <c r="AD28" s="119">
        <f>Workings_risks!AD56</f>
        <v>0</v>
      </c>
      <c r="AE28" s="119">
        <f>Workings_risks!AE56</f>
        <v>0</v>
      </c>
      <c r="AF28" s="119">
        <f>Workings_risks!AF56</f>
        <v>0</v>
      </c>
      <c r="AG28" s="119">
        <f>Workings_risks!AG56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202</v>
      </c>
      <c r="F30" s="346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243</v>
      </c>
      <c r="D31" s="206"/>
      <c r="E31"/>
      <c r="F31" s="346" t="s">
        <v>243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272</v>
      </c>
      <c r="D32" s="205" t="s">
        <v>202</v>
      </c>
      <c r="E32"/>
      <c r="F32" s="346" t="s">
        <v>280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273</v>
      </c>
      <c r="D33" s="219"/>
      <c r="E33"/>
      <c r="F33" s="346" t="s">
        <v>244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167</v>
      </c>
      <c r="D36" s="218"/>
      <c r="E36" s="107"/>
      <c r="F36" s="3"/>
      <c r="G36" s="209"/>
      <c r="H36" s="107"/>
      <c r="I36" s="170">
        <f t="shared" ref="I36:AG36" si="2">SUM(I28:I34)</f>
        <v>1566993.7346052337</v>
      </c>
      <c r="J36" s="170">
        <f t="shared" si="2"/>
        <v>1182118.0804916674</v>
      </c>
      <c r="K36" s="170">
        <f t="shared" si="2"/>
        <v>797242.42637810146</v>
      </c>
      <c r="L36" s="170">
        <f t="shared" si="2"/>
        <v>412366.77226453519</v>
      </c>
      <c r="M36" s="170">
        <f t="shared" si="2"/>
        <v>27491.118150969014</v>
      </c>
      <c r="N36" s="170">
        <f t="shared" si="2"/>
        <v>0</v>
      </c>
      <c r="O36" s="170">
        <f t="shared" si="2"/>
        <v>0</v>
      </c>
      <c r="P36" s="170">
        <f t="shared" si="2"/>
        <v>0</v>
      </c>
      <c r="Q36" s="170">
        <f t="shared" si="2"/>
        <v>0</v>
      </c>
      <c r="R36" s="170">
        <f t="shared" si="2"/>
        <v>0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x14ac:dyDescent="0.3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3">
      <c r="D56" s="205"/>
      <c r="G56" s="205"/>
      <c r="AH56"/>
    </row>
    <row r="57" spans="1:43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384875.65411356627</v>
      </c>
      <c r="J64" s="132">
        <f>(1-INDEX(Data!$C$9:$C$13, MATCH($A$3, options,0)))*('Option1 (base case)'!J36-J36)</f>
        <v>769751.30822713254</v>
      </c>
      <c r="K64" s="132">
        <f>(1-INDEX(Data!$C$9:$C$13, MATCH($A$3, options,0)))*('Option1 (base case)'!K36-K36)</f>
        <v>1154626.9623406986</v>
      </c>
      <c r="L64" s="132">
        <f>(1-INDEX(Data!$C$9:$C$13, MATCH($A$3, options,0)))*('Option1 (base case)'!L36-L36)</f>
        <v>1539502.6164542646</v>
      </c>
      <c r="M64" s="132">
        <f>(1-INDEX(Data!$C$9:$C$13, MATCH($A$3, options,0)))*('Option1 (base case)'!M36-M36)</f>
        <v>1924378.2705678309</v>
      </c>
      <c r="N64" s="132">
        <f>(1-INDEX(Data!$C$9:$C$13, MATCH($A$3, options,0)))*('Option1 (base case)'!N36-N36)</f>
        <v>1951869.3887187999</v>
      </c>
      <c r="O64" s="132">
        <f>(1-INDEX(Data!$C$9:$C$13, MATCH($A$3, options,0)))*('Option1 (base case)'!O36-O36)</f>
        <v>1951869.3887187999</v>
      </c>
      <c r="P64" s="132">
        <f>(1-INDEX(Data!$C$9:$C$13, MATCH($A$3, options,0)))*('Option1 (base case)'!P36-P36)</f>
        <v>1951869.3887187999</v>
      </c>
      <c r="Q64" s="132">
        <f>(1-INDEX(Data!$C$9:$C$13, MATCH($A$3, options,0)))*('Option1 (base case)'!Q36-Q36)</f>
        <v>1951869.3887187999</v>
      </c>
      <c r="R64" s="132">
        <f>(1-INDEX(Data!$C$9:$C$13, MATCH($A$3, options,0)))*('Option1 (base case)'!R36-R36)</f>
        <v>1951869.3887187999</v>
      </c>
      <c r="S64" s="132">
        <f>(1-INDEX(Data!$C$9:$C$13, MATCH($A$3, options,0)))*('Option1 (base case)'!S36-S36)</f>
        <v>1951869.3887187999</v>
      </c>
      <c r="T64" s="132">
        <f>(1-INDEX(Data!$C$9:$C$13, MATCH($A$3, options,0)))*('Option1 (base case)'!T36-T36)</f>
        <v>1951869.3887187999</v>
      </c>
      <c r="U64" s="132">
        <f>(1-INDEX(Data!$C$9:$C$13, MATCH($A$3, options,0)))*('Option1 (base case)'!U36-U36)</f>
        <v>1951869.3887187999</v>
      </c>
      <c r="V64" s="132">
        <f>(1-INDEX(Data!$C$9:$C$13, MATCH($A$3, options,0)))*('Option1 (base case)'!V36-V36)</f>
        <v>1951869.3887187999</v>
      </c>
      <c r="W64" s="132">
        <f>(1-INDEX(Data!$C$9:$C$13, MATCH($A$3, options,0)))*('Option1 (base case)'!W36-W36)</f>
        <v>1951869.3887187999</v>
      </c>
      <c r="X64" s="132">
        <f>(1-INDEX(Data!$C$9:$C$13, MATCH($A$3, options,0)))*('Option1 (base case)'!X36-X36)</f>
        <v>1951869.3887187999</v>
      </c>
      <c r="Y64" s="132">
        <f>(1-INDEX(Data!$C$9:$C$13, MATCH($A$3, options,0)))*('Option1 (base case)'!Y36-Y36)</f>
        <v>1951869.3887187999</v>
      </c>
      <c r="Z64" s="132">
        <f>(1-INDEX(Data!$C$9:$C$13, MATCH($A$3, options,0)))*('Option1 (base case)'!Z36-Z36)</f>
        <v>1951869.3887187999</v>
      </c>
      <c r="AA64" s="132">
        <f>(1-INDEX(Data!$C$9:$C$13, MATCH($A$3, options,0)))*('Option1 (base case)'!AA36-AA36)</f>
        <v>1951869.3887187999</v>
      </c>
      <c r="AB64" s="132">
        <f>(1-INDEX(Data!$C$9:$C$13, MATCH($A$3, options,0)))*('Option1 (base case)'!AB36-AB36)</f>
        <v>1951869.3887187999</v>
      </c>
      <c r="AC64" s="132">
        <f>(1-INDEX(Data!$C$9:$C$13, MATCH($A$3, options,0)))*('Option1 (base case)'!AC36-AC36)</f>
        <v>1951869.3887187999</v>
      </c>
      <c r="AD64" s="132">
        <f>(1-INDEX(Data!$C$9:$C$13, MATCH($A$3, options,0)))*('Option1 (base case)'!AD36-AD36)</f>
        <v>1951869.3887187999</v>
      </c>
      <c r="AE64" s="132">
        <f>(1-INDEX(Data!$C$9:$C$13, MATCH($A$3, options,0)))*('Option1 (base case)'!AE36-AE36)</f>
        <v>1951869.3887187999</v>
      </c>
      <c r="AF64" s="132">
        <f>(1-INDEX(Data!$C$9:$C$13, MATCH($A$3, options,0)))*('Option1 (base case)'!AF36-AF36)</f>
        <v>1951869.3887187999</v>
      </c>
      <c r="AG64" s="132">
        <f>(1-INDEX(Data!$C$9:$C$13, MATCH($A$3, options,0)))*('Option1 (base case)'!AG36-AG36)</f>
        <v>0</v>
      </c>
      <c r="AH64"/>
    </row>
    <row r="65" spans="1:34" x14ac:dyDescent="0.3">
      <c r="G65" s="212"/>
      <c r="AH65"/>
    </row>
    <row r="66" spans="1:34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3">
      <c r="A67" s="8"/>
      <c r="B67" s="8"/>
      <c r="C67" s="4" t="str">
        <f>C14</f>
        <v>Replacement of air break switches over 5 year</v>
      </c>
      <c r="D67" s="38"/>
      <c r="F67" s="97"/>
      <c r="G67" s="210">
        <f>input_dollars</f>
        <v>45291</v>
      </c>
      <c r="H67" s="31"/>
      <c r="I67" s="119">
        <f t="shared" ref="I67:AG67" si="4">-I14</f>
        <v>-1030120</v>
      </c>
      <c r="J67" s="119">
        <f t="shared" si="4"/>
        <v>-1030120</v>
      </c>
      <c r="K67" s="119">
        <f t="shared" si="4"/>
        <v>-1030120</v>
      </c>
      <c r="L67" s="119">
        <f t="shared" si="4"/>
        <v>-1030120</v>
      </c>
      <c r="M67" s="119">
        <f t="shared" si="4"/>
        <v>-1030120</v>
      </c>
      <c r="N67" s="119">
        <f t="shared" si="4"/>
        <v>-73580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3">
      <c r="A72" s="8"/>
      <c r="B72" s="8"/>
      <c r="C72" s="4" t="str">
        <f>C14</f>
        <v>Replacement of air break switches over 5 year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-1030120</v>
      </c>
      <c r="J72" s="119" cm="1">
        <f t="array" ref="J72">SUMPRODUCT(($I67:J67))-SUMPRODUCT(($I67:J67)*($I$6:J$6&lt;=(J$6-$E14)))</f>
        <v>-2060240</v>
      </c>
      <c r="K72" s="119" cm="1">
        <f t="array" ref="K72">SUMPRODUCT(($I67:K67))-SUMPRODUCT(($I67:K67)*($I$6:K$6&lt;=(K$6-$E14)))</f>
        <v>-3090360</v>
      </c>
      <c r="L72" s="119" cm="1">
        <f t="array" ref="L72">SUMPRODUCT(($I67:L67))-SUMPRODUCT(($I67:L67)*($I$6:L$6&lt;=(L$6-$E14)))</f>
        <v>-4120480</v>
      </c>
      <c r="M72" s="119" cm="1">
        <f t="array" ref="M72">SUMPRODUCT(($I67:M67))-SUMPRODUCT(($I67:M67)*($I$6:M$6&lt;=(M$6-$E14)))</f>
        <v>-5150600</v>
      </c>
      <c r="N72" s="119" cm="1">
        <f t="array" ref="N72">SUMPRODUCT(($I67:N67))-SUMPRODUCT(($I67:N67)*($I$6:N$6&lt;=(N$6-$E14)))</f>
        <v>-5224180</v>
      </c>
      <c r="O72" s="119" cm="1">
        <f t="array" ref="O72">SUMPRODUCT(($I67:O67))-SUMPRODUCT(($I67:O67)*($I$6:O$6&lt;=(O$6-$E14)))</f>
        <v>-5224180</v>
      </c>
      <c r="P72" s="119" cm="1">
        <f t="array" ref="P72">SUMPRODUCT(($I67:P67))-SUMPRODUCT(($I67:P67)*($I$6:P$6&lt;=(P$6-$E14)))</f>
        <v>-5224180</v>
      </c>
      <c r="Q72" s="119" cm="1">
        <f t="array" ref="Q72">SUMPRODUCT(($I67:Q67))-SUMPRODUCT(($I67:Q67)*($I$6:Q$6&lt;=(Q$6-$E14)))</f>
        <v>-5224180</v>
      </c>
      <c r="R72" s="119" cm="1">
        <f t="array" ref="R72">SUMPRODUCT(($I67:R67))-SUMPRODUCT(($I67:R67)*($I$6:R$6&lt;=(R$6-$E14)))</f>
        <v>-5224180</v>
      </c>
      <c r="S72" s="119" cm="1">
        <f t="array" ref="S72">SUMPRODUCT(($I67:S67))-SUMPRODUCT(($I67:S67)*($I$6:S$6&lt;=(S$6-$E14)))</f>
        <v>-5224180</v>
      </c>
      <c r="T72" s="119" cm="1">
        <f t="array" ref="T72">SUMPRODUCT(($I67:T67))-SUMPRODUCT(($I67:T67)*($I$6:T$6&lt;=(T$6-$E14)))</f>
        <v>-5224180</v>
      </c>
      <c r="U72" s="119" cm="1">
        <f t="array" ref="U72">SUMPRODUCT(($I67:U67))-SUMPRODUCT(($I67:U67)*($I$6:U$6&lt;=(U$6-$E14)))</f>
        <v>-5224180</v>
      </c>
      <c r="V72" s="119" cm="1">
        <f t="array" ref="V72">SUMPRODUCT(($I67:V67))-SUMPRODUCT(($I67:V67)*($I$6:V$6&lt;=(V$6-$E14)))</f>
        <v>-5224180</v>
      </c>
      <c r="W72" s="119" cm="1">
        <f t="array" ref="W72">SUMPRODUCT(($I67:W67))-SUMPRODUCT(($I67:W67)*($I$6:W$6&lt;=(W$6-$E14)))</f>
        <v>-5224180</v>
      </c>
      <c r="X72" s="119" cm="1">
        <f t="array" ref="X72">SUMPRODUCT(($I67:X67))-SUMPRODUCT(($I67:X67)*($I$6:X$6&lt;=(X$6-$E14)))</f>
        <v>-5224180</v>
      </c>
      <c r="Y72" s="119" cm="1">
        <f t="array" ref="Y72">SUMPRODUCT(($I67:Y67))-SUMPRODUCT(($I67:Y67)*($I$6:Y$6&lt;=(Y$6-$E14)))</f>
        <v>-5224180</v>
      </c>
      <c r="Z72" s="119" cm="1">
        <f t="array" ref="Z72">SUMPRODUCT(($I67:Z67))-SUMPRODUCT(($I67:Z67)*($I$6:Z$6&lt;=(Z$6-$E14)))</f>
        <v>-5224180</v>
      </c>
      <c r="AA72" s="119" cm="1">
        <f t="array" ref="AA72">SUMPRODUCT(($I67:AA67))-SUMPRODUCT(($I67:AA67)*($I$6:AA$6&lt;=(AA$6-$E14)))</f>
        <v>-5224180</v>
      </c>
      <c r="AB72" s="119" cm="1">
        <f t="array" ref="AB72">SUMPRODUCT(($I67:AB67))-SUMPRODUCT(($I67:AB67)*($I$6:AB$6&lt;=(AB$6-$E14)))</f>
        <v>-5224180</v>
      </c>
      <c r="AC72" s="119" cm="1">
        <f t="array" ref="AC72">SUMPRODUCT(($I67:AC67))-SUMPRODUCT(($I67:AC67)*($I$6:AC$6&lt;=(AC$6-$E14)))</f>
        <v>-5224180</v>
      </c>
      <c r="AD72" s="119" cm="1">
        <f t="array" ref="AD72">SUMPRODUCT(($I67:AD67))-SUMPRODUCT(($I67:AD67)*($I$6:AD$6&lt;=(AD$6-$E14)))</f>
        <v>-5224180</v>
      </c>
      <c r="AE72" s="119" cm="1">
        <f t="array" ref="AE72">SUMPRODUCT(($I67:AE67))-SUMPRODUCT(($I67:AE67)*($I$6:AE$6&lt;=(AE$6-$E14)))</f>
        <v>-5224180</v>
      </c>
      <c r="AF72" s="119" cm="1">
        <f t="array" ref="AF72">SUMPRODUCT(($I67:AF67))-SUMPRODUCT(($I67:AF67)*($I$6:AF$6&lt;=(AF$6-$E14)))</f>
        <v>-5224180</v>
      </c>
      <c r="AG72" s="119" cm="1">
        <f t="array" ref="AG72">SUMPRODUCT(($I67:AG67))-SUMPRODUCT(($I67:AG67)*($I$6:AG$6&lt;=(AG$6-$E14)))</f>
        <v>-5224180</v>
      </c>
      <c r="AH72"/>
    </row>
    <row r="73" spans="1:34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3">
      <c r="A77" s="8"/>
      <c r="B77" s="8"/>
      <c r="C77" s="4" t="str">
        <f>$C$76&amp;" - "&amp;C14</f>
        <v>Annualised capex - Replacement of air break switches over 5 year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-42454.572203549847</v>
      </c>
      <c r="K77" s="119">
        <f t="shared" si="7"/>
        <v>-84909.144407099695</v>
      </c>
      <c r="L77" s="119">
        <f t="shared" si="7"/>
        <v>-127363.71661064956</v>
      </c>
      <c r="M77" s="119">
        <f t="shared" si="7"/>
        <v>-169818.28881419939</v>
      </c>
      <c r="N77" s="119">
        <f t="shared" si="7"/>
        <v>-212272.86101774927</v>
      </c>
      <c r="O77" s="119">
        <f t="shared" si="7"/>
        <v>-215305.33046085996</v>
      </c>
      <c r="P77" s="119">
        <f t="shared" si="7"/>
        <v>-215305.33046085996</v>
      </c>
      <c r="Q77" s="119">
        <f t="shared" si="7"/>
        <v>-215305.33046085996</v>
      </c>
      <c r="R77" s="119">
        <f t="shared" si="7"/>
        <v>-215305.33046085996</v>
      </c>
      <c r="S77" s="119">
        <f t="shared" si="7"/>
        <v>-215305.33046085996</v>
      </c>
      <c r="T77" s="119">
        <f t="shared" si="7"/>
        <v>-215305.33046085996</v>
      </c>
      <c r="U77" s="119">
        <f t="shared" si="7"/>
        <v>-215305.33046085996</v>
      </c>
      <c r="V77" s="119">
        <f t="shared" si="7"/>
        <v>-215305.33046085996</v>
      </c>
      <c r="W77" s="119">
        <f t="shared" si="7"/>
        <v>-215305.33046085996</v>
      </c>
      <c r="X77" s="119">
        <f t="shared" si="7"/>
        <v>-215305.33046085996</v>
      </c>
      <c r="Y77" s="119">
        <f t="shared" si="7"/>
        <v>-215305.33046085996</v>
      </c>
      <c r="Z77" s="119">
        <f t="shared" si="7"/>
        <v>-215305.33046085996</v>
      </c>
      <c r="AA77" s="119">
        <f t="shared" si="7"/>
        <v>-215305.33046085996</v>
      </c>
      <c r="AB77" s="119">
        <f t="shared" si="7"/>
        <v>-215305.33046085996</v>
      </c>
      <c r="AC77" s="119">
        <f t="shared" si="7"/>
        <v>-215305.33046085996</v>
      </c>
      <c r="AD77" s="119">
        <f t="shared" si="7"/>
        <v>-215305.33046085996</v>
      </c>
      <c r="AE77" s="119">
        <f t="shared" si="7"/>
        <v>-215305.33046085996</v>
      </c>
      <c r="AF77" s="119">
        <f t="shared" si="7"/>
        <v>-215305.33046085996</v>
      </c>
      <c r="AG77" s="119">
        <f t="shared" si="7"/>
        <v>-215305.33046085996</v>
      </c>
      <c r="AH77"/>
    </row>
    <row r="78" spans="1:34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-42454.572203549847</v>
      </c>
      <c r="K80" s="176">
        <f t="shared" si="10"/>
        <v>-84909.144407099695</v>
      </c>
      <c r="L80" s="176">
        <f t="shared" si="10"/>
        <v>-127363.71661064956</v>
      </c>
      <c r="M80" s="176">
        <f t="shared" si="10"/>
        <v>-169818.28881419939</v>
      </c>
      <c r="N80" s="176">
        <f t="shared" si="10"/>
        <v>-212272.86101774927</v>
      </c>
      <c r="O80" s="176">
        <f t="shared" si="10"/>
        <v>-215305.33046085996</v>
      </c>
      <c r="P80" s="176">
        <f t="shared" si="10"/>
        <v>-215305.33046085996</v>
      </c>
      <c r="Q80" s="176">
        <f t="shared" si="10"/>
        <v>-215305.33046085996</v>
      </c>
      <c r="R80" s="176">
        <f t="shared" si="10"/>
        <v>-215305.33046085996</v>
      </c>
      <c r="S80" s="176">
        <f t="shared" si="10"/>
        <v>-215305.33046085996</v>
      </c>
      <c r="T80" s="176">
        <f t="shared" si="10"/>
        <v>-215305.33046085996</v>
      </c>
      <c r="U80" s="176">
        <f t="shared" si="10"/>
        <v>-215305.33046085996</v>
      </c>
      <c r="V80" s="176">
        <f t="shared" si="10"/>
        <v>-215305.33046085996</v>
      </c>
      <c r="W80" s="176">
        <f t="shared" si="10"/>
        <v>-215305.33046085996</v>
      </c>
      <c r="X80" s="176">
        <f t="shared" si="10"/>
        <v>-215305.33046085996</v>
      </c>
      <c r="Y80" s="176">
        <f t="shared" si="10"/>
        <v>-215305.33046085996</v>
      </c>
      <c r="Z80" s="176">
        <f t="shared" si="10"/>
        <v>-215305.33046085996</v>
      </c>
      <c r="AA80" s="176">
        <f t="shared" si="10"/>
        <v>-215305.33046085996</v>
      </c>
      <c r="AB80" s="176">
        <f t="shared" si="10"/>
        <v>-215305.33046085996</v>
      </c>
      <c r="AC80" s="176">
        <f>SUM(AC77:AC79)</f>
        <v>-215305.33046085996</v>
      </c>
      <c r="AD80" s="176">
        <f>SUM(AD77:AD79)</f>
        <v>-215305.33046085996</v>
      </c>
      <c r="AE80" s="176">
        <f>SUM(AE77:AE79)</f>
        <v>-215305.33046085996</v>
      </c>
      <c r="AF80" s="176">
        <f>SUM(AF77:AF79)</f>
        <v>-215305.33046085996</v>
      </c>
      <c r="AG80" s="176">
        <f>SUM(AG77:AG79)</f>
        <v>-215305.33046085996</v>
      </c>
      <c r="AH80"/>
    </row>
    <row r="81" spans="1:34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-42454.572203549847</v>
      </c>
      <c r="K82" s="119">
        <f t="shared" si="12"/>
        <v>-84909.144407099695</v>
      </c>
      <c r="L82" s="119">
        <f t="shared" si="12"/>
        <v>-127363.71661064956</v>
      </c>
      <c r="M82" s="119">
        <f t="shared" si="12"/>
        <v>-169818.28881419939</v>
      </c>
      <c r="N82" s="119">
        <f t="shared" si="12"/>
        <v>-212272.86101774927</v>
      </c>
      <c r="O82" s="119">
        <f t="shared" si="12"/>
        <v>-215305.33046085996</v>
      </c>
      <c r="P82" s="119">
        <f t="shared" si="12"/>
        <v>-215305.33046085996</v>
      </c>
      <c r="Q82" s="119">
        <f t="shared" si="12"/>
        <v>-215305.33046085996</v>
      </c>
      <c r="R82" s="119">
        <f t="shared" si="12"/>
        <v>-215305.33046085996</v>
      </c>
      <c r="S82" s="119">
        <f t="shared" si="12"/>
        <v>-215305.33046085996</v>
      </c>
      <c r="T82" s="119">
        <f t="shared" si="12"/>
        <v>-215305.33046085996</v>
      </c>
      <c r="U82" s="119">
        <f t="shared" si="12"/>
        <v>-215305.33046085996</v>
      </c>
      <c r="V82" s="119">
        <f t="shared" si="12"/>
        <v>-215305.33046085996</v>
      </c>
      <c r="W82" s="119">
        <f t="shared" si="12"/>
        <v>-215305.33046085996</v>
      </c>
      <c r="X82" s="119">
        <f t="shared" si="12"/>
        <v>-215305.33046085996</v>
      </c>
      <c r="Y82" s="119">
        <f t="shared" si="12"/>
        <v>-215305.33046085996</v>
      </c>
      <c r="Z82" s="119">
        <f t="shared" si="12"/>
        <v>-215305.33046085996</v>
      </c>
      <c r="AA82" s="119">
        <f t="shared" si="12"/>
        <v>-215305.33046085996</v>
      </c>
      <c r="AB82" s="119">
        <f t="shared" si="12"/>
        <v>-215305.33046085996</v>
      </c>
      <c r="AC82" s="119">
        <f>AC80</f>
        <v>-215305.33046085996</v>
      </c>
      <c r="AD82" s="119">
        <f>AD80</f>
        <v>-215305.33046085996</v>
      </c>
      <c r="AE82" s="119">
        <f>AE80</f>
        <v>-215305.33046085996</v>
      </c>
      <c r="AF82" s="119">
        <f>AF80</f>
        <v>-215305.33046085996</v>
      </c>
      <c r="AG82" s="119">
        <f>AG80</f>
        <v>-215305.33046085996</v>
      </c>
      <c r="AH82"/>
    </row>
    <row r="83" spans="1:34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3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 t="shared" ref="I84:AG84" si="14">I64</f>
        <v>384875.65411356627</v>
      </c>
      <c r="J84" s="31">
        <f t="shared" si="14"/>
        <v>769751.30822713254</v>
      </c>
      <c r="K84" s="31">
        <f t="shared" si="14"/>
        <v>1154626.9623406986</v>
      </c>
      <c r="L84" s="31">
        <f t="shared" si="14"/>
        <v>1539502.6164542646</v>
      </c>
      <c r="M84" s="31">
        <f t="shared" si="14"/>
        <v>1924378.2705678309</v>
      </c>
      <c r="N84" s="31">
        <f t="shared" si="14"/>
        <v>1951869.3887187999</v>
      </c>
      <c r="O84" s="31">
        <f t="shared" si="14"/>
        <v>1951869.3887187999</v>
      </c>
      <c r="P84" s="31">
        <f t="shared" si="14"/>
        <v>1951869.3887187999</v>
      </c>
      <c r="Q84" s="31">
        <f t="shared" si="14"/>
        <v>1951869.3887187999</v>
      </c>
      <c r="R84" s="31">
        <f t="shared" si="14"/>
        <v>1951869.3887187999</v>
      </c>
      <c r="S84" s="31">
        <f t="shared" si="14"/>
        <v>1951869.3887187999</v>
      </c>
      <c r="T84" s="31">
        <f t="shared" si="14"/>
        <v>1951869.3887187999</v>
      </c>
      <c r="U84" s="31">
        <f t="shared" si="14"/>
        <v>1951869.3887187999</v>
      </c>
      <c r="V84" s="31">
        <f t="shared" si="14"/>
        <v>1951869.3887187999</v>
      </c>
      <c r="W84" s="31">
        <f t="shared" si="14"/>
        <v>1951869.3887187999</v>
      </c>
      <c r="X84" s="31">
        <f t="shared" si="14"/>
        <v>1951869.3887187999</v>
      </c>
      <c r="Y84" s="31">
        <f t="shared" si="14"/>
        <v>1951869.3887187999</v>
      </c>
      <c r="Z84" s="31">
        <f t="shared" si="14"/>
        <v>1951869.3887187999</v>
      </c>
      <c r="AA84" s="31">
        <f t="shared" si="14"/>
        <v>1951869.3887187999</v>
      </c>
      <c r="AB84" s="31">
        <f t="shared" si="14"/>
        <v>1951869.3887187999</v>
      </c>
      <c r="AC84" s="31">
        <f t="shared" si="14"/>
        <v>1951869.3887187999</v>
      </c>
      <c r="AD84" s="31">
        <f t="shared" si="14"/>
        <v>1951869.3887187999</v>
      </c>
      <c r="AE84" s="31">
        <f t="shared" si="14"/>
        <v>1951869.3887187999</v>
      </c>
      <c r="AF84" s="31">
        <f t="shared" si="14"/>
        <v>1951869.3887187999</v>
      </c>
      <c r="AG84" s="31">
        <f t="shared" si="14"/>
        <v>0</v>
      </c>
      <c r="AH84"/>
    </row>
    <row r="85" spans="1:34" x14ac:dyDescent="0.3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3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384875.65411356627</v>
      </c>
      <c r="J87" s="179">
        <f t="shared" si="16"/>
        <v>727296.73602358275</v>
      </c>
      <c r="K87" s="179">
        <f t="shared" si="16"/>
        <v>1069717.817933599</v>
      </c>
      <c r="L87" s="179">
        <f t="shared" si="16"/>
        <v>1412138.899843615</v>
      </c>
      <c r="M87" s="179">
        <f t="shared" si="16"/>
        <v>1754559.9817536315</v>
      </c>
      <c r="N87" s="179">
        <f t="shared" si="16"/>
        <v>1739596.5277010507</v>
      </c>
      <c r="O87" s="179">
        <f t="shared" si="16"/>
        <v>1736564.05825794</v>
      </c>
      <c r="P87" s="179">
        <f t="shared" si="16"/>
        <v>1736564.05825794</v>
      </c>
      <c r="Q87" s="179">
        <f t="shared" si="16"/>
        <v>1736564.05825794</v>
      </c>
      <c r="R87" s="179">
        <f t="shared" si="16"/>
        <v>1736564.05825794</v>
      </c>
      <c r="S87" s="179">
        <f t="shared" si="16"/>
        <v>1736564.05825794</v>
      </c>
      <c r="T87" s="179">
        <f t="shared" si="16"/>
        <v>1736564.05825794</v>
      </c>
      <c r="U87" s="179">
        <f t="shared" si="16"/>
        <v>1736564.05825794</v>
      </c>
      <c r="V87" s="179">
        <f t="shared" si="16"/>
        <v>1736564.05825794</v>
      </c>
      <c r="W87" s="179">
        <f t="shared" si="16"/>
        <v>1736564.05825794</v>
      </c>
      <c r="X87" s="179">
        <f t="shared" si="16"/>
        <v>1736564.05825794</v>
      </c>
      <c r="Y87" s="179">
        <f t="shared" si="16"/>
        <v>1736564.05825794</v>
      </c>
      <c r="Z87" s="179">
        <f t="shared" si="16"/>
        <v>1736564.05825794</v>
      </c>
      <c r="AA87" s="179">
        <f t="shared" si="16"/>
        <v>1736564.05825794</v>
      </c>
      <c r="AB87" s="179">
        <f t="shared" si="16"/>
        <v>1736564.05825794</v>
      </c>
      <c r="AC87" s="179">
        <f>SUM(AC82:AC86)</f>
        <v>1736564.05825794</v>
      </c>
      <c r="AD87" s="179">
        <f>SUM(AD82:AD86)</f>
        <v>1736564.05825794</v>
      </c>
      <c r="AE87" s="179">
        <f>SUM(AE82:AE86)</f>
        <v>1736564.05825794</v>
      </c>
      <c r="AF87" s="179">
        <f>SUM(AF82:AF86)</f>
        <v>1736564.05825794</v>
      </c>
      <c r="AG87" s="179">
        <f>SUM(AG82:AG86)</f>
        <v>-215305.33046085996</v>
      </c>
      <c r="AH87"/>
    </row>
    <row r="88" spans="1:34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3">
      <c r="C91" s="82"/>
      <c r="D91" s="234"/>
      <c r="E91" s="231"/>
      <c r="F91" s="232"/>
      <c r="G91" s="233"/>
    </row>
    <row r="92" spans="1:34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3">
      <c r="G94" s="12"/>
    </row>
    <row r="102" spans="1:43" ht="14.4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3NPV</v>
      </c>
      <c r="I106" s="31">
        <f>I87</f>
        <v>384875.65411356627</v>
      </c>
      <c r="J106" s="31">
        <f t="shared" ref="J106:AG106" si="17">J87</f>
        <v>727296.73602358275</v>
      </c>
      <c r="K106" s="31">
        <f t="shared" si="17"/>
        <v>1069717.817933599</v>
      </c>
      <c r="L106" s="31">
        <f t="shared" si="17"/>
        <v>1412138.899843615</v>
      </c>
      <c r="M106" s="31">
        <f t="shared" si="17"/>
        <v>1754559.9817536315</v>
      </c>
      <c r="N106" s="31">
        <f t="shared" si="17"/>
        <v>1739596.5277010507</v>
      </c>
      <c r="O106" s="31">
        <f t="shared" si="17"/>
        <v>1736564.05825794</v>
      </c>
      <c r="P106" s="31">
        <f t="shared" si="17"/>
        <v>1736564.05825794</v>
      </c>
      <c r="Q106" s="31">
        <f t="shared" si="17"/>
        <v>1736564.05825794</v>
      </c>
      <c r="R106" s="31">
        <f t="shared" si="17"/>
        <v>1736564.05825794</v>
      </c>
      <c r="S106" s="31">
        <f t="shared" si="17"/>
        <v>1736564.05825794</v>
      </c>
      <c r="T106" s="31">
        <f t="shared" si="17"/>
        <v>1736564.05825794</v>
      </c>
      <c r="U106" s="31">
        <f t="shared" si="17"/>
        <v>1736564.05825794</v>
      </c>
      <c r="V106" s="31">
        <f t="shared" si="17"/>
        <v>1736564.05825794</v>
      </c>
      <c r="W106" s="31">
        <f t="shared" si="17"/>
        <v>1736564.05825794</v>
      </c>
      <c r="X106" s="31">
        <f t="shared" si="17"/>
        <v>1736564.05825794</v>
      </c>
      <c r="Y106" s="31">
        <f t="shared" si="17"/>
        <v>1736564.05825794</v>
      </c>
      <c r="Z106" s="31">
        <f t="shared" si="17"/>
        <v>1736564.05825794</v>
      </c>
      <c r="AA106" s="31">
        <f t="shared" si="17"/>
        <v>1736564.05825794</v>
      </c>
      <c r="AB106" s="31">
        <f t="shared" si="17"/>
        <v>1736564.05825794</v>
      </c>
      <c r="AC106" s="31">
        <f t="shared" si="17"/>
        <v>1736564.05825794</v>
      </c>
      <c r="AD106" s="31">
        <f t="shared" si="17"/>
        <v>1736564.05825794</v>
      </c>
      <c r="AE106" s="31">
        <f t="shared" si="17"/>
        <v>1736564.05825794</v>
      </c>
      <c r="AF106" s="31">
        <f t="shared" si="17"/>
        <v>1736564.05825794</v>
      </c>
      <c r="AG106" s="31">
        <f t="shared" si="17"/>
        <v>-215305.33046085996</v>
      </c>
    </row>
    <row r="107" spans="1:43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-42454.572203549847</v>
      </c>
      <c r="K107" s="31">
        <f t="shared" si="18"/>
        <v>-84909.144407099695</v>
      </c>
      <c r="L107" s="31">
        <f t="shared" si="18"/>
        <v>-127363.71661064956</v>
      </c>
      <c r="M107" s="31">
        <f t="shared" si="18"/>
        <v>-169818.28881419939</v>
      </c>
      <c r="N107" s="31">
        <f t="shared" si="18"/>
        <v>-212272.86101774927</v>
      </c>
      <c r="O107" s="31">
        <f t="shared" si="18"/>
        <v>-215305.33046085996</v>
      </c>
      <c r="P107" s="31">
        <f t="shared" si="18"/>
        <v>-215305.33046085996</v>
      </c>
      <c r="Q107" s="31">
        <f t="shared" si="18"/>
        <v>-215305.33046085996</v>
      </c>
      <c r="R107" s="31">
        <f t="shared" si="18"/>
        <v>-215305.33046085996</v>
      </c>
      <c r="S107" s="31">
        <f t="shared" si="18"/>
        <v>-215305.33046085996</v>
      </c>
      <c r="T107" s="31">
        <f t="shared" si="18"/>
        <v>-215305.33046085996</v>
      </c>
      <c r="U107" s="31">
        <f t="shared" si="18"/>
        <v>-215305.33046085996</v>
      </c>
      <c r="V107" s="31">
        <f t="shared" si="18"/>
        <v>-215305.33046085996</v>
      </c>
      <c r="W107" s="31">
        <f t="shared" si="18"/>
        <v>-215305.33046085996</v>
      </c>
      <c r="X107" s="31">
        <f t="shared" si="18"/>
        <v>-215305.33046085996</v>
      </c>
      <c r="Y107" s="31">
        <f t="shared" si="18"/>
        <v>-215305.33046085996</v>
      </c>
      <c r="Z107" s="31">
        <f t="shared" si="18"/>
        <v>-215305.33046085996</v>
      </c>
      <c r="AA107" s="31">
        <f t="shared" si="18"/>
        <v>-215305.33046085996</v>
      </c>
      <c r="AB107" s="31">
        <f t="shared" si="18"/>
        <v>-215305.33046085996</v>
      </c>
      <c r="AC107" s="31">
        <f t="shared" si="18"/>
        <v>-215305.33046085996</v>
      </c>
      <c r="AD107" s="31">
        <f t="shared" si="18"/>
        <v>-215305.33046085996</v>
      </c>
      <c r="AE107" s="31">
        <f t="shared" si="18"/>
        <v>-215305.33046085996</v>
      </c>
      <c r="AF107" s="31">
        <f t="shared" si="18"/>
        <v>-215305.33046085996</v>
      </c>
      <c r="AG107" s="31">
        <f t="shared" si="18"/>
        <v>-215305.33046085996</v>
      </c>
    </row>
    <row r="108" spans="1:43" x14ac:dyDescent="0.3">
      <c r="C108" s="1" t="s">
        <v>235</v>
      </c>
      <c r="D108"/>
      <c r="E108"/>
      <c r="G108"/>
      <c r="I108" s="31">
        <f>SUM(I84:I85)</f>
        <v>384875.65411356627</v>
      </c>
      <c r="J108" s="31">
        <f t="shared" ref="J108:AG108" si="19">SUM(J84:J85)</f>
        <v>769751.30822713254</v>
      </c>
      <c r="K108" s="31">
        <f t="shared" si="19"/>
        <v>1154626.9623406986</v>
      </c>
      <c r="L108" s="31">
        <f t="shared" si="19"/>
        <v>1539502.6164542646</v>
      </c>
      <c r="M108" s="31">
        <f t="shared" si="19"/>
        <v>1924378.2705678309</v>
      </c>
      <c r="N108" s="31">
        <f t="shared" si="19"/>
        <v>1951869.3887187999</v>
      </c>
      <c r="O108" s="31">
        <f t="shared" si="19"/>
        <v>1951869.3887187999</v>
      </c>
      <c r="P108" s="31">
        <f t="shared" si="19"/>
        <v>1951869.3887187999</v>
      </c>
      <c r="Q108" s="31">
        <f t="shared" si="19"/>
        <v>1951869.3887187999</v>
      </c>
      <c r="R108" s="31">
        <f t="shared" si="19"/>
        <v>1951869.3887187999</v>
      </c>
      <c r="S108" s="31">
        <f t="shared" si="19"/>
        <v>1951869.3887187999</v>
      </c>
      <c r="T108" s="31">
        <f t="shared" si="19"/>
        <v>1951869.3887187999</v>
      </c>
      <c r="U108" s="31">
        <f t="shared" si="19"/>
        <v>1951869.3887187999</v>
      </c>
      <c r="V108" s="31">
        <f t="shared" si="19"/>
        <v>1951869.3887187999</v>
      </c>
      <c r="W108" s="31">
        <f t="shared" si="19"/>
        <v>1951869.3887187999</v>
      </c>
      <c r="X108" s="31">
        <f t="shared" si="19"/>
        <v>1951869.3887187999</v>
      </c>
      <c r="Y108" s="31">
        <f t="shared" si="19"/>
        <v>1951869.3887187999</v>
      </c>
      <c r="Z108" s="31">
        <f t="shared" si="19"/>
        <v>1951869.3887187999</v>
      </c>
      <c r="AA108" s="31">
        <f t="shared" si="19"/>
        <v>1951869.3887187999</v>
      </c>
      <c r="AB108" s="31">
        <f t="shared" si="19"/>
        <v>1951869.3887187999</v>
      </c>
      <c r="AC108" s="31">
        <f t="shared" si="19"/>
        <v>1951869.3887187999</v>
      </c>
      <c r="AD108" s="31">
        <f t="shared" si="19"/>
        <v>1951869.3887187999</v>
      </c>
      <c r="AE108" s="31">
        <f t="shared" si="19"/>
        <v>1951869.3887187999</v>
      </c>
      <c r="AF108" s="31">
        <f t="shared" si="19"/>
        <v>1951869.3887187999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384875.65411356627</v>
      </c>
      <c r="J110" s="31" cm="1">
        <f t="array" ref="J110">J$106+IF($C110&lt;&gt;0,SUMPRODUCT((J$107:J$108)*TRANSPOSE(($D110:$E110))),0)</f>
        <v>723051.27880322782</v>
      </c>
      <c r="K110" s="31" cm="1">
        <f t="array" ref="K110">K$106+IF($C110&lt;&gt;0,SUMPRODUCT((K$107:K$108)*TRANSPOSE(($D110:$E110))),0)</f>
        <v>1061226.9034928891</v>
      </c>
      <c r="L110" s="31" cm="1">
        <f t="array" ref="L110">L$106+IF($C110&lt;&gt;0,SUMPRODUCT((L$107:L$108)*TRANSPOSE(($D110:$E110))),0)</f>
        <v>1399402.5281825501</v>
      </c>
      <c r="M110" s="31" cm="1">
        <f t="array" ref="M110">M$106+IF($C110&lt;&gt;0,SUMPRODUCT((M$107:M$108)*TRANSPOSE(($D110:$E110))),0)</f>
        <v>1737578.1528722115</v>
      </c>
      <c r="N110" s="31" cm="1">
        <f t="array" ref="N110">N$106+IF($C110&lt;&gt;0,SUMPRODUCT((N$107:N$108)*TRANSPOSE(($D110:$E110))),0)</f>
        <v>1718369.2415992757</v>
      </c>
      <c r="O110" s="31" cm="1">
        <f t="array" ref="O110">O$106+IF($C110&lt;&gt;0,SUMPRODUCT((O$107:O$108)*TRANSPOSE(($D110:$E110))),0)</f>
        <v>1715033.5252118539</v>
      </c>
      <c r="P110" s="31" cm="1">
        <f t="array" ref="P110">P$106+IF($C110&lt;&gt;0,SUMPRODUCT((P$107:P$108)*TRANSPOSE(($D110:$E110))),0)</f>
        <v>1715033.5252118539</v>
      </c>
      <c r="Q110" s="31" cm="1">
        <f t="array" ref="Q110">Q$106+IF($C110&lt;&gt;0,SUMPRODUCT((Q$107:Q$108)*TRANSPOSE(($D110:$E110))),0)</f>
        <v>1715033.5252118539</v>
      </c>
      <c r="R110" s="31" cm="1">
        <f t="array" ref="R110">R$106+IF($C110&lt;&gt;0,SUMPRODUCT((R$107:R$108)*TRANSPOSE(($D110:$E110))),0)</f>
        <v>1715033.5252118539</v>
      </c>
      <c r="S110" s="31" cm="1">
        <f t="array" ref="S110">S$106+IF($C110&lt;&gt;0,SUMPRODUCT((S$107:S$108)*TRANSPOSE(($D110:$E110))),0)</f>
        <v>1715033.5252118539</v>
      </c>
      <c r="T110" s="31" cm="1">
        <f t="array" ref="T110">T$106+IF($C110&lt;&gt;0,SUMPRODUCT((T$107:T$108)*TRANSPOSE(($D110:$E110))),0)</f>
        <v>1715033.5252118539</v>
      </c>
      <c r="U110" s="31" cm="1">
        <f t="array" ref="U110">U$106+IF($C110&lt;&gt;0,SUMPRODUCT((U$107:U$108)*TRANSPOSE(($D110:$E110))),0)</f>
        <v>1715033.5252118539</v>
      </c>
      <c r="V110" s="31" cm="1">
        <f t="array" ref="V110">V$106+IF($C110&lt;&gt;0,SUMPRODUCT((V$107:V$108)*TRANSPOSE(($D110:$E110))),0)</f>
        <v>1715033.5252118539</v>
      </c>
      <c r="W110" s="31" cm="1">
        <f t="array" ref="W110">W$106+IF($C110&lt;&gt;0,SUMPRODUCT((W$107:W$108)*TRANSPOSE(($D110:$E110))),0)</f>
        <v>1715033.5252118539</v>
      </c>
      <c r="X110" s="31" cm="1">
        <f t="array" ref="X110">X$106+IF($C110&lt;&gt;0,SUMPRODUCT((X$107:X$108)*TRANSPOSE(($D110:$E110))),0)</f>
        <v>1715033.5252118539</v>
      </c>
      <c r="Y110" s="31" cm="1">
        <f t="array" ref="Y110">Y$106+IF($C110&lt;&gt;0,SUMPRODUCT((Y$107:Y$108)*TRANSPOSE(($D110:$E110))),0)</f>
        <v>1715033.5252118539</v>
      </c>
      <c r="Z110" s="31" cm="1">
        <f t="array" ref="Z110">Z$106+IF($C110&lt;&gt;0,SUMPRODUCT((Z$107:Z$108)*TRANSPOSE(($D110:$E110))),0)</f>
        <v>1715033.5252118539</v>
      </c>
      <c r="AA110" s="31" cm="1">
        <f t="array" ref="AA110">AA$106+IF($C110&lt;&gt;0,SUMPRODUCT((AA$107:AA$108)*TRANSPOSE(($D110:$E110))),0)</f>
        <v>1715033.5252118539</v>
      </c>
      <c r="AB110" s="31" cm="1">
        <f t="array" ref="AB110">AB$106+IF($C110&lt;&gt;0,SUMPRODUCT((AB$107:AB$108)*TRANSPOSE(($D110:$E110))),0)</f>
        <v>1715033.5252118539</v>
      </c>
      <c r="AC110" s="31" cm="1">
        <f t="array" ref="AC110">AC$106+IF($C110&lt;&gt;0,SUMPRODUCT((AC$107:AC$108)*TRANSPOSE(($D110:$E110))),0)</f>
        <v>1715033.5252118539</v>
      </c>
      <c r="AD110" s="31" cm="1">
        <f t="array" ref="AD110">AD$106+IF($C110&lt;&gt;0,SUMPRODUCT((AD$107:AD$108)*TRANSPOSE(($D110:$E110))),0)</f>
        <v>1715033.5252118539</v>
      </c>
      <c r="AE110" s="31" cm="1">
        <f t="array" ref="AE110">AE$106+IF($C110&lt;&gt;0,SUMPRODUCT((AE$107:AE$108)*TRANSPOSE(($D110:$E110))),0)</f>
        <v>1715033.5252118539</v>
      </c>
      <c r="AF110" s="31" cm="1">
        <f t="array" ref="AF110">AF$106+IF($C110&lt;&gt;0,SUMPRODUCT((AF$107:AF$108)*TRANSPOSE(($D110:$E110))),0)</f>
        <v>1715033.5252118539</v>
      </c>
      <c r="AG110" s="31" cm="1">
        <f t="array" ref="AG110">AG$106+IF($C110&lt;&gt;0,SUMPRODUCT((AG$107:AG$108)*TRANSPOSE(($D110:$E110))),0)</f>
        <v>-236835.86350694596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384875.65411356627</v>
      </c>
      <c r="J111" s="31" cm="1">
        <f t="array" ref="J111">J$106+IF($C111&lt;&gt;0,SUMPRODUCT((J$107:J$108)*TRANSPOSE(($D111:$E111))),0)</f>
        <v>731542.19324393768</v>
      </c>
      <c r="K111" s="31" cm="1">
        <f t="array" ref="K111">K$106+IF($C111&lt;&gt;0,SUMPRODUCT((K$107:K$108)*TRANSPOSE(($D111:$E111))),0)</f>
        <v>1078208.7323743089</v>
      </c>
      <c r="L111" s="31" cm="1">
        <f t="array" ref="L111">L$106+IF($C111&lt;&gt;0,SUMPRODUCT((L$107:L$108)*TRANSPOSE(($D111:$E111))),0)</f>
        <v>1424875.2715046799</v>
      </c>
      <c r="M111" s="31" cm="1">
        <f t="array" ref="M111">M$106+IF($C111&lt;&gt;0,SUMPRODUCT((M$107:M$108)*TRANSPOSE(($D111:$E111))),0)</f>
        <v>1771541.8106350515</v>
      </c>
      <c r="N111" s="31" cm="1">
        <f t="array" ref="N111">N$106+IF($C111&lt;&gt;0,SUMPRODUCT((N$107:N$108)*TRANSPOSE(($D111:$E111))),0)</f>
        <v>1760823.8138028258</v>
      </c>
      <c r="O111" s="31" cm="1">
        <f t="array" ref="O111">O$106+IF($C111&lt;&gt;0,SUMPRODUCT((O$107:O$108)*TRANSPOSE(($D111:$E111))),0)</f>
        <v>1758094.5913040261</v>
      </c>
      <c r="P111" s="31" cm="1">
        <f t="array" ref="P111">P$106+IF($C111&lt;&gt;0,SUMPRODUCT((P$107:P$108)*TRANSPOSE(($D111:$E111))),0)</f>
        <v>1758094.5913040261</v>
      </c>
      <c r="Q111" s="31" cm="1">
        <f t="array" ref="Q111">Q$106+IF($C111&lt;&gt;0,SUMPRODUCT((Q$107:Q$108)*TRANSPOSE(($D111:$E111))),0)</f>
        <v>1758094.5913040261</v>
      </c>
      <c r="R111" s="31" cm="1">
        <f t="array" ref="R111">R$106+IF($C111&lt;&gt;0,SUMPRODUCT((R$107:R$108)*TRANSPOSE(($D111:$E111))),0)</f>
        <v>1758094.5913040261</v>
      </c>
      <c r="S111" s="31" cm="1">
        <f t="array" ref="S111">S$106+IF($C111&lt;&gt;0,SUMPRODUCT((S$107:S$108)*TRANSPOSE(($D111:$E111))),0)</f>
        <v>1758094.5913040261</v>
      </c>
      <c r="T111" s="31" cm="1">
        <f t="array" ref="T111">T$106+IF($C111&lt;&gt;0,SUMPRODUCT((T$107:T$108)*TRANSPOSE(($D111:$E111))),0)</f>
        <v>1758094.5913040261</v>
      </c>
      <c r="U111" s="31" cm="1">
        <f t="array" ref="U111">U$106+IF($C111&lt;&gt;0,SUMPRODUCT((U$107:U$108)*TRANSPOSE(($D111:$E111))),0)</f>
        <v>1758094.5913040261</v>
      </c>
      <c r="V111" s="31" cm="1">
        <f t="array" ref="V111">V$106+IF($C111&lt;&gt;0,SUMPRODUCT((V$107:V$108)*TRANSPOSE(($D111:$E111))),0)</f>
        <v>1758094.5913040261</v>
      </c>
      <c r="W111" s="31" cm="1">
        <f t="array" ref="W111">W$106+IF($C111&lt;&gt;0,SUMPRODUCT((W$107:W$108)*TRANSPOSE(($D111:$E111))),0)</f>
        <v>1758094.5913040261</v>
      </c>
      <c r="X111" s="31" cm="1">
        <f t="array" ref="X111">X$106+IF($C111&lt;&gt;0,SUMPRODUCT((X$107:X$108)*TRANSPOSE(($D111:$E111))),0)</f>
        <v>1758094.5913040261</v>
      </c>
      <c r="Y111" s="31" cm="1">
        <f t="array" ref="Y111">Y$106+IF($C111&lt;&gt;0,SUMPRODUCT((Y$107:Y$108)*TRANSPOSE(($D111:$E111))),0)</f>
        <v>1758094.5913040261</v>
      </c>
      <c r="Z111" s="31" cm="1">
        <f t="array" ref="Z111">Z$106+IF($C111&lt;&gt;0,SUMPRODUCT((Z$107:Z$108)*TRANSPOSE(($D111:$E111))),0)</f>
        <v>1758094.5913040261</v>
      </c>
      <c r="AA111" s="31" cm="1">
        <f t="array" ref="AA111">AA$106+IF($C111&lt;&gt;0,SUMPRODUCT((AA$107:AA$108)*TRANSPOSE(($D111:$E111))),0)</f>
        <v>1758094.5913040261</v>
      </c>
      <c r="AB111" s="31" cm="1">
        <f t="array" ref="AB111">AB$106+IF($C111&lt;&gt;0,SUMPRODUCT((AB$107:AB$108)*TRANSPOSE(($D111:$E111))),0)</f>
        <v>1758094.5913040261</v>
      </c>
      <c r="AC111" s="31" cm="1">
        <f t="array" ref="AC111">AC$106+IF($C111&lt;&gt;0,SUMPRODUCT((AC$107:AC$108)*TRANSPOSE(($D111:$E111))),0)</f>
        <v>1758094.5913040261</v>
      </c>
      <c r="AD111" s="31" cm="1">
        <f t="array" ref="AD111">AD$106+IF($C111&lt;&gt;0,SUMPRODUCT((AD$107:AD$108)*TRANSPOSE(($D111:$E111))),0)</f>
        <v>1758094.5913040261</v>
      </c>
      <c r="AE111" s="31" cm="1">
        <f t="array" ref="AE111">AE$106+IF($C111&lt;&gt;0,SUMPRODUCT((AE$107:AE$108)*TRANSPOSE(($D111:$E111))),0)</f>
        <v>1758094.5913040261</v>
      </c>
      <c r="AF111" s="31" cm="1">
        <f t="array" ref="AF111">AF$106+IF($C111&lt;&gt;0,SUMPRODUCT((AF$107:AF$108)*TRANSPOSE(($D111:$E111))),0)</f>
        <v>1758094.5913040261</v>
      </c>
      <c r="AG111" s="31" cm="1">
        <f t="array" ref="AG111">AG$106+IF($C111&lt;&gt;0,SUMPRODUCT((AG$107:AG$108)*TRANSPOSE(($D111:$E111))),0)</f>
        <v>-193774.79741477396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423363.2195249229</v>
      </c>
      <c r="J112" s="31" cm="1">
        <f t="array" ref="J112">J$106+IF($C112&lt;&gt;0,SUMPRODUCT((J$107:J$108)*TRANSPOSE(($D112:$E112))),0)</f>
        <v>804271.866846296</v>
      </c>
      <c r="K112" s="31" cm="1">
        <f t="array" ref="K112">K$106+IF($C112&lt;&gt;0,SUMPRODUCT((K$107:K$108)*TRANSPOSE(($D112:$E112))),0)</f>
        <v>1185180.5141676688</v>
      </c>
      <c r="L112" s="31" cm="1">
        <f t="array" ref="L112">L$106+IF($C112&lt;&gt;0,SUMPRODUCT((L$107:L$108)*TRANSPOSE(($D112:$E112))),0)</f>
        <v>1566089.1614890415</v>
      </c>
      <c r="M112" s="31" cm="1">
        <f t="array" ref="M112">M$106+IF($C112&lt;&gt;0,SUMPRODUCT((M$107:M$108)*TRANSPOSE(($D112:$E112))),0)</f>
        <v>1946997.8088104145</v>
      </c>
      <c r="N112" s="31" cm="1">
        <f t="array" ref="N112">N$106+IF($C112&lt;&gt;0,SUMPRODUCT((N$107:N$108)*TRANSPOSE(($D112:$E112))),0)</f>
        <v>1934783.4665729308</v>
      </c>
      <c r="O112" s="31" cm="1">
        <f t="array" ref="O112">O$106+IF($C112&lt;&gt;0,SUMPRODUCT((O$107:O$108)*TRANSPOSE(($D112:$E112))),0)</f>
        <v>1931750.9971298201</v>
      </c>
      <c r="P112" s="31" cm="1">
        <f t="array" ref="P112">P$106+IF($C112&lt;&gt;0,SUMPRODUCT((P$107:P$108)*TRANSPOSE(($D112:$E112))),0)</f>
        <v>1931750.9971298201</v>
      </c>
      <c r="Q112" s="31" cm="1">
        <f t="array" ref="Q112">Q$106+IF($C112&lt;&gt;0,SUMPRODUCT((Q$107:Q$108)*TRANSPOSE(($D112:$E112))),0)</f>
        <v>1931750.9971298201</v>
      </c>
      <c r="R112" s="31" cm="1">
        <f t="array" ref="R112">R$106+IF($C112&lt;&gt;0,SUMPRODUCT((R$107:R$108)*TRANSPOSE(($D112:$E112))),0)</f>
        <v>1931750.9971298201</v>
      </c>
      <c r="S112" s="31" cm="1">
        <f t="array" ref="S112">S$106+IF($C112&lt;&gt;0,SUMPRODUCT((S$107:S$108)*TRANSPOSE(($D112:$E112))),0)</f>
        <v>1931750.9971298201</v>
      </c>
      <c r="T112" s="31" cm="1">
        <f t="array" ref="T112">T$106+IF($C112&lt;&gt;0,SUMPRODUCT((T$107:T$108)*TRANSPOSE(($D112:$E112))),0)</f>
        <v>1931750.9971298201</v>
      </c>
      <c r="U112" s="31" cm="1">
        <f t="array" ref="U112">U$106+IF($C112&lt;&gt;0,SUMPRODUCT((U$107:U$108)*TRANSPOSE(($D112:$E112))),0)</f>
        <v>1931750.9971298201</v>
      </c>
      <c r="V112" s="31" cm="1">
        <f t="array" ref="V112">V$106+IF($C112&lt;&gt;0,SUMPRODUCT((V$107:V$108)*TRANSPOSE(($D112:$E112))),0)</f>
        <v>1931750.9971298201</v>
      </c>
      <c r="W112" s="31" cm="1">
        <f t="array" ref="W112">W$106+IF($C112&lt;&gt;0,SUMPRODUCT((W$107:W$108)*TRANSPOSE(($D112:$E112))),0)</f>
        <v>1931750.9971298201</v>
      </c>
      <c r="X112" s="31" cm="1">
        <f t="array" ref="X112">X$106+IF($C112&lt;&gt;0,SUMPRODUCT((X$107:X$108)*TRANSPOSE(($D112:$E112))),0)</f>
        <v>1931750.9971298201</v>
      </c>
      <c r="Y112" s="31" cm="1">
        <f t="array" ref="Y112">Y$106+IF($C112&lt;&gt;0,SUMPRODUCT((Y$107:Y$108)*TRANSPOSE(($D112:$E112))),0)</f>
        <v>1931750.9971298201</v>
      </c>
      <c r="Z112" s="31" cm="1">
        <f t="array" ref="Z112">Z$106+IF($C112&lt;&gt;0,SUMPRODUCT((Z$107:Z$108)*TRANSPOSE(($D112:$E112))),0)</f>
        <v>1931750.9971298201</v>
      </c>
      <c r="AA112" s="31" cm="1">
        <f t="array" ref="AA112">AA$106+IF($C112&lt;&gt;0,SUMPRODUCT((AA$107:AA$108)*TRANSPOSE(($D112:$E112))),0)</f>
        <v>1931750.9971298201</v>
      </c>
      <c r="AB112" s="31" cm="1">
        <f t="array" ref="AB112">AB$106+IF($C112&lt;&gt;0,SUMPRODUCT((AB$107:AB$108)*TRANSPOSE(($D112:$E112))),0)</f>
        <v>1931750.9971298201</v>
      </c>
      <c r="AC112" s="31" cm="1">
        <f t="array" ref="AC112">AC$106+IF($C112&lt;&gt;0,SUMPRODUCT((AC$107:AC$108)*TRANSPOSE(($D112:$E112))),0)</f>
        <v>1931750.9971298201</v>
      </c>
      <c r="AD112" s="31" cm="1">
        <f t="array" ref="AD112">AD$106+IF($C112&lt;&gt;0,SUMPRODUCT((AD$107:AD$108)*TRANSPOSE(($D112:$E112))),0)</f>
        <v>1931750.9971298201</v>
      </c>
      <c r="AE112" s="31" cm="1">
        <f t="array" ref="AE112">AE$106+IF($C112&lt;&gt;0,SUMPRODUCT((AE$107:AE$108)*TRANSPOSE(($D112:$E112))),0)</f>
        <v>1931750.9971298201</v>
      </c>
      <c r="AF112" s="31" cm="1">
        <f t="array" ref="AF112">AF$106+IF($C112&lt;&gt;0,SUMPRODUCT((AF$107:AF$108)*TRANSPOSE(($D112:$E112))),0)</f>
        <v>1931750.9971298201</v>
      </c>
      <c r="AG112" s="31" cm="1">
        <f t="array" ref="AG112">AG$106+IF($C112&lt;&gt;0,SUMPRODUCT((AG$107:AG$108)*TRANSPOSE(($D112:$E112))),0)</f>
        <v>-215305.33046085996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346388.08870220964</v>
      </c>
      <c r="J113" s="31" cm="1">
        <f t="array" ref="J113">J$106+IF($C113&lt;&gt;0,SUMPRODUCT((J$107:J$108)*TRANSPOSE(($D113:$E113))),0)</f>
        <v>650321.6052008695</v>
      </c>
      <c r="K113" s="31" cm="1">
        <f t="array" ref="K113">K$106+IF($C113&lt;&gt;0,SUMPRODUCT((K$107:K$108)*TRANSPOSE(($D113:$E113))),0)</f>
        <v>954255.12169952912</v>
      </c>
      <c r="L113" s="31" cm="1">
        <f t="array" ref="L113">L$106+IF($C113&lt;&gt;0,SUMPRODUCT((L$107:L$108)*TRANSPOSE(($D113:$E113))),0)</f>
        <v>1258188.6381981885</v>
      </c>
      <c r="M113" s="31" cm="1">
        <f t="array" ref="M113">M$106+IF($C113&lt;&gt;0,SUMPRODUCT((M$107:M$108)*TRANSPOSE(($D113:$E113))),0)</f>
        <v>1562122.1546968485</v>
      </c>
      <c r="N113" s="31" cm="1">
        <f t="array" ref="N113">N$106+IF($C113&lt;&gt;0,SUMPRODUCT((N$107:N$108)*TRANSPOSE(($D113:$E113))),0)</f>
        <v>1544409.5888291707</v>
      </c>
      <c r="O113" s="31" cm="1">
        <f t="array" ref="O113">O$106+IF($C113&lt;&gt;0,SUMPRODUCT((O$107:O$108)*TRANSPOSE(($D113:$E113))),0)</f>
        <v>1541377.1193860599</v>
      </c>
      <c r="P113" s="31" cm="1">
        <f t="array" ref="P113">P$106+IF($C113&lt;&gt;0,SUMPRODUCT((P$107:P$108)*TRANSPOSE(($D113:$E113))),0)</f>
        <v>1541377.1193860599</v>
      </c>
      <c r="Q113" s="31" cm="1">
        <f t="array" ref="Q113">Q$106+IF($C113&lt;&gt;0,SUMPRODUCT((Q$107:Q$108)*TRANSPOSE(($D113:$E113))),0)</f>
        <v>1541377.1193860599</v>
      </c>
      <c r="R113" s="31" cm="1">
        <f t="array" ref="R113">R$106+IF($C113&lt;&gt;0,SUMPRODUCT((R$107:R$108)*TRANSPOSE(($D113:$E113))),0)</f>
        <v>1541377.1193860599</v>
      </c>
      <c r="S113" s="31" cm="1">
        <f t="array" ref="S113">S$106+IF($C113&lt;&gt;0,SUMPRODUCT((S$107:S$108)*TRANSPOSE(($D113:$E113))),0)</f>
        <v>1541377.1193860599</v>
      </c>
      <c r="T113" s="31" cm="1">
        <f t="array" ref="T113">T$106+IF($C113&lt;&gt;0,SUMPRODUCT((T$107:T$108)*TRANSPOSE(($D113:$E113))),0)</f>
        <v>1541377.1193860599</v>
      </c>
      <c r="U113" s="31" cm="1">
        <f t="array" ref="U113">U$106+IF($C113&lt;&gt;0,SUMPRODUCT((U$107:U$108)*TRANSPOSE(($D113:$E113))),0)</f>
        <v>1541377.1193860599</v>
      </c>
      <c r="V113" s="31" cm="1">
        <f t="array" ref="V113">V$106+IF($C113&lt;&gt;0,SUMPRODUCT((V$107:V$108)*TRANSPOSE(($D113:$E113))),0)</f>
        <v>1541377.1193860599</v>
      </c>
      <c r="W113" s="31" cm="1">
        <f t="array" ref="W113">W$106+IF($C113&lt;&gt;0,SUMPRODUCT((W$107:W$108)*TRANSPOSE(($D113:$E113))),0)</f>
        <v>1541377.1193860599</v>
      </c>
      <c r="X113" s="31" cm="1">
        <f t="array" ref="X113">X$106+IF($C113&lt;&gt;0,SUMPRODUCT((X$107:X$108)*TRANSPOSE(($D113:$E113))),0)</f>
        <v>1541377.1193860599</v>
      </c>
      <c r="Y113" s="31" cm="1">
        <f t="array" ref="Y113">Y$106+IF($C113&lt;&gt;0,SUMPRODUCT((Y$107:Y$108)*TRANSPOSE(($D113:$E113))),0)</f>
        <v>1541377.1193860599</v>
      </c>
      <c r="Z113" s="31" cm="1">
        <f t="array" ref="Z113">Z$106+IF($C113&lt;&gt;0,SUMPRODUCT((Z$107:Z$108)*TRANSPOSE(($D113:$E113))),0)</f>
        <v>1541377.1193860599</v>
      </c>
      <c r="AA113" s="31" cm="1">
        <f t="array" ref="AA113">AA$106+IF($C113&lt;&gt;0,SUMPRODUCT((AA$107:AA$108)*TRANSPOSE(($D113:$E113))),0)</f>
        <v>1541377.1193860599</v>
      </c>
      <c r="AB113" s="31" cm="1">
        <f t="array" ref="AB113">AB$106+IF($C113&lt;&gt;0,SUMPRODUCT((AB$107:AB$108)*TRANSPOSE(($D113:$E113))),0)</f>
        <v>1541377.1193860599</v>
      </c>
      <c r="AC113" s="31" cm="1">
        <f t="array" ref="AC113">AC$106+IF($C113&lt;&gt;0,SUMPRODUCT((AC$107:AC$108)*TRANSPOSE(($D113:$E113))),0)</f>
        <v>1541377.1193860599</v>
      </c>
      <c r="AD113" s="31" cm="1">
        <f t="array" ref="AD113">AD$106+IF($C113&lt;&gt;0,SUMPRODUCT((AD$107:AD$108)*TRANSPOSE(($D113:$E113))),0)</f>
        <v>1541377.1193860599</v>
      </c>
      <c r="AE113" s="31" cm="1">
        <f t="array" ref="AE113">AE$106+IF($C113&lt;&gt;0,SUMPRODUCT((AE$107:AE$108)*TRANSPOSE(($D113:$E113))),0)</f>
        <v>1541377.1193860599</v>
      </c>
      <c r="AF113" s="31" cm="1">
        <f t="array" ref="AF113">AF$106+IF($C113&lt;&gt;0,SUMPRODUCT((AF$107:AF$108)*TRANSPOSE(($D113:$E113))),0)</f>
        <v>1541377.1193860599</v>
      </c>
      <c r="AG113" s="31" cm="1">
        <f t="array" ref="AG113">AG$106+IF($C113&lt;&gt;0,SUMPRODUCT((AG$107:AG$108)*TRANSPOSE(($D113:$E113))),0)</f>
        <v>-215305.33046085996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346388.08870220964</v>
      </c>
      <c r="J114" s="31" cm="1">
        <f t="array" ref="J114">J$106+IF($C114&lt;&gt;0,SUMPRODUCT((J$107:J$108)*TRANSPOSE(($D114:$E114))),0)</f>
        <v>646076.14798051445</v>
      </c>
      <c r="K114" s="31" cm="1">
        <f t="array" ref="K114">K$106+IF($C114&lt;&gt;0,SUMPRODUCT((K$107:K$108)*TRANSPOSE(($D114:$E114))),0)</f>
        <v>945764.20725881914</v>
      </c>
      <c r="L114" s="31" cm="1">
        <f t="array" ref="L114">L$106+IF($C114&lt;&gt;0,SUMPRODUCT((L$107:L$108)*TRANSPOSE(($D114:$E114))),0)</f>
        <v>1245452.2665371236</v>
      </c>
      <c r="M114" s="31" cm="1">
        <f t="array" ref="M114">M$106+IF($C114&lt;&gt;0,SUMPRODUCT((M$107:M$108)*TRANSPOSE(($D114:$E114))),0)</f>
        <v>1545140.3258154285</v>
      </c>
      <c r="N114" s="31" cm="1">
        <f t="array" ref="N114">N$106+IF($C114&lt;&gt;0,SUMPRODUCT((N$107:N$108)*TRANSPOSE(($D114:$E114))),0)</f>
        <v>1523182.3027273959</v>
      </c>
      <c r="O114" s="31" cm="1">
        <f t="array" ref="O114">O$106+IF($C114&lt;&gt;0,SUMPRODUCT((O$107:O$108)*TRANSPOSE(($D114:$E114))),0)</f>
        <v>1519846.5863399741</v>
      </c>
      <c r="P114" s="31" cm="1">
        <f t="array" ref="P114">P$106+IF($C114&lt;&gt;0,SUMPRODUCT((P$107:P$108)*TRANSPOSE(($D114:$E114))),0)</f>
        <v>1519846.5863399741</v>
      </c>
      <c r="Q114" s="31" cm="1">
        <f t="array" ref="Q114">Q$106+IF($C114&lt;&gt;0,SUMPRODUCT((Q$107:Q$108)*TRANSPOSE(($D114:$E114))),0)</f>
        <v>1519846.5863399741</v>
      </c>
      <c r="R114" s="31" cm="1">
        <f t="array" ref="R114">R$106+IF($C114&lt;&gt;0,SUMPRODUCT((R$107:R$108)*TRANSPOSE(($D114:$E114))),0)</f>
        <v>1519846.5863399741</v>
      </c>
      <c r="S114" s="31" cm="1">
        <f t="array" ref="S114">S$106+IF($C114&lt;&gt;0,SUMPRODUCT((S$107:S$108)*TRANSPOSE(($D114:$E114))),0)</f>
        <v>1519846.5863399741</v>
      </c>
      <c r="T114" s="31" cm="1">
        <f t="array" ref="T114">T$106+IF($C114&lt;&gt;0,SUMPRODUCT((T$107:T$108)*TRANSPOSE(($D114:$E114))),0)</f>
        <v>1519846.5863399741</v>
      </c>
      <c r="U114" s="31" cm="1">
        <f t="array" ref="U114">U$106+IF($C114&lt;&gt;0,SUMPRODUCT((U$107:U$108)*TRANSPOSE(($D114:$E114))),0)</f>
        <v>1519846.5863399741</v>
      </c>
      <c r="V114" s="31" cm="1">
        <f t="array" ref="V114">V$106+IF($C114&lt;&gt;0,SUMPRODUCT((V$107:V$108)*TRANSPOSE(($D114:$E114))),0)</f>
        <v>1519846.5863399741</v>
      </c>
      <c r="W114" s="31" cm="1">
        <f t="array" ref="W114">W$106+IF($C114&lt;&gt;0,SUMPRODUCT((W$107:W$108)*TRANSPOSE(($D114:$E114))),0)</f>
        <v>1519846.5863399741</v>
      </c>
      <c r="X114" s="31" cm="1">
        <f t="array" ref="X114">X$106+IF($C114&lt;&gt;0,SUMPRODUCT((X$107:X$108)*TRANSPOSE(($D114:$E114))),0)</f>
        <v>1519846.5863399741</v>
      </c>
      <c r="Y114" s="31" cm="1">
        <f t="array" ref="Y114">Y$106+IF($C114&lt;&gt;0,SUMPRODUCT((Y$107:Y$108)*TRANSPOSE(($D114:$E114))),0)</f>
        <v>1519846.5863399741</v>
      </c>
      <c r="Z114" s="31" cm="1">
        <f t="array" ref="Z114">Z$106+IF($C114&lt;&gt;0,SUMPRODUCT((Z$107:Z$108)*TRANSPOSE(($D114:$E114))),0)</f>
        <v>1519846.5863399741</v>
      </c>
      <c r="AA114" s="31" cm="1">
        <f t="array" ref="AA114">AA$106+IF($C114&lt;&gt;0,SUMPRODUCT((AA$107:AA$108)*TRANSPOSE(($D114:$E114))),0)</f>
        <v>1519846.5863399741</v>
      </c>
      <c r="AB114" s="31" cm="1">
        <f t="array" ref="AB114">AB$106+IF($C114&lt;&gt;0,SUMPRODUCT((AB$107:AB$108)*TRANSPOSE(($D114:$E114))),0)</f>
        <v>1519846.5863399741</v>
      </c>
      <c r="AC114" s="31" cm="1">
        <f t="array" ref="AC114">AC$106+IF($C114&lt;&gt;0,SUMPRODUCT((AC$107:AC$108)*TRANSPOSE(($D114:$E114))),0)</f>
        <v>1519846.5863399741</v>
      </c>
      <c r="AD114" s="31" cm="1">
        <f t="array" ref="AD114">AD$106+IF($C114&lt;&gt;0,SUMPRODUCT((AD$107:AD$108)*TRANSPOSE(($D114:$E114))),0)</f>
        <v>1519846.5863399741</v>
      </c>
      <c r="AE114" s="31" cm="1">
        <f t="array" ref="AE114">AE$106+IF($C114&lt;&gt;0,SUMPRODUCT((AE$107:AE$108)*TRANSPOSE(($D114:$E114))),0)</f>
        <v>1519846.5863399741</v>
      </c>
      <c r="AF114" s="31" cm="1">
        <f t="array" ref="AF114">AF$106+IF($C114&lt;&gt;0,SUMPRODUCT((AF$107:AF$108)*TRANSPOSE(($D114:$E114))),0)</f>
        <v>1519846.5863399741</v>
      </c>
      <c r="AG114" s="31" cm="1">
        <f t="array" ref="AG114">AG$106+IF($C114&lt;&gt;0,SUMPRODUCT((AG$107:AG$108)*TRANSPOSE(($D114:$E114))),0)</f>
        <v>-236835.86350694596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384875.65411356627</v>
      </c>
      <c r="J115" s="31" cm="1">
        <f t="array" ref="J115">J$106+IF($C115&lt;&gt;0,SUMPRODUCT((J$107:J$108)*TRANSPOSE(($D115:$E115))),0)</f>
        <v>727296.73602358275</v>
      </c>
      <c r="K115" s="31" cm="1">
        <f t="array" ref="K115">K$106+IF($C115&lt;&gt;0,SUMPRODUCT((K$107:K$108)*TRANSPOSE(($D115:$E115))),0)</f>
        <v>1069717.817933599</v>
      </c>
      <c r="L115" s="31" cm="1">
        <f t="array" ref="L115">L$106+IF($C115&lt;&gt;0,SUMPRODUCT((L$107:L$108)*TRANSPOSE(($D115:$E115))),0)</f>
        <v>1412138.899843615</v>
      </c>
      <c r="M115" s="31" cm="1">
        <f t="array" ref="M115">M$106+IF($C115&lt;&gt;0,SUMPRODUCT((M$107:M$108)*TRANSPOSE(($D115:$E115))),0)</f>
        <v>1754559.9817536315</v>
      </c>
      <c r="N115" s="31" cm="1">
        <f t="array" ref="N115">N$106+IF($C115&lt;&gt;0,SUMPRODUCT((N$107:N$108)*TRANSPOSE(($D115:$E115))),0)</f>
        <v>1739596.5277010507</v>
      </c>
      <c r="O115" s="31" cm="1">
        <f t="array" ref="O115">O$106+IF($C115&lt;&gt;0,SUMPRODUCT((O$107:O$108)*TRANSPOSE(($D115:$E115))),0)</f>
        <v>1736564.05825794</v>
      </c>
      <c r="P115" s="31" cm="1">
        <f t="array" ref="P115">P$106+IF($C115&lt;&gt;0,SUMPRODUCT((P$107:P$108)*TRANSPOSE(($D115:$E115))),0)</f>
        <v>1736564.05825794</v>
      </c>
      <c r="Q115" s="31" cm="1">
        <f t="array" ref="Q115">Q$106+IF($C115&lt;&gt;0,SUMPRODUCT((Q$107:Q$108)*TRANSPOSE(($D115:$E115))),0)</f>
        <v>1736564.05825794</v>
      </c>
      <c r="R115" s="31" cm="1">
        <f t="array" ref="R115">R$106+IF($C115&lt;&gt;0,SUMPRODUCT((R$107:R$108)*TRANSPOSE(($D115:$E115))),0)</f>
        <v>1736564.05825794</v>
      </c>
      <c r="S115" s="31" cm="1">
        <f t="array" ref="S115">S$106+IF($C115&lt;&gt;0,SUMPRODUCT((S$107:S$108)*TRANSPOSE(($D115:$E115))),0)</f>
        <v>1736564.05825794</v>
      </c>
      <c r="T115" s="31" cm="1">
        <f t="array" ref="T115">T$106+IF($C115&lt;&gt;0,SUMPRODUCT((T$107:T$108)*TRANSPOSE(($D115:$E115))),0)</f>
        <v>1736564.05825794</v>
      </c>
      <c r="U115" s="31" cm="1">
        <f t="array" ref="U115">U$106+IF($C115&lt;&gt;0,SUMPRODUCT((U$107:U$108)*TRANSPOSE(($D115:$E115))),0)</f>
        <v>1736564.05825794</v>
      </c>
      <c r="V115" s="31" cm="1">
        <f t="array" ref="V115">V$106+IF($C115&lt;&gt;0,SUMPRODUCT((V$107:V$108)*TRANSPOSE(($D115:$E115))),0)</f>
        <v>1736564.05825794</v>
      </c>
      <c r="W115" s="31" cm="1">
        <f t="array" ref="W115">W$106+IF($C115&lt;&gt;0,SUMPRODUCT((W$107:W$108)*TRANSPOSE(($D115:$E115))),0)</f>
        <v>1736564.05825794</v>
      </c>
      <c r="X115" s="31" cm="1">
        <f t="array" ref="X115">X$106+IF($C115&lt;&gt;0,SUMPRODUCT((X$107:X$108)*TRANSPOSE(($D115:$E115))),0)</f>
        <v>1736564.05825794</v>
      </c>
      <c r="Y115" s="31" cm="1">
        <f t="array" ref="Y115">Y$106+IF($C115&lt;&gt;0,SUMPRODUCT((Y$107:Y$108)*TRANSPOSE(($D115:$E115))),0)</f>
        <v>1736564.05825794</v>
      </c>
      <c r="Z115" s="31" cm="1">
        <f t="array" ref="Z115">Z$106+IF($C115&lt;&gt;0,SUMPRODUCT((Z$107:Z$108)*TRANSPOSE(($D115:$E115))),0)</f>
        <v>1736564.05825794</v>
      </c>
      <c r="AA115" s="31" cm="1">
        <f t="array" ref="AA115">AA$106+IF($C115&lt;&gt;0,SUMPRODUCT((AA$107:AA$108)*TRANSPOSE(($D115:$E115))),0)</f>
        <v>1736564.05825794</v>
      </c>
      <c r="AB115" s="31" cm="1">
        <f t="array" ref="AB115">AB$106+IF($C115&lt;&gt;0,SUMPRODUCT((AB$107:AB$108)*TRANSPOSE(($D115:$E115))),0)</f>
        <v>1736564.05825794</v>
      </c>
      <c r="AC115" s="31" cm="1">
        <f t="array" ref="AC115">AC$106+IF($C115&lt;&gt;0,SUMPRODUCT((AC$107:AC$108)*TRANSPOSE(($D115:$E115))),0)</f>
        <v>1736564.05825794</v>
      </c>
      <c r="AD115" s="31" cm="1">
        <f t="array" ref="AD115">AD$106+IF($C115&lt;&gt;0,SUMPRODUCT((AD$107:AD$108)*TRANSPOSE(($D115:$E115))),0)</f>
        <v>1736564.05825794</v>
      </c>
      <c r="AE115" s="31" cm="1">
        <f t="array" ref="AE115">AE$106+IF($C115&lt;&gt;0,SUMPRODUCT((AE$107:AE$108)*TRANSPOSE(($D115:$E115))),0)</f>
        <v>1736564.05825794</v>
      </c>
      <c r="AF115" s="31" cm="1">
        <f t="array" ref="AF115">AF$106+IF($C115&lt;&gt;0,SUMPRODUCT((AF$107:AF$108)*TRANSPOSE(($D115:$E115))),0)</f>
        <v>1736564.05825794</v>
      </c>
      <c r="AG115" s="31" cm="1">
        <f t="array" ref="AG115">AG$106+IF($C115&lt;&gt;0,SUMPRODUCT((AG$107:AG$108)*TRANSPOSE(($D115:$E115))),0)</f>
        <v>-215305.33046085996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384875.65411356627</v>
      </c>
      <c r="J116" s="31" cm="1">
        <f t="array" ref="J116">J$106+IF($C116&lt;&gt;0,SUMPRODUCT((J$107:J$108)*TRANSPOSE(($D116:$E116))),0)</f>
        <v>727296.73602358275</v>
      </c>
      <c r="K116" s="31" cm="1">
        <f t="array" ref="K116">K$106+IF($C116&lt;&gt;0,SUMPRODUCT((K$107:K$108)*TRANSPOSE(($D116:$E116))),0)</f>
        <v>1069717.817933599</v>
      </c>
      <c r="L116" s="31" cm="1">
        <f t="array" ref="L116">L$106+IF($C116&lt;&gt;0,SUMPRODUCT((L$107:L$108)*TRANSPOSE(($D116:$E116))),0)</f>
        <v>1412138.899843615</v>
      </c>
      <c r="M116" s="31" cm="1">
        <f t="array" ref="M116">M$106+IF($C116&lt;&gt;0,SUMPRODUCT((M$107:M$108)*TRANSPOSE(($D116:$E116))),0)</f>
        <v>1754559.9817536315</v>
      </c>
      <c r="N116" s="31" cm="1">
        <f t="array" ref="N116">N$106+IF($C116&lt;&gt;0,SUMPRODUCT((N$107:N$108)*TRANSPOSE(($D116:$E116))),0)</f>
        <v>1739596.5277010507</v>
      </c>
      <c r="O116" s="31" cm="1">
        <f t="array" ref="O116">O$106+IF($C116&lt;&gt;0,SUMPRODUCT((O$107:O$108)*TRANSPOSE(($D116:$E116))),0)</f>
        <v>1736564.05825794</v>
      </c>
      <c r="P116" s="31" cm="1">
        <f t="array" ref="P116">P$106+IF($C116&lt;&gt;0,SUMPRODUCT((P$107:P$108)*TRANSPOSE(($D116:$E116))),0)</f>
        <v>1736564.05825794</v>
      </c>
      <c r="Q116" s="31" cm="1">
        <f t="array" ref="Q116">Q$106+IF($C116&lt;&gt;0,SUMPRODUCT((Q$107:Q$108)*TRANSPOSE(($D116:$E116))),0)</f>
        <v>1736564.05825794</v>
      </c>
      <c r="R116" s="31" cm="1">
        <f t="array" ref="R116">R$106+IF($C116&lt;&gt;0,SUMPRODUCT((R$107:R$108)*TRANSPOSE(($D116:$E116))),0)</f>
        <v>1736564.05825794</v>
      </c>
      <c r="S116" s="31" cm="1">
        <f t="array" ref="S116">S$106+IF($C116&lt;&gt;0,SUMPRODUCT((S$107:S$108)*TRANSPOSE(($D116:$E116))),0)</f>
        <v>1736564.05825794</v>
      </c>
      <c r="T116" s="31" cm="1">
        <f t="array" ref="T116">T$106+IF($C116&lt;&gt;0,SUMPRODUCT((T$107:T$108)*TRANSPOSE(($D116:$E116))),0)</f>
        <v>1736564.05825794</v>
      </c>
      <c r="U116" s="31" cm="1">
        <f t="array" ref="U116">U$106+IF($C116&lt;&gt;0,SUMPRODUCT((U$107:U$108)*TRANSPOSE(($D116:$E116))),0)</f>
        <v>1736564.05825794</v>
      </c>
      <c r="V116" s="31" cm="1">
        <f t="array" ref="V116">V$106+IF($C116&lt;&gt;0,SUMPRODUCT((V$107:V$108)*TRANSPOSE(($D116:$E116))),0)</f>
        <v>1736564.05825794</v>
      </c>
      <c r="W116" s="31" cm="1">
        <f t="array" ref="W116">W$106+IF($C116&lt;&gt;0,SUMPRODUCT((W$107:W$108)*TRANSPOSE(($D116:$E116))),0)</f>
        <v>1736564.05825794</v>
      </c>
      <c r="X116" s="31" cm="1">
        <f t="array" ref="X116">X$106+IF($C116&lt;&gt;0,SUMPRODUCT((X$107:X$108)*TRANSPOSE(($D116:$E116))),0)</f>
        <v>1736564.05825794</v>
      </c>
      <c r="Y116" s="31" cm="1">
        <f t="array" ref="Y116">Y$106+IF($C116&lt;&gt;0,SUMPRODUCT((Y$107:Y$108)*TRANSPOSE(($D116:$E116))),0)</f>
        <v>1736564.05825794</v>
      </c>
      <c r="Z116" s="31" cm="1">
        <f t="array" ref="Z116">Z$106+IF($C116&lt;&gt;0,SUMPRODUCT((Z$107:Z$108)*TRANSPOSE(($D116:$E116))),0)</f>
        <v>1736564.05825794</v>
      </c>
      <c r="AA116" s="31" cm="1">
        <f t="array" ref="AA116">AA$106+IF($C116&lt;&gt;0,SUMPRODUCT((AA$107:AA$108)*TRANSPOSE(($D116:$E116))),0)</f>
        <v>1736564.05825794</v>
      </c>
      <c r="AB116" s="31" cm="1">
        <f t="array" ref="AB116">AB$106+IF($C116&lt;&gt;0,SUMPRODUCT((AB$107:AB$108)*TRANSPOSE(($D116:$E116))),0)</f>
        <v>1736564.05825794</v>
      </c>
      <c r="AC116" s="31" cm="1">
        <f t="array" ref="AC116">AC$106+IF($C116&lt;&gt;0,SUMPRODUCT((AC$107:AC$108)*TRANSPOSE(($D116:$E116))),0)</f>
        <v>1736564.05825794</v>
      </c>
      <c r="AD116" s="31" cm="1">
        <f t="array" ref="AD116">AD$106+IF($C116&lt;&gt;0,SUMPRODUCT((AD$107:AD$108)*TRANSPOSE(($D116:$E116))),0)</f>
        <v>1736564.05825794</v>
      </c>
      <c r="AE116" s="31" cm="1">
        <f t="array" ref="AE116">AE$106+IF($C116&lt;&gt;0,SUMPRODUCT((AE$107:AE$108)*TRANSPOSE(($D116:$E116))),0)</f>
        <v>1736564.05825794</v>
      </c>
      <c r="AF116" s="31" cm="1">
        <f t="array" ref="AF116">AF$106+IF($C116&lt;&gt;0,SUMPRODUCT((AF$107:AF$108)*TRANSPOSE(($D116:$E116))),0)</f>
        <v>1736564.05825794</v>
      </c>
      <c r="AG116" s="31" cm="1">
        <f t="array" ref="AG116">AG$106+IF($C116&lt;&gt;0,SUMPRODUCT((AG$107:AG$108)*TRANSPOSE(($D116:$E116))),0)</f>
        <v>-215305.33046085996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384875.65411356627</v>
      </c>
      <c r="J117" s="31" cm="1">
        <f t="array" ref="J117">J$106+IF($C117&lt;&gt;0,SUMPRODUCT((J$107:J$108)*TRANSPOSE(($D117:$E117))),0)</f>
        <v>727296.73602358275</v>
      </c>
      <c r="K117" s="31" cm="1">
        <f t="array" ref="K117">K$106+IF($C117&lt;&gt;0,SUMPRODUCT((K$107:K$108)*TRANSPOSE(($D117:$E117))),0)</f>
        <v>1069717.817933599</v>
      </c>
      <c r="L117" s="31" cm="1">
        <f t="array" ref="L117">L$106+IF($C117&lt;&gt;0,SUMPRODUCT((L$107:L$108)*TRANSPOSE(($D117:$E117))),0)</f>
        <v>1412138.899843615</v>
      </c>
      <c r="M117" s="31" cm="1">
        <f t="array" ref="M117">M$106+IF($C117&lt;&gt;0,SUMPRODUCT((M$107:M$108)*TRANSPOSE(($D117:$E117))),0)</f>
        <v>1754559.9817536315</v>
      </c>
      <c r="N117" s="31" cm="1">
        <f t="array" ref="N117">N$106+IF($C117&lt;&gt;0,SUMPRODUCT((N$107:N$108)*TRANSPOSE(($D117:$E117))),0)</f>
        <v>1739596.5277010507</v>
      </c>
      <c r="O117" s="31" cm="1">
        <f t="array" ref="O117">O$106+IF($C117&lt;&gt;0,SUMPRODUCT((O$107:O$108)*TRANSPOSE(($D117:$E117))),0)</f>
        <v>1736564.05825794</v>
      </c>
      <c r="P117" s="31" cm="1">
        <f t="array" ref="P117">P$106+IF($C117&lt;&gt;0,SUMPRODUCT((P$107:P$108)*TRANSPOSE(($D117:$E117))),0)</f>
        <v>1736564.05825794</v>
      </c>
      <c r="Q117" s="31" cm="1">
        <f t="array" ref="Q117">Q$106+IF($C117&lt;&gt;0,SUMPRODUCT((Q$107:Q$108)*TRANSPOSE(($D117:$E117))),0)</f>
        <v>1736564.05825794</v>
      </c>
      <c r="R117" s="31" cm="1">
        <f t="array" ref="R117">R$106+IF($C117&lt;&gt;0,SUMPRODUCT((R$107:R$108)*TRANSPOSE(($D117:$E117))),0)</f>
        <v>1736564.05825794</v>
      </c>
      <c r="S117" s="31" cm="1">
        <f t="array" ref="S117">S$106+IF($C117&lt;&gt;0,SUMPRODUCT((S$107:S$108)*TRANSPOSE(($D117:$E117))),0)</f>
        <v>1736564.05825794</v>
      </c>
      <c r="T117" s="31" cm="1">
        <f t="array" ref="T117">T$106+IF($C117&lt;&gt;0,SUMPRODUCT((T$107:T$108)*TRANSPOSE(($D117:$E117))),0)</f>
        <v>1736564.05825794</v>
      </c>
      <c r="U117" s="31" cm="1">
        <f t="array" ref="U117">U$106+IF($C117&lt;&gt;0,SUMPRODUCT((U$107:U$108)*TRANSPOSE(($D117:$E117))),0)</f>
        <v>1736564.05825794</v>
      </c>
      <c r="V117" s="31" cm="1">
        <f t="array" ref="V117">V$106+IF($C117&lt;&gt;0,SUMPRODUCT((V$107:V$108)*TRANSPOSE(($D117:$E117))),0)</f>
        <v>1736564.05825794</v>
      </c>
      <c r="W117" s="31" cm="1">
        <f t="array" ref="W117">W$106+IF($C117&lt;&gt;0,SUMPRODUCT((W$107:W$108)*TRANSPOSE(($D117:$E117))),0)</f>
        <v>1736564.05825794</v>
      </c>
      <c r="X117" s="31" cm="1">
        <f t="array" ref="X117">X$106+IF($C117&lt;&gt;0,SUMPRODUCT((X$107:X$108)*TRANSPOSE(($D117:$E117))),0)</f>
        <v>1736564.05825794</v>
      </c>
      <c r="Y117" s="31" cm="1">
        <f t="array" ref="Y117">Y$106+IF($C117&lt;&gt;0,SUMPRODUCT((Y$107:Y$108)*TRANSPOSE(($D117:$E117))),0)</f>
        <v>1736564.05825794</v>
      </c>
      <c r="Z117" s="31" cm="1">
        <f t="array" ref="Z117">Z$106+IF($C117&lt;&gt;0,SUMPRODUCT((Z$107:Z$108)*TRANSPOSE(($D117:$E117))),0)</f>
        <v>1736564.05825794</v>
      </c>
      <c r="AA117" s="31" cm="1">
        <f t="array" ref="AA117">AA$106+IF($C117&lt;&gt;0,SUMPRODUCT((AA$107:AA$108)*TRANSPOSE(($D117:$E117))),0)</f>
        <v>1736564.05825794</v>
      </c>
      <c r="AB117" s="31" cm="1">
        <f t="array" ref="AB117">AB$106+IF($C117&lt;&gt;0,SUMPRODUCT((AB$107:AB$108)*TRANSPOSE(($D117:$E117))),0)</f>
        <v>1736564.05825794</v>
      </c>
      <c r="AC117" s="31" cm="1">
        <f t="array" ref="AC117">AC$106+IF($C117&lt;&gt;0,SUMPRODUCT((AC$107:AC$108)*TRANSPOSE(($D117:$E117))),0)</f>
        <v>1736564.05825794</v>
      </c>
      <c r="AD117" s="31" cm="1">
        <f t="array" ref="AD117">AD$106+IF($C117&lt;&gt;0,SUMPRODUCT((AD$107:AD$108)*TRANSPOSE(($D117:$E117))),0)</f>
        <v>1736564.05825794</v>
      </c>
      <c r="AE117" s="31" cm="1">
        <f t="array" ref="AE117">AE$106+IF($C117&lt;&gt;0,SUMPRODUCT((AE$107:AE$108)*TRANSPOSE(($D117:$E117))),0)</f>
        <v>1736564.05825794</v>
      </c>
      <c r="AF117" s="31" cm="1">
        <f t="array" ref="AF117">AF$106+IF($C117&lt;&gt;0,SUMPRODUCT((AF$107:AF$108)*TRANSPOSE(($D117:$E117))),0)</f>
        <v>1736564.05825794</v>
      </c>
      <c r="AG117" s="31" cm="1">
        <f t="array" ref="AG117">AG$106+IF($C117&lt;&gt;0,SUMPRODUCT((AG$107:AG$108)*TRANSPOSE(($D117:$E117))),0)</f>
        <v>-215305.33046085996</v>
      </c>
    </row>
  </sheetData>
  <conditionalFormatting sqref="E14">
    <cfRule type="expression" dxfId="10" priority="1">
      <formula>AND(SUM($I14:$AB14)&lt;&gt;0, E14=0)</formula>
    </cfRule>
  </conditionalFormatting>
  <conditionalFormatting sqref="E15:E16">
    <cfRule type="expression" dxfId="9" priority="2">
      <formula>AND(SUM($I15:$AB15)&lt;&gt;0, E15=0)</formula>
    </cfRule>
  </conditionalFormatting>
  <conditionalFormatting sqref="E28">
    <cfRule type="expression" dxfId="8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B4" sqref="B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132</v>
      </c>
      <c r="B3" s="5"/>
      <c r="C3" s="200" t="str">
        <f>INDEX(Assumptions!$E$14:$E$18, MATCH(A3,_xlfn.ANCHORARRAY( Assumptions!$C$14),0))</f>
        <v>Replace all CRO inoperatble RMUs over 10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3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294</v>
      </c>
      <c r="D14"/>
      <c r="E14" s="148">
        <v>55</v>
      </c>
      <c r="F14" s="346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515060</v>
      </c>
      <c r="J14" s="32">
        <f>INDEX(Workings_costs!L$23:L$75, MATCH($A$3&amp;$F14, Workings_costs!$G$23:$G$75,0))</f>
        <v>515060</v>
      </c>
      <c r="K14" s="32">
        <f>INDEX(Workings_costs!M$23:M$75, MATCH($A$3&amp;$F14, Workings_costs!$G$23:$G$75,0))</f>
        <v>515060</v>
      </c>
      <c r="L14" s="32">
        <f>INDEX(Workings_costs!N$23:N$75, MATCH($A$3&amp;$F14, Workings_costs!$G$23:$G$75,0))</f>
        <v>515060</v>
      </c>
      <c r="M14" s="32">
        <f>INDEX(Workings_costs!O$23:O$75, MATCH($A$3&amp;$F14, Workings_costs!$G$23:$G$75,0))</f>
        <v>515060</v>
      </c>
      <c r="N14" s="32">
        <f>INDEX(Workings_costs!P$23:P$75, MATCH($A$3&amp;$F14, Workings_costs!$G$23:$G$75,0))</f>
        <v>515060</v>
      </c>
      <c r="O14" s="32">
        <f>INDEX(Workings_costs!Q$23:Q$75, MATCH($A$3&amp;$F14, Workings_costs!$G$23:$G$75,0))</f>
        <v>515060</v>
      </c>
      <c r="P14" s="32">
        <f>INDEX(Workings_costs!R$23:R$75, MATCH($A$3&amp;$F14, Workings_costs!$G$23:$G$75,0))</f>
        <v>515060</v>
      </c>
      <c r="Q14" s="32">
        <f>INDEX(Workings_costs!S$23:S$75, MATCH($A$3&amp;$F14, Workings_costs!$G$23:$G$75,0))</f>
        <v>515060</v>
      </c>
      <c r="R14" s="32">
        <f>INDEX(Workings_costs!T$23:T$75, MATCH($A$3&amp;$F14, Workings_costs!$G$23:$G$75,0))</f>
        <v>515060</v>
      </c>
      <c r="S14" s="32">
        <f>INDEX(Workings_costs!U$23:U$75, MATCH($A$3&amp;$F14, Workings_costs!$G$23:$G$75,0))</f>
        <v>73580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6"/>
      <c r="G17" s="207">
        <f>input_dollars</f>
        <v>45291</v>
      </c>
      <c r="H17" s="107"/>
      <c r="I17" s="106">
        <f t="shared" ref="I17:Q17" si="0">SUM(I14:I16)</f>
        <v>515060</v>
      </c>
      <c r="J17" s="106">
        <f t="shared" si="0"/>
        <v>515060</v>
      </c>
      <c r="K17" s="106">
        <f t="shared" si="0"/>
        <v>515060</v>
      </c>
      <c r="L17" s="106">
        <f t="shared" si="0"/>
        <v>515060</v>
      </c>
      <c r="M17" s="106">
        <f t="shared" si="0"/>
        <v>515060</v>
      </c>
      <c r="N17" s="106">
        <f t="shared" si="0"/>
        <v>515060</v>
      </c>
      <c r="O17" s="106">
        <f t="shared" si="0"/>
        <v>515060</v>
      </c>
      <c r="P17" s="106">
        <f t="shared" si="0"/>
        <v>515060</v>
      </c>
      <c r="Q17" s="106">
        <f t="shared" si="0"/>
        <v>515060</v>
      </c>
      <c r="R17" s="106">
        <f t="shared" ref="R17:AG17" si="1">SUM(R14:R16)</f>
        <v>515060</v>
      </c>
      <c r="S17" s="106">
        <f t="shared" si="1"/>
        <v>73580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3">
      <c r="G20" s="205"/>
      <c r="AH20"/>
      <c r="AI20"/>
      <c r="AJ20"/>
      <c r="AK20"/>
      <c r="AL20"/>
      <c r="AM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Workings_risks!I69</f>
        <v>1951869.3887187999</v>
      </c>
      <c r="J28" s="168">
        <f>Workings_risks!J69</f>
        <v>1759431.5616620169</v>
      </c>
      <c r="K28" s="168">
        <f>Workings_risks!K69</f>
        <v>1566993.7346052339</v>
      </c>
      <c r="L28" s="168">
        <f>Workings_risks!L69</f>
        <v>1374555.9075484506</v>
      </c>
      <c r="M28" s="168">
        <f>Workings_risks!M69</f>
        <v>1182118.0804916676</v>
      </c>
      <c r="N28" s="168">
        <f>Workings_risks!N69</f>
        <v>989680.25343488448</v>
      </c>
      <c r="O28" s="168">
        <f>Workings_risks!O69</f>
        <v>797242.42637810134</v>
      </c>
      <c r="P28" s="168">
        <f>Workings_risks!P69</f>
        <v>604804.59932131821</v>
      </c>
      <c r="Q28" s="168">
        <f>Workings_risks!Q69</f>
        <v>412366.77226453519</v>
      </c>
      <c r="R28" s="168">
        <f>Workings_risks!R69</f>
        <v>219928.94520775211</v>
      </c>
      <c r="S28" s="168">
        <f>Workings_risks!S69</f>
        <v>27491.118150969014</v>
      </c>
      <c r="T28" s="168">
        <f>Workings_risks!T69</f>
        <v>0</v>
      </c>
      <c r="U28" s="168">
        <f>Workings_risks!U69</f>
        <v>0</v>
      </c>
      <c r="V28" s="168">
        <f>Workings_risks!V69</f>
        <v>0</v>
      </c>
      <c r="W28" s="168">
        <f>Workings_risks!W69</f>
        <v>0</v>
      </c>
      <c r="X28" s="168">
        <f>Workings_risks!X69</f>
        <v>0</v>
      </c>
      <c r="Y28" s="168">
        <f>Workings_risks!Y69</f>
        <v>0</v>
      </c>
      <c r="Z28" s="168">
        <f>Workings_risks!Z69</f>
        <v>0</v>
      </c>
      <c r="AA28" s="168">
        <f>Workings_risks!AA69</f>
        <v>0</v>
      </c>
      <c r="AB28" s="168">
        <f>Workings_risks!AB69</f>
        <v>0</v>
      </c>
      <c r="AC28" s="168">
        <f>Workings_risks!AC69</f>
        <v>0</v>
      </c>
      <c r="AD28" s="168">
        <f>Workings_risks!AD69</f>
        <v>0</v>
      </c>
      <c r="AE28" s="168">
        <f>Workings_risks!AE69</f>
        <v>0</v>
      </c>
      <c r="AF28" s="168">
        <f>Workings_risks!AF69</f>
        <v>0</v>
      </c>
      <c r="AG28" s="168">
        <f>Workings_risks!AG69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202</v>
      </c>
      <c r="F30" s="346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243</v>
      </c>
      <c r="D31" s="206"/>
      <c r="E31"/>
      <c r="F31" s="346" t="s">
        <v>243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272</v>
      </c>
      <c r="D32" s="205" t="s">
        <v>202</v>
      </c>
      <c r="E32"/>
      <c r="F32" s="346" t="s">
        <v>280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273</v>
      </c>
      <c r="D33" s="219"/>
      <c r="E33"/>
      <c r="F33" s="346" t="s">
        <v>244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1951869.3887187999</v>
      </c>
      <c r="J36" s="170">
        <f t="shared" ref="J36:AG36" si="2">SUM(J28:J34)</f>
        <v>1759431.5616620169</v>
      </c>
      <c r="K36" s="170">
        <f t="shared" si="2"/>
        <v>1566993.7346052339</v>
      </c>
      <c r="L36" s="170">
        <f t="shared" si="2"/>
        <v>1374555.9075484506</v>
      </c>
      <c r="M36" s="170">
        <f t="shared" si="2"/>
        <v>1182118.0804916676</v>
      </c>
      <c r="N36" s="170">
        <f t="shared" si="2"/>
        <v>989680.25343488448</v>
      </c>
      <c r="O36" s="170">
        <f t="shared" si="2"/>
        <v>797242.42637810134</v>
      </c>
      <c r="P36" s="170">
        <f t="shared" si="2"/>
        <v>604804.59932131821</v>
      </c>
      <c r="Q36" s="170">
        <f t="shared" si="2"/>
        <v>412366.77226453519</v>
      </c>
      <c r="R36" s="170">
        <f t="shared" si="2"/>
        <v>219928.94520775211</v>
      </c>
      <c r="S36" s="170">
        <f t="shared" si="2"/>
        <v>27491.118150969014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123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192437.82705678302</v>
      </c>
      <c r="K64" s="132">
        <f>(1-INDEX(Data!$C$9:$C$13, MATCH($A$3, options,0)))*('Option1 (base case)'!K36-K36)</f>
        <v>384875.65411356604</v>
      </c>
      <c r="L64" s="132">
        <f>(1-INDEX(Data!$C$9:$C$13, MATCH($A$3, options,0)))*('Option1 (base case)'!L36-L36)</f>
        <v>577313.48117034929</v>
      </c>
      <c r="M64" s="132">
        <f>(1-INDEX(Data!$C$9:$C$13, MATCH($A$3, options,0)))*('Option1 (base case)'!M36-M36)</f>
        <v>769751.30822713231</v>
      </c>
      <c r="N64" s="132">
        <f>(1-INDEX(Data!$C$9:$C$13, MATCH($A$3, options,0)))*('Option1 (base case)'!N36-N36)</f>
        <v>962189.13528391544</v>
      </c>
      <c r="O64" s="132">
        <f>(1-INDEX(Data!$C$9:$C$13, MATCH($A$3, options,0)))*('Option1 (base case)'!O36-O36)</f>
        <v>1154626.9623406986</v>
      </c>
      <c r="P64" s="132">
        <f>(1-INDEX(Data!$C$9:$C$13, MATCH($A$3, options,0)))*('Option1 (base case)'!P36-P36)</f>
        <v>1347064.7893974818</v>
      </c>
      <c r="Q64" s="132">
        <f>(1-INDEX(Data!$C$9:$C$13, MATCH($A$3, options,0)))*('Option1 (base case)'!Q36-Q36)</f>
        <v>1539502.6164542646</v>
      </c>
      <c r="R64" s="132">
        <f>(1-INDEX(Data!$C$9:$C$13, MATCH($A$3, options,0)))*('Option1 (base case)'!R36-R36)</f>
        <v>1731940.4435110479</v>
      </c>
      <c r="S64" s="132">
        <f>(1-INDEX(Data!$C$9:$C$13, MATCH($A$3, options,0)))*('Option1 (base case)'!S36-S36)</f>
        <v>1924378.2705678309</v>
      </c>
      <c r="T64" s="132">
        <f>(1-INDEX(Data!$C$9:$C$13, MATCH($A$3, options,0)))*('Option1 (base case)'!T36-T36)</f>
        <v>1951869.3887187999</v>
      </c>
      <c r="U64" s="132">
        <f>(1-INDEX(Data!$C$9:$C$13, MATCH($A$3, options,0)))*('Option1 (base case)'!U36-U36)</f>
        <v>1951869.3887187999</v>
      </c>
      <c r="V64" s="132">
        <f>(1-INDEX(Data!$C$9:$C$13, MATCH($A$3, options,0)))*('Option1 (base case)'!V36-V36)</f>
        <v>1951869.3887187999</v>
      </c>
      <c r="W64" s="132">
        <f>(1-INDEX(Data!$C$9:$C$13, MATCH($A$3, options,0)))*('Option1 (base case)'!W36-W36)</f>
        <v>1951869.3887187999</v>
      </c>
      <c r="X64" s="132">
        <f>(1-INDEX(Data!$C$9:$C$13, MATCH($A$3, options,0)))*('Option1 (base case)'!X36-X36)</f>
        <v>1951869.3887187999</v>
      </c>
      <c r="Y64" s="132">
        <f>(1-INDEX(Data!$C$9:$C$13, MATCH($A$3, options,0)))*('Option1 (base case)'!Y36-Y36)</f>
        <v>1951869.3887187999</v>
      </c>
      <c r="Z64" s="132">
        <f>(1-INDEX(Data!$C$9:$C$13, MATCH($A$3, options,0)))*('Option1 (base case)'!Z36-Z36)</f>
        <v>1951869.3887187999</v>
      </c>
      <c r="AA64" s="132">
        <f>(1-INDEX(Data!$C$9:$C$13, MATCH($A$3, options,0)))*('Option1 (base case)'!AA36-AA36)</f>
        <v>1951869.3887187999</v>
      </c>
      <c r="AB64" s="132">
        <f>(1-INDEX(Data!$C$9:$C$13, MATCH($A$3, options,0)))*('Option1 (base case)'!AB36-AB36)</f>
        <v>1951869.3887187999</v>
      </c>
      <c r="AC64" s="132">
        <f>(1-INDEX(Data!$C$9:$C$13, MATCH($A$3, options,0)))*('Option1 (base case)'!AC36-AC36)</f>
        <v>1951869.3887187999</v>
      </c>
      <c r="AD64" s="132">
        <f>(1-INDEX(Data!$C$9:$C$13, MATCH($A$3, options,0)))*('Option1 (base case)'!AD36-AD36)</f>
        <v>1951869.3887187999</v>
      </c>
      <c r="AE64" s="132">
        <f>(1-INDEX(Data!$C$9:$C$13, MATCH($A$3, options,0)))*('Option1 (base case)'!AE36-AE36)</f>
        <v>1951869.3887187999</v>
      </c>
      <c r="AF64" s="132">
        <f>(1-INDEX(Data!$C$9:$C$13, MATCH($A$3, options,0)))*('Option1 (base case)'!AF36-AF36)</f>
        <v>1951869.3887187999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air break switches over 10 year</v>
      </c>
      <c r="D67" s="38"/>
      <c r="F67" s="97"/>
      <c r="G67" s="210">
        <f>input_dollars</f>
        <v>45291</v>
      </c>
      <c r="H67" s="31"/>
      <c r="I67" s="119">
        <f t="shared" ref="I67:AG67" si="4">-I14</f>
        <v>-515060</v>
      </c>
      <c r="J67" s="119">
        <f t="shared" si="4"/>
        <v>-515060</v>
      </c>
      <c r="K67" s="119">
        <f t="shared" si="4"/>
        <v>-515060</v>
      </c>
      <c r="L67" s="119">
        <f t="shared" si="4"/>
        <v>-515060</v>
      </c>
      <c r="M67" s="119">
        <f t="shared" si="4"/>
        <v>-515060</v>
      </c>
      <c r="N67" s="119">
        <f t="shared" si="4"/>
        <v>-515060</v>
      </c>
      <c r="O67" s="119">
        <f t="shared" si="4"/>
        <v>-515060</v>
      </c>
      <c r="P67" s="119">
        <f t="shared" si="4"/>
        <v>-515060</v>
      </c>
      <c r="Q67" s="119">
        <f t="shared" si="4"/>
        <v>-515060</v>
      </c>
      <c r="R67" s="119">
        <f t="shared" si="4"/>
        <v>-515060</v>
      </c>
      <c r="S67" s="119">
        <f t="shared" si="4"/>
        <v>-73580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air break switches over 10 year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-515060</v>
      </c>
      <c r="J72" s="119" cm="1">
        <f t="array" ref="J72">SUMPRODUCT(($I67:J67))-SUMPRODUCT(($I67:J67)*($I$6:J$6&lt;=(J$6-$E14)))</f>
        <v>-1030120</v>
      </c>
      <c r="K72" s="119" cm="1">
        <f t="array" ref="K72">SUMPRODUCT(($I67:K67))-SUMPRODUCT(($I67:K67)*($I$6:K$6&lt;=(K$6-$E14)))</f>
        <v>-1545180</v>
      </c>
      <c r="L72" s="119" cm="1">
        <f t="array" ref="L72">SUMPRODUCT(($I67:L67))-SUMPRODUCT(($I67:L67)*($I$6:L$6&lt;=(L$6-$E14)))</f>
        <v>-2060240</v>
      </c>
      <c r="M72" s="119" cm="1">
        <f t="array" ref="M72">SUMPRODUCT(($I67:M67))-SUMPRODUCT(($I67:M67)*($I$6:M$6&lt;=(M$6-$E14)))</f>
        <v>-2575300</v>
      </c>
      <c r="N72" s="119" cm="1">
        <f t="array" ref="N72">SUMPRODUCT(($I67:N67))-SUMPRODUCT(($I67:N67)*($I$6:N$6&lt;=(N$6-$E14)))</f>
        <v>-3090360</v>
      </c>
      <c r="O72" s="119" cm="1">
        <f t="array" ref="O72">SUMPRODUCT(($I67:O67))-SUMPRODUCT(($I67:O67)*($I$6:O$6&lt;=(O$6-$E14)))</f>
        <v>-3605420</v>
      </c>
      <c r="P72" s="119" cm="1">
        <f t="array" ref="P72">SUMPRODUCT(($I67:P67))-SUMPRODUCT(($I67:P67)*($I$6:P$6&lt;=(P$6-$E14)))</f>
        <v>-4120480</v>
      </c>
      <c r="Q72" s="119" cm="1">
        <f t="array" ref="Q72">SUMPRODUCT(($I67:Q67))-SUMPRODUCT(($I67:Q67)*($I$6:Q$6&lt;=(Q$6-$E14)))</f>
        <v>-4635540</v>
      </c>
      <c r="R72" s="119" cm="1">
        <f t="array" ref="R72">SUMPRODUCT(($I67:R67))-SUMPRODUCT(($I67:R67)*($I$6:R$6&lt;=(R$6-$E14)))</f>
        <v>-5150600</v>
      </c>
      <c r="S72" s="119" cm="1">
        <f t="array" ref="S72">SUMPRODUCT(($I67:S67))-SUMPRODUCT(($I67:S67)*($I$6:S$6&lt;=(S$6-$E14)))</f>
        <v>-5224180</v>
      </c>
      <c r="T72" s="119" cm="1">
        <f t="array" ref="T72">SUMPRODUCT(($I67:T67))-SUMPRODUCT(($I67:T67)*($I$6:T$6&lt;=(T$6-$E14)))</f>
        <v>-5224180</v>
      </c>
      <c r="U72" s="119" cm="1">
        <f t="array" ref="U72">SUMPRODUCT(($I67:U67))-SUMPRODUCT(($I67:U67)*($I$6:U$6&lt;=(U$6-$E14)))</f>
        <v>-5224180</v>
      </c>
      <c r="V72" s="119" cm="1">
        <f t="array" ref="V72">SUMPRODUCT(($I67:V67))-SUMPRODUCT(($I67:V67)*($I$6:V$6&lt;=(V$6-$E14)))</f>
        <v>-5224180</v>
      </c>
      <c r="W72" s="119" cm="1">
        <f t="array" ref="W72">SUMPRODUCT(($I67:W67))-SUMPRODUCT(($I67:W67)*($I$6:W$6&lt;=(W$6-$E14)))</f>
        <v>-5224180</v>
      </c>
      <c r="X72" s="119" cm="1">
        <f t="array" ref="X72">SUMPRODUCT(($I67:X67))-SUMPRODUCT(($I67:X67)*($I$6:X$6&lt;=(X$6-$E14)))</f>
        <v>-5224180</v>
      </c>
      <c r="Y72" s="119" cm="1">
        <f t="array" ref="Y72">SUMPRODUCT(($I67:Y67))-SUMPRODUCT(($I67:Y67)*($I$6:Y$6&lt;=(Y$6-$E14)))</f>
        <v>-5224180</v>
      </c>
      <c r="Z72" s="119" cm="1">
        <f t="array" ref="Z72">SUMPRODUCT(($I67:Z67))-SUMPRODUCT(($I67:Z67)*($I$6:Z$6&lt;=(Z$6-$E14)))</f>
        <v>-5224180</v>
      </c>
      <c r="AA72" s="119" cm="1">
        <f t="array" ref="AA72">SUMPRODUCT(($I67:AA67))-SUMPRODUCT(($I67:AA67)*($I$6:AA$6&lt;=(AA$6-$E14)))</f>
        <v>-5224180</v>
      </c>
      <c r="AB72" s="119" cm="1">
        <f t="array" ref="AB72">SUMPRODUCT(($I67:AB67))-SUMPRODUCT(($I67:AB67)*($I$6:AB$6&lt;=(AB$6-$E14)))</f>
        <v>-5224180</v>
      </c>
      <c r="AC72" s="119" cm="1">
        <f t="array" ref="AC72">SUMPRODUCT(($I67:AC67))-SUMPRODUCT(($I67:AC67)*($I$6:AC$6&lt;=(AC$6-$E14)))</f>
        <v>-5224180</v>
      </c>
      <c r="AD72" s="119" cm="1">
        <f t="array" ref="AD72">SUMPRODUCT(($I67:AD67))-SUMPRODUCT(($I67:AD67)*($I$6:AD$6&lt;=(AD$6-$E14)))</f>
        <v>-5224180</v>
      </c>
      <c r="AE72" s="119" cm="1">
        <f t="array" ref="AE72">SUMPRODUCT(($I67:AE67))-SUMPRODUCT(($I67:AE67)*($I$6:AE$6&lt;=(AE$6-$E14)))</f>
        <v>-5224180</v>
      </c>
      <c r="AF72" s="119" cm="1">
        <f t="array" ref="AF72">SUMPRODUCT(($I67:AF67))-SUMPRODUCT(($I67:AF67)*($I$6:AF$6&lt;=(AF$6-$E14)))</f>
        <v>-5224180</v>
      </c>
      <c r="AG72" s="119" cm="1">
        <f t="array" ref="AG72">SUMPRODUCT(($I67:AG67))-SUMPRODUCT(($I67:AG67)*($I$6:AG$6&lt;=(AG$6-$E14)))</f>
        <v>-5224180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air break switches over 10 year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-21227.286101774924</v>
      </c>
      <c r="K77" s="119">
        <f t="shared" si="7"/>
        <v>-42454.572203549847</v>
      </c>
      <c r="L77" s="119">
        <f t="shared" si="7"/>
        <v>-63681.858305324778</v>
      </c>
      <c r="M77" s="119">
        <f t="shared" si="7"/>
        <v>-84909.144407099695</v>
      </c>
      <c r="N77" s="119">
        <f t="shared" si="7"/>
        <v>-106136.43050887463</v>
      </c>
      <c r="O77" s="119">
        <f t="shared" si="7"/>
        <v>-127363.71661064956</v>
      </c>
      <c r="P77" s="119">
        <f t="shared" si="7"/>
        <v>-148591.00271242447</v>
      </c>
      <c r="Q77" s="119">
        <f t="shared" si="7"/>
        <v>-169818.28881419939</v>
      </c>
      <c r="R77" s="119">
        <f t="shared" si="7"/>
        <v>-191045.57491597434</v>
      </c>
      <c r="S77" s="119">
        <f t="shared" si="7"/>
        <v>-212272.86101774927</v>
      </c>
      <c r="T77" s="119">
        <f t="shared" si="7"/>
        <v>-215305.33046085996</v>
      </c>
      <c r="U77" s="119">
        <f t="shared" si="7"/>
        <v>-215305.33046085996</v>
      </c>
      <c r="V77" s="119">
        <f t="shared" si="7"/>
        <v>-215305.33046085996</v>
      </c>
      <c r="W77" s="119">
        <f t="shared" si="7"/>
        <v>-215305.33046085996</v>
      </c>
      <c r="X77" s="119">
        <f t="shared" si="7"/>
        <v>-215305.33046085996</v>
      </c>
      <c r="Y77" s="119">
        <f t="shared" si="7"/>
        <v>-215305.33046085996</v>
      </c>
      <c r="Z77" s="119">
        <f t="shared" si="7"/>
        <v>-215305.33046085996</v>
      </c>
      <c r="AA77" s="119">
        <f t="shared" si="7"/>
        <v>-215305.33046085996</v>
      </c>
      <c r="AB77" s="119">
        <f t="shared" si="7"/>
        <v>-215305.33046085996</v>
      </c>
      <c r="AC77" s="119">
        <f t="shared" si="7"/>
        <v>-215305.33046085996</v>
      </c>
      <c r="AD77" s="119">
        <f t="shared" si="7"/>
        <v>-215305.33046085996</v>
      </c>
      <c r="AE77" s="119">
        <f t="shared" si="7"/>
        <v>-215305.33046085996</v>
      </c>
      <c r="AF77" s="119">
        <f t="shared" si="7"/>
        <v>-215305.33046085996</v>
      </c>
      <c r="AG77" s="119">
        <f t="shared" si="7"/>
        <v>-215305.33046085996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-21227.286101774924</v>
      </c>
      <c r="K80" s="176">
        <f t="shared" si="10"/>
        <v>-42454.572203549847</v>
      </c>
      <c r="L80" s="176">
        <f t="shared" si="10"/>
        <v>-63681.858305324778</v>
      </c>
      <c r="M80" s="176">
        <f t="shared" si="10"/>
        <v>-84909.144407099695</v>
      </c>
      <c r="N80" s="176">
        <f t="shared" si="10"/>
        <v>-106136.43050887463</v>
      </c>
      <c r="O80" s="176">
        <f t="shared" si="10"/>
        <v>-127363.71661064956</v>
      </c>
      <c r="P80" s="176">
        <f t="shared" si="10"/>
        <v>-148591.00271242447</v>
      </c>
      <c r="Q80" s="176">
        <f t="shared" si="10"/>
        <v>-169818.28881419939</v>
      </c>
      <c r="R80" s="176">
        <f t="shared" si="10"/>
        <v>-191045.57491597434</v>
      </c>
      <c r="S80" s="176">
        <f t="shared" si="10"/>
        <v>-212272.86101774927</v>
      </c>
      <c r="T80" s="176">
        <f t="shared" si="10"/>
        <v>-215305.33046085996</v>
      </c>
      <c r="U80" s="176">
        <f t="shared" si="10"/>
        <v>-215305.33046085996</v>
      </c>
      <c r="V80" s="176">
        <f t="shared" si="10"/>
        <v>-215305.33046085996</v>
      </c>
      <c r="W80" s="176">
        <f t="shared" si="10"/>
        <v>-215305.33046085996</v>
      </c>
      <c r="X80" s="176">
        <f t="shared" si="10"/>
        <v>-215305.33046085996</v>
      </c>
      <c r="Y80" s="176">
        <f t="shared" si="10"/>
        <v>-215305.33046085996</v>
      </c>
      <c r="Z80" s="176">
        <f t="shared" si="10"/>
        <v>-215305.33046085996</v>
      </c>
      <c r="AA80" s="176">
        <f t="shared" si="10"/>
        <v>-215305.33046085996</v>
      </c>
      <c r="AB80" s="176">
        <f t="shared" si="10"/>
        <v>-215305.33046085996</v>
      </c>
      <c r="AC80" s="176">
        <f>SUM(AC77:AC79)</f>
        <v>-215305.33046085996</v>
      </c>
      <c r="AD80" s="176">
        <f>SUM(AD77:AD79)</f>
        <v>-215305.33046085996</v>
      </c>
      <c r="AE80" s="176">
        <f>SUM(AE77:AE79)</f>
        <v>-215305.33046085996</v>
      </c>
      <c r="AF80" s="176">
        <f>SUM(AF77:AF79)</f>
        <v>-215305.33046085996</v>
      </c>
      <c r="AG80" s="176">
        <f>SUM(AG77:AG79)</f>
        <v>-215305.33046085996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-21227.286101774924</v>
      </c>
      <c r="K82" s="119">
        <f t="shared" si="12"/>
        <v>-42454.572203549847</v>
      </c>
      <c r="L82" s="119">
        <f t="shared" si="12"/>
        <v>-63681.858305324778</v>
      </c>
      <c r="M82" s="119">
        <f t="shared" si="12"/>
        <v>-84909.144407099695</v>
      </c>
      <c r="N82" s="119">
        <f t="shared" si="12"/>
        <v>-106136.43050887463</v>
      </c>
      <c r="O82" s="119">
        <f t="shared" si="12"/>
        <v>-127363.71661064956</v>
      </c>
      <c r="P82" s="119">
        <f t="shared" si="12"/>
        <v>-148591.00271242447</v>
      </c>
      <c r="Q82" s="119">
        <f t="shared" si="12"/>
        <v>-169818.28881419939</v>
      </c>
      <c r="R82" s="119">
        <f t="shared" si="12"/>
        <v>-191045.57491597434</v>
      </c>
      <c r="S82" s="119">
        <f t="shared" si="12"/>
        <v>-212272.86101774927</v>
      </c>
      <c r="T82" s="119">
        <f t="shared" si="12"/>
        <v>-215305.33046085996</v>
      </c>
      <c r="U82" s="119">
        <f t="shared" si="12"/>
        <v>-215305.33046085996</v>
      </c>
      <c r="V82" s="119">
        <f t="shared" si="12"/>
        <v>-215305.33046085996</v>
      </c>
      <c r="W82" s="119">
        <f t="shared" si="12"/>
        <v>-215305.33046085996</v>
      </c>
      <c r="X82" s="119">
        <f t="shared" si="12"/>
        <v>-215305.33046085996</v>
      </c>
      <c r="Y82" s="119">
        <f t="shared" si="12"/>
        <v>-215305.33046085996</v>
      </c>
      <c r="Z82" s="119">
        <f t="shared" si="12"/>
        <v>-215305.33046085996</v>
      </c>
      <c r="AA82" s="119">
        <f t="shared" si="12"/>
        <v>-215305.33046085996</v>
      </c>
      <c r="AB82" s="119">
        <f t="shared" si="12"/>
        <v>-215305.33046085996</v>
      </c>
      <c r="AC82" s="119">
        <f>AC80</f>
        <v>-215305.33046085996</v>
      </c>
      <c r="AD82" s="119">
        <f>AD80</f>
        <v>-215305.33046085996</v>
      </c>
      <c r="AE82" s="119">
        <f>AE80</f>
        <v>-215305.33046085996</v>
      </c>
      <c r="AF82" s="119">
        <f>AF80</f>
        <v>-215305.33046085996</v>
      </c>
      <c r="AG82" s="119">
        <f>AG80</f>
        <v>-215305.33046085996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192437.82705678302</v>
      </c>
      <c r="K84" s="31">
        <f t="shared" si="14"/>
        <v>384875.65411356604</v>
      </c>
      <c r="L84" s="31">
        <f t="shared" si="14"/>
        <v>577313.48117034929</v>
      </c>
      <c r="M84" s="31">
        <f t="shared" si="14"/>
        <v>769751.30822713231</v>
      </c>
      <c r="N84" s="31">
        <f t="shared" si="14"/>
        <v>962189.13528391544</v>
      </c>
      <c r="O84" s="31">
        <f t="shared" si="14"/>
        <v>1154626.9623406986</v>
      </c>
      <c r="P84" s="31">
        <f t="shared" si="14"/>
        <v>1347064.7893974818</v>
      </c>
      <c r="Q84" s="31">
        <f t="shared" si="14"/>
        <v>1539502.6164542646</v>
      </c>
      <c r="R84" s="31">
        <f t="shared" si="14"/>
        <v>1731940.4435110479</v>
      </c>
      <c r="S84" s="31">
        <f t="shared" si="14"/>
        <v>1924378.2705678309</v>
      </c>
      <c r="T84" s="31">
        <f t="shared" si="14"/>
        <v>1951869.3887187999</v>
      </c>
      <c r="U84" s="31">
        <f t="shared" si="14"/>
        <v>1951869.3887187999</v>
      </c>
      <c r="V84" s="31">
        <f t="shared" si="14"/>
        <v>1951869.3887187999</v>
      </c>
      <c r="W84" s="31">
        <f t="shared" si="14"/>
        <v>1951869.3887187999</v>
      </c>
      <c r="X84" s="31">
        <f t="shared" si="14"/>
        <v>1951869.3887187999</v>
      </c>
      <c r="Y84" s="31">
        <f t="shared" si="14"/>
        <v>1951869.3887187999</v>
      </c>
      <c r="Z84" s="31">
        <f t="shared" si="14"/>
        <v>1951869.3887187999</v>
      </c>
      <c r="AA84" s="31">
        <f t="shared" si="14"/>
        <v>1951869.3887187999</v>
      </c>
      <c r="AB84" s="31">
        <f t="shared" si="14"/>
        <v>1951869.3887187999</v>
      </c>
      <c r="AC84" s="31">
        <f>AC64</f>
        <v>1951869.3887187999</v>
      </c>
      <c r="AD84" s="31">
        <f>AD64</f>
        <v>1951869.3887187999</v>
      </c>
      <c r="AE84" s="31">
        <f>AE64</f>
        <v>1951869.3887187999</v>
      </c>
      <c r="AF84" s="31">
        <f>AF64</f>
        <v>1951869.3887187999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171210.54095500809</v>
      </c>
      <c r="K87" s="179">
        <f t="shared" si="16"/>
        <v>342421.08191001619</v>
      </c>
      <c r="L87" s="179">
        <f t="shared" si="16"/>
        <v>513631.62286502449</v>
      </c>
      <c r="M87" s="179">
        <f t="shared" si="16"/>
        <v>684842.16382003261</v>
      </c>
      <c r="N87" s="179">
        <f t="shared" si="16"/>
        <v>856052.70477504085</v>
      </c>
      <c r="O87" s="179">
        <f t="shared" si="16"/>
        <v>1027263.245730049</v>
      </c>
      <c r="P87" s="179">
        <f t="shared" si="16"/>
        <v>1198473.7866850575</v>
      </c>
      <c r="Q87" s="179">
        <f t="shared" si="16"/>
        <v>1369684.3276400652</v>
      </c>
      <c r="R87" s="179">
        <f t="shared" si="16"/>
        <v>1540894.8685950735</v>
      </c>
      <c r="S87" s="179">
        <f t="shared" si="16"/>
        <v>1712105.4095500817</v>
      </c>
      <c r="T87" s="179">
        <f t="shared" si="16"/>
        <v>1736564.05825794</v>
      </c>
      <c r="U87" s="179">
        <f t="shared" si="16"/>
        <v>1736564.05825794</v>
      </c>
      <c r="V87" s="179">
        <f t="shared" si="16"/>
        <v>1736564.05825794</v>
      </c>
      <c r="W87" s="179">
        <f t="shared" si="16"/>
        <v>1736564.05825794</v>
      </c>
      <c r="X87" s="179">
        <f t="shared" si="16"/>
        <v>1736564.05825794</v>
      </c>
      <c r="Y87" s="179">
        <f t="shared" si="16"/>
        <v>1736564.05825794</v>
      </c>
      <c r="Z87" s="179">
        <f t="shared" si="16"/>
        <v>1736564.05825794</v>
      </c>
      <c r="AA87" s="179">
        <f t="shared" si="16"/>
        <v>1736564.05825794</v>
      </c>
      <c r="AB87" s="179">
        <f t="shared" si="16"/>
        <v>1736564.05825794</v>
      </c>
      <c r="AC87" s="179">
        <f>SUM(AC82:AC86)</f>
        <v>1736564.05825794</v>
      </c>
      <c r="AD87" s="179">
        <f>SUM(AD82:AD86)</f>
        <v>1736564.05825794</v>
      </c>
      <c r="AE87" s="179">
        <f>SUM(AE82:AE86)</f>
        <v>1736564.05825794</v>
      </c>
      <c r="AF87" s="179">
        <f>SUM(AF82:AF86)</f>
        <v>1736564.05825794</v>
      </c>
      <c r="AG87" s="179">
        <f>SUM(AG82:AG86)</f>
        <v>-215305.33046085996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4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7">J87</f>
        <v>171210.54095500809</v>
      </c>
      <c r="K106" s="31">
        <f t="shared" si="17"/>
        <v>342421.08191001619</v>
      </c>
      <c r="L106" s="31">
        <f t="shared" si="17"/>
        <v>513631.62286502449</v>
      </c>
      <c r="M106" s="31">
        <f t="shared" si="17"/>
        <v>684842.16382003261</v>
      </c>
      <c r="N106" s="31">
        <f t="shared" si="17"/>
        <v>856052.70477504085</v>
      </c>
      <c r="O106" s="31">
        <f t="shared" si="17"/>
        <v>1027263.245730049</v>
      </c>
      <c r="P106" s="31">
        <f t="shared" si="17"/>
        <v>1198473.7866850575</v>
      </c>
      <c r="Q106" s="31">
        <f t="shared" si="17"/>
        <v>1369684.3276400652</v>
      </c>
      <c r="R106" s="31">
        <f t="shared" si="17"/>
        <v>1540894.8685950735</v>
      </c>
      <c r="S106" s="31">
        <f t="shared" si="17"/>
        <v>1712105.4095500817</v>
      </c>
      <c r="T106" s="31">
        <f t="shared" si="17"/>
        <v>1736564.05825794</v>
      </c>
      <c r="U106" s="31">
        <f t="shared" si="17"/>
        <v>1736564.05825794</v>
      </c>
      <c r="V106" s="31">
        <f t="shared" si="17"/>
        <v>1736564.05825794</v>
      </c>
      <c r="W106" s="31">
        <f t="shared" si="17"/>
        <v>1736564.05825794</v>
      </c>
      <c r="X106" s="31">
        <f t="shared" si="17"/>
        <v>1736564.05825794</v>
      </c>
      <c r="Y106" s="31">
        <f t="shared" si="17"/>
        <v>1736564.05825794</v>
      </c>
      <c r="Z106" s="31">
        <f t="shared" si="17"/>
        <v>1736564.05825794</v>
      </c>
      <c r="AA106" s="31">
        <f t="shared" si="17"/>
        <v>1736564.05825794</v>
      </c>
      <c r="AB106" s="31">
        <f t="shared" si="17"/>
        <v>1736564.05825794</v>
      </c>
      <c r="AC106" s="31">
        <f t="shared" si="17"/>
        <v>1736564.05825794</v>
      </c>
      <c r="AD106" s="31">
        <f t="shared" si="17"/>
        <v>1736564.05825794</v>
      </c>
      <c r="AE106" s="31">
        <f t="shared" si="17"/>
        <v>1736564.05825794</v>
      </c>
      <c r="AF106" s="31">
        <f t="shared" si="17"/>
        <v>1736564.05825794</v>
      </c>
      <c r="AG106" s="31">
        <f t="shared" si="17"/>
        <v>-215305.33046085996</v>
      </c>
    </row>
    <row r="107" spans="1:43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-21227.286101774924</v>
      </c>
      <c r="K107" s="31">
        <f t="shared" si="18"/>
        <v>-42454.572203549847</v>
      </c>
      <c r="L107" s="31">
        <f t="shared" si="18"/>
        <v>-63681.858305324778</v>
      </c>
      <c r="M107" s="31">
        <f t="shared" si="18"/>
        <v>-84909.144407099695</v>
      </c>
      <c r="N107" s="31">
        <f t="shared" si="18"/>
        <v>-106136.43050887463</v>
      </c>
      <c r="O107" s="31">
        <f t="shared" si="18"/>
        <v>-127363.71661064956</v>
      </c>
      <c r="P107" s="31">
        <f t="shared" si="18"/>
        <v>-148591.00271242447</v>
      </c>
      <c r="Q107" s="31">
        <f t="shared" si="18"/>
        <v>-169818.28881419939</v>
      </c>
      <c r="R107" s="31">
        <f t="shared" si="18"/>
        <v>-191045.57491597434</v>
      </c>
      <c r="S107" s="31">
        <f t="shared" si="18"/>
        <v>-212272.86101774927</v>
      </c>
      <c r="T107" s="31">
        <f t="shared" si="18"/>
        <v>-215305.33046085996</v>
      </c>
      <c r="U107" s="31">
        <f t="shared" si="18"/>
        <v>-215305.33046085996</v>
      </c>
      <c r="V107" s="31">
        <f t="shared" si="18"/>
        <v>-215305.33046085996</v>
      </c>
      <c r="W107" s="31">
        <f t="shared" si="18"/>
        <v>-215305.33046085996</v>
      </c>
      <c r="X107" s="31">
        <f t="shared" si="18"/>
        <v>-215305.33046085996</v>
      </c>
      <c r="Y107" s="31">
        <f t="shared" si="18"/>
        <v>-215305.33046085996</v>
      </c>
      <c r="Z107" s="31">
        <f t="shared" si="18"/>
        <v>-215305.33046085996</v>
      </c>
      <c r="AA107" s="31">
        <f t="shared" si="18"/>
        <v>-215305.33046085996</v>
      </c>
      <c r="AB107" s="31">
        <f t="shared" si="18"/>
        <v>-215305.33046085996</v>
      </c>
      <c r="AC107" s="31">
        <f t="shared" si="18"/>
        <v>-215305.33046085996</v>
      </c>
      <c r="AD107" s="31">
        <f t="shared" si="18"/>
        <v>-215305.33046085996</v>
      </c>
      <c r="AE107" s="31">
        <f t="shared" si="18"/>
        <v>-215305.33046085996</v>
      </c>
      <c r="AF107" s="31">
        <f t="shared" si="18"/>
        <v>-215305.33046085996</v>
      </c>
      <c r="AG107" s="31">
        <f t="shared" si="18"/>
        <v>-215305.33046085996</v>
      </c>
    </row>
    <row r="108" spans="1:43" x14ac:dyDescent="0.3">
      <c r="C108" s="1" t="s">
        <v>235</v>
      </c>
      <c r="D108"/>
      <c r="E108"/>
      <c r="G108"/>
      <c r="I108" s="31">
        <f>SUM(I84:I85)</f>
        <v>0</v>
      </c>
      <c r="J108" s="31">
        <f t="shared" ref="J108:AG108" si="19">SUM(J84:J85)</f>
        <v>192437.82705678302</v>
      </c>
      <c r="K108" s="31">
        <f t="shared" si="19"/>
        <v>384875.65411356604</v>
      </c>
      <c r="L108" s="31">
        <f t="shared" si="19"/>
        <v>577313.48117034929</v>
      </c>
      <c r="M108" s="31">
        <f t="shared" si="19"/>
        <v>769751.30822713231</v>
      </c>
      <c r="N108" s="31">
        <f t="shared" si="19"/>
        <v>962189.13528391544</v>
      </c>
      <c r="O108" s="31">
        <f t="shared" si="19"/>
        <v>1154626.9623406986</v>
      </c>
      <c r="P108" s="31">
        <f t="shared" si="19"/>
        <v>1347064.7893974818</v>
      </c>
      <c r="Q108" s="31">
        <f t="shared" si="19"/>
        <v>1539502.6164542646</v>
      </c>
      <c r="R108" s="31">
        <f t="shared" si="19"/>
        <v>1731940.4435110479</v>
      </c>
      <c r="S108" s="31">
        <f t="shared" si="19"/>
        <v>1924378.2705678309</v>
      </c>
      <c r="T108" s="31">
        <f t="shared" si="19"/>
        <v>1951869.3887187999</v>
      </c>
      <c r="U108" s="31">
        <f t="shared" si="19"/>
        <v>1951869.3887187999</v>
      </c>
      <c r="V108" s="31">
        <f t="shared" si="19"/>
        <v>1951869.3887187999</v>
      </c>
      <c r="W108" s="31">
        <f t="shared" si="19"/>
        <v>1951869.3887187999</v>
      </c>
      <c r="X108" s="31">
        <f t="shared" si="19"/>
        <v>1951869.3887187999</v>
      </c>
      <c r="Y108" s="31">
        <f t="shared" si="19"/>
        <v>1951869.3887187999</v>
      </c>
      <c r="Z108" s="31">
        <f t="shared" si="19"/>
        <v>1951869.3887187999</v>
      </c>
      <c r="AA108" s="31">
        <f t="shared" si="19"/>
        <v>1951869.3887187999</v>
      </c>
      <c r="AB108" s="31">
        <f t="shared" si="19"/>
        <v>1951869.3887187999</v>
      </c>
      <c r="AC108" s="31">
        <f t="shared" si="19"/>
        <v>1951869.3887187999</v>
      </c>
      <c r="AD108" s="31">
        <f t="shared" si="19"/>
        <v>1951869.3887187999</v>
      </c>
      <c r="AE108" s="31">
        <f t="shared" si="19"/>
        <v>1951869.3887187999</v>
      </c>
      <c r="AF108" s="31">
        <f t="shared" si="19"/>
        <v>1951869.3887187999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169087.8123448306</v>
      </c>
      <c r="K110" s="31" cm="1">
        <f t="array" ref="K110">K$106+IF($C110&lt;&gt;0,SUMPRODUCT((K$107:K$108)*TRANSPOSE(($D110:$E110))),0)</f>
        <v>338175.6246896612</v>
      </c>
      <c r="L110" s="31" cm="1">
        <f t="array" ref="L110">L$106+IF($C110&lt;&gt;0,SUMPRODUCT((L$107:L$108)*TRANSPOSE(($D110:$E110))),0)</f>
        <v>507263.43703449203</v>
      </c>
      <c r="M110" s="31" cm="1">
        <f t="array" ref="M110">M$106+IF($C110&lt;&gt;0,SUMPRODUCT((M$107:M$108)*TRANSPOSE(($D110:$E110))),0)</f>
        <v>676351.24937932263</v>
      </c>
      <c r="N110" s="31" cm="1">
        <f t="array" ref="N110">N$106+IF($C110&lt;&gt;0,SUMPRODUCT((N$107:N$108)*TRANSPOSE(($D110:$E110))),0)</f>
        <v>845439.06172415335</v>
      </c>
      <c r="O110" s="31" cm="1">
        <f t="array" ref="O110">O$106+IF($C110&lt;&gt;0,SUMPRODUCT((O$107:O$108)*TRANSPOSE(($D110:$E110))),0)</f>
        <v>1014526.8740689841</v>
      </c>
      <c r="P110" s="31" cm="1">
        <f t="array" ref="P110">P$106+IF($C110&lt;&gt;0,SUMPRODUCT((P$107:P$108)*TRANSPOSE(($D110:$E110))),0)</f>
        <v>1183614.686413815</v>
      </c>
      <c r="Q110" s="31" cm="1">
        <f t="array" ref="Q110">Q$106+IF($C110&lt;&gt;0,SUMPRODUCT((Q$107:Q$108)*TRANSPOSE(($D110:$E110))),0)</f>
        <v>1352702.4987586453</v>
      </c>
      <c r="R110" s="31" cm="1">
        <f t="array" ref="R110">R$106+IF($C110&lt;&gt;0,SUMPRODUCT((R$107:R$108)*TRANSPOSE(($D110:$E110))),0)</f>
        <v>1521790.311103476</v>
      </c>
      <c r="S110" s="31" cm="1">
        <f t="array" ref="S110">S$106+IF($C110&lt;&gt;0,SUMPRODUCT((S$107:S$108)*TRANSPOSE(($D110:$E110))),0)</f>
        <v>1690878.1234483067</v>
      </c>
      <c r="T110" s="31" cm="1">
        <f t="array" ref="T110">T$106+IF($C110&lt;&gt;0,SUMPRODUCT((T$107:T$108)*TRANSPOSE(($D110:$E110))),0)</f>
        <v>1715033.5252118539</v>
      </c>
      <c r="U110" s="31" cm="1">
        <f t="array" ref="U110">U$106+IF($C110&lt;&gt;0,SUMPRODUCT((U$107:U$108)*TRANSPOSE(($D110:$E110))),0)</f>
        <v>1715033.5252118539</v>
      </c>
      <c r="V110" s="31" cm="1">
        <f t="array" ref="V110">V$106+IF($C110&lt;&gt;0,SUMPRODUCT((V$107:V$108)*TRANSPOSE(($D110:$E110))),0)</f>
        <v>1715033.5252118539</v>
      </c>
      <c r="W110" s="31" cm="1">
        <f t="array" ref="W110">W$106+IF($C110&lt;&gt;0,SUMPRODUCT((W$107:W$108)*TRANSPOSE(($D110:$E110))),0)</f>
        <v>1715033.5252118539</v>
      </c>
      <c r="X110" s="31" cm="1">
        <f t="array" ref="X110">X$106+IF($C110&lt;&gt;0,SUMPRODUCT((X$107:X$108)*TRANSPOSE(($D110:$E110))),0)</f>
        <v>1715033.5252118539</v>
      </c>
      <c r="Y110" s="31" cm="1">
        <f t="array" ref="Y110">Y$106+IF($C110&lt;&gt;0,SUMPRODUCT((Y$107:Y$108)*TRANSPOSE(($D110:$E110))),0)</f>
        <v>1715033.5252118539</v>
      </c>
      <c r="Z110" s="31" cm="1">
        <f t="array" ref="Z110">Z$106+IF($C110&lt;&gt;0,SUMPRODUCT((Z$107:Z$108)*TRANSPOSE(($D110:$E110))),0)</f>
        <v>1715033.5252118539</v>
      </c>
      <c r="AA110" s="31" cm="1">
        <f t="array" ref="AA110">AA$106+IF($C110&lt;&gt;0,SUMPRODUCT((AA$107:AA$108)*TRANSPOSE(($D110:$E110))),0)</f>
        <v>1715033.5252118539</v>
      </c>
      <c r="AB110" s="31" cm="1">
        <f t="array" ref="AB110">AB$106+IF($C110&lt;&gt;0,SUMPRODUCT((AB$107:AB$108)*TRANSPOSE(($D110:$E110))),0)</f>
        <v>1715033.5252118539</v>
      </c>
      <c r="AC110" s="31" cm="1">
        <f t="array" ref="AC110">AC$106+IF($C110&lt;&gt;0,SUMPRODUCT((AC$107:AC$108)*TRANSPOSE(($D110:$E110))),0)</f>
        <v>1715033.5252118539</v>
      </c>
      <c r="AD110" s="31" cm="1">
        <f t="array" ref="AD110">AD$106+IF($C110&lt;&gt;0,SUMPRODUCT((AD$107:AD$108)*TRANSPOSE(($D110:$E110))),0)</f>
        <v>1715033.5252118539</v>
      </c>
      <c r="AE110" s="31" cm="1">
        <f t="array" ref="AE110">AE$106+IF($C110&lt;&gt;0,SUMPRODUCT((AE$107:AE$108)*TRANSPOSE(($D110:$E110))),0)</f>
        <v>1715033.5252118539</v>
      </c>
      <c r="AF110" s="31" cm="1">
        <f t="array" ref="AF110">AF$106+IF($C110&lt;&gt;0,SUMPRODUCT((AF$107:AF$108)*TRANSPOSE(($D110:$E110))),0)</f>
        <v>1715033.5252118539</v>
      </c>
      <c r="AG110" s="31" cm="1">
        <f t="array" ref="AG110">AG$106+IF($C110&lt;&gt;0,SUMPRODUCT((AG$107:AG$108)*TRANSPOSE(($D110:$E110))),0)</f>
        <v>-236835.86350694596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173333.26956518559</v>
      </c>
      <c r="K111" s="31" cm="1">
        <f t="array" ref="K111">K$106+IF($C111&lt;&gt;0,SUMPRODUCT((K$107:K$108)*TRANSPOSE(($D111:$E111))),0)</f>
        <v>346666.53913037118</v>
      </c>
      <c r="L111" s="31" cm="1">
        <f t="array" ref="L111">L$106+IF($C111&lt;&gt;0,SUMPRODUCT((L$107:L$108)*TRANSPOSE(($D111:$E111))),0)</f>
        <v>519999.80869555695</v>
      </c>
      <c r="M111" s="31" cm="1">
        <f t="array" ref="M111">M$106+IF($C111&lt;&gt;0,SUMPRODUCT((M$107:M$108)*TRANSPOSE(($D111:$E111))),0)</f>
        <v>693333.07826074259</v>
      </c>
      <c r="N111" s="31" cm="1">
        <f t="array" ref="N111">N$106+IF($C111&lt;&gt;0,SUMPRODUCT((N$107:N$108)*TRANSPOSE(($D111:$E111))),0)</f>
        <v>866666.34782592836</v>
      </c>
      <c r="O111" s="31" cm="1">
        <f t="array" ref="O111">O$106+IF($C111&lt;&gt;0,SUMPRODUCT((O$107:O$108)*TRANSPOSE(($D111:$E111))),0)</f>
        <v>1039999.6173911139</v>
      </c>
      <c r="P111" s="31" cm="1">
        <f t="array" ref="P111">P$106+IF($C111&lt;&gt;0,SUMPRODUCT((P$107:P$108)*TRANSPOSE(($D111:$E111))),0)</f>
        <v>1213332.8869562999</v>
      </c>
      <c r="Q111" s="31" cm="1">
        <f t="array" ref="Q111">Q$106+IF($C111&lt;&gt;0,SUMPRODUCT((Q$107:Q$108)*TRANSPOSE(($D111:$E111))),0)</f>
        <v>1386666.1565214852</v>
      </c>
      <c r="R111" s="31" cm="1">
        <f t="array" ref="R111">R$106+IF($C111&lt;&gt;0,SUMPRODUCT((R$107:R$108)*TRANSPOSE(($D111:$E111))),0)</f>
        <v>1559999.426086671</v>
      </c>
      <c r="S111" s="31" cm="1">
        <f t="array" ref="S111">S$106+IF($C111&lt;&gt;0,SUMPRODUCT((S$107:S$108)*TRANSPOSE(($D111:$E111))),0)</f>
        <v>1733332.6956518567</v>
      </c>
      <c r="T111" s="31" cm="1">
        <f t="array" ref="T111">T$106+IF($C111&lt;&gt;0,SUMPRODUCT((T$107:T$108)*TRANSPOSE(($D111:$E111))),0)</f>
        <v>1758094.5913040261</v>
      </c>
      <c r="U111" s="31" cm="1">
        <f t="array" ref="U111">U$106+IF($C111&lt;&gt;0,SUMPRODUCT((U$107:U$108)*TRANSPOSE(($D111:$E111))),0)</f>
        <v>1758094.5913040261</v>
      </c>
      <c r="V111" s="31" cm="1">
        <f t="array" ref="V111">V$106+IF($C111&lt;&gt;0,SUMPRODUCT((V$107:V$108)*TRANSPOSE(($D111:$E111))),0)</f>
        <v>1758094.5913040261</v>
      </c>
      <c r="W111" s="31" cm="1">
        <f t="array" ref="W111">W$106+IF($C111&lt;&gt;0,SUMPRODUCT((W$107:W$108)*TRANSPOSE(($D111:$E111))),0)</f>
        <v>1758094.5913040261</v>
      </c>
      <c r="X111" s="31" cm="1">
        <f t="array" ref="X111">X$106+IF($C111&lt;&gt;0,SUMPRODUCT((X$107:X$108)*TRANSPOSE(($D111:$E111))),0)</f>
        <v>1758094.5913040261</v>
      </c>
      <c r="Y111" s="31" cm="1">
        <f t="array" ref="Y111">Y$106+IF($C111&lt;&gt;0,SUMPRODUCT((Y$107:Y$108)*TRANSPOSE(($D111:$E111))),0)</f>
        <v>1758094.5913040261</v>
      </c>
      <c r="Z111" s="31" cm="1">
        <f t="array" ref="Z111">Z$106+IF($C111&lt;&gt;0,SUMPRODUCT((Z$107:Z$108)*TRANSPOSE(($D111:$E111))),0)</f>
        <v>1758094.5913040261</v>
      </c>
      <c r="AA111" s="31" cm="1">
        <f t="array" ref="AA111">AA$106+IF($C111&lt;&gt;0,SUMPRODUCT((AA$107:AA$108)*TRANSPOSE(($D111:$E111))),0)</f>
        <v>1758094.5913040261</v>
      </c>
      <c r="AB111" s="31" cm="1">
        <f t="array" ref="AB111">AB$106+IF($C111&lt;&gt;0,SUMPRODUCT((AB$107:AB$108)*TRANSPOSE(($D111:$E111))),0)</f>
        <v>1758094.5913040261</v>
      </c>
      <c r="AC111" s="31" cm="1">
        <f t="array" ref="AC111">AC$106+IF($C111&lt;&gt;0,SUMPRODUCT((AC$107:AC$108)*TRANSPOSE(($D111:$E111))),0)</f>
        <v>1758094.5913040261</v>
      </c>
      <c r="AD111" s="31" cm="1">
        <f t="array" ref="AD111">AD$106+IF($C111&lt;&gt;0,SUMPRODUCT((AD$107:AD$108)*TRANSPOSE(($D111:$E111))),0)</f>
        <v>1758094.5913040261</v>
      </c>
      <c r="AE111" s="31" cm="1">
        <f t="array" ref="AE111">AE$106+IF($C111&lt;&gt;0,SUMPRODUCT((AE$107:AE$108)*TRANSPOSE(($D111:$E111))),0)</f>
        <v>1758094.5913040261</v>
      </c>
      <c r="AF111" s="31" cm="1">
        <f t="array" ref="AF111">AF$106+IF($C111&lt;&gt;0,SUMPRODUCT((AF$107:AF$108)*TRANSPOSE(($D111:$E111))),0)</f>
        <v>1758094.5913040261</v>
      </c>
      <c r="AG111" s="31" cm="1">
        <f t="array" ref="AG111">AG$106+IF($C111&lt;&gt;0,SUMPRODUCT((AG$107:AG$108)*TRANSPOSE(($D111:$E111))),0)</f>
        <v>-193774.79741477396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190454.32366068641</v>
      </c>
      <c r="K112" s="31" cm="1">
        <f t="array" ref="K112">K$106+IF($C112&lt;&gt;0,SUMPRODUCT((K$107:K$108)*TRANSPOSE(($D112:$E112))),0)</f>
        <v>380908.64732137282</v>
      </c>
      <c r="L112" s="31" cm="1">
        <f t="array" ref="L112">L$106+IF($C112&lt;&gt;0,SUMPRODUCT((L$107:L$108)*TRANSPOSE(($D112:$E112))),0)</f>
        <v>571362.97098205937</v>
      </c>
      <c r="M112" s="31" cm="1">
        <f t="array" ref="M112">M$106+IF($C112&lt;&gt;0,SUMPRODUCT((M$107:M$108)*TRANSPOSE(($D112:$E112))),0)</f>
        <v>761817.29464274587</v>
      </c>
      <c r="N112" s="31" cm="1">
        <f t="array" ref="N112">N$106+IF($C112&lt;&gt;0,SUMPRODUCT((N$107:N$108)*TRANSPOSE(($D112:$E112))),0)</f>
        <v>952271.61830343236</v>
      </c>
      <c r="O112" s="31" cm="1">
        <f t="array" ref="O112">O$106+IF($C112&lt;&gt;0,SUMPRODUCT((O$107:O$108)*TRANSPOSE(($D112:$E112))),0)</f>
        <v>1142725.9419641187</v>
      </c>
      <c r="P112" s="31" cm="1">
        <f t="array" ref="P112">P$106+IF($C112&lt;&gt;0,SUMPRODUCT((P$107:P$108)*TRANSPOSE(($D112:$E112))),0)</f>
        <v>1333180.2656248056</v>
      </c>
      <c r="Q112" s="31" cm="1">
        <f t="array" ref="Q112">Q$106+IF($C112&lt;&gt;0,SUMPRODUCT((Q$107:Q$108)*TRANSPOSE(($D112:$E112))),0)</f>
        <v>1523634.5892854917</v>
      </c>
      <c r="R112" s="31" cm="1">
        <f t="array" ref="R112">R$106+IF($C112&lt;&gt;0,SUMPRODUCT((R$107:R$108)*TRANSPOSE(($D112:$E112))),0)</f>
        <v>1714088.9129461783</v>
      </c>
      <c r="S112" s="31" cm="1">
        <f t="array" ref="S112">S$106+IF($C112&lt;&gt;0,SUMPRODUCT((S$107:S$108)*TRANSPOSE(($D112:$E112))),0)</f>
        <v>1904543.2366068647</v>
      </c>
      <c r="T112" s="31" cm="1">
        <f t="array" ref="T112">T$106+IF($C112&lt;&gt;0,SUMPRODUCT((T$107:T$108)*TRANSPOSE(($D112:$E112))),0)</f>
        <v>1931750.9971298201</v>
      </c>
      <c r="U112" s="31" cm="1">
        <f t="array" ref="U112">U$106+IF($C112&lt;&gt;0,SUMPRODUCT((U$107:U$108)*TRANSPOSE(($D112:$E112))),0)</f>
        <v>1931750.9971298201</v>
      </c>
      <c r="V112" s="31" cm="1">
        <f t="array" ref="V112">V$106+IF($C112&lt;&gt;0,SUMPRODUCT((V$107:V$108)*TRANSPOSE(($D112:$E112))),0)</f>
        <v>1931750.9971298201</v>
      </c>
      <c r="W112" s="31" cm="1">
        <f t="array" ref="W112">W$106+IF($C112&lt;&gt;0,SUMPRODUCT((W$107:W$108)*TRANSPOSE(($D112:$E112))),0)</f>
        <v>1931750.9971298201</v>
      </c>
      <c r="X112" s="31" cm="1">
        <f t="array" ref="X112">X$106+IF($C112&lt;&gt;0,SUMPRODUCT((X$107:X$108)*TRANSPOSE(($D112:$E112))),0)</f>
        <v>1931750.9971298201</v>
      </c>
      <c r="Y112" s="31" cm="1">
        <f t="array" ref="Y112">Y$106+IF($C112&lt;&gt;0,SUMPRODUCT((Y$107:Y$108)*TRANSPOSE(($D112:$E112))),0)</f>
        <v>1931750.9971298201</v>
      </c>
      <c r="Z112" s="31" cm="1">
        <f t="array" ref="Z112">Z$106+IF($C112&lt;&gt;0,SUMPRODUCT((Z$107:Z$108)*TRANSPOSE(($D112:$E112))),0)</f>
        <v>1931750.9971298201</v>
      </c>
      <c r="AA112" s="31" cm="1">
        <f t="array" ref="AA112">AA$106+IF($C112&lt;&gt;0,SUMPRODUCT((AA$107:AA$108)*TRANSPOSE(($D112:$E112))),0)</f>
        <v>1931750.9971298201</v>
      </c>
      <c r="AB112" s="31" cm="1">
        <f t="array" ref="AB112">AB$106+IF($C112&lt;&gt;0,SUMPRODUCT((AB$107:AB$108)*TRANSPOSE(($D112:$E112))),0)</f>
        <v>1931750.9971298201</v>
      </c>
      <c r="AC112" s="31" cm="1">
        <f t="array" ref="AC112">AC$106+IF($C112&lt;&gt;0,SUMPRODUCT((AC$107:AC$108)*TRANSPOSE(($D112:$E112))),0)</f>
        <v>1931750.9971298201</v>
      </c>
      <c r="AD112" s="31" cm="1">
        <f t="array" ref="AD112">AD$106+IF($C112&lt;&gt;0,SUMPRODUCT((AD$107:AD$108)*TRANSPOSE(($D112:$E112))),0)</f>
        <v>1931750.9971298201</v>
      </c>
      <c r="AE112" s="31" cm="1">
        <f t="array" ref="AE112">AE$106+IF($C112&lt;&gt;0,SUMPRODUCT((AE$107:AE$108)*TRANSPOSE(($D112:$E112))),0)</f>
        <v>1931750.9971298201</v>
      </c>
      <c r="AF112" s="31" cm="1">
        <f t="array" ref="AF112">AF$106+IF($C112&lt;&gt;0,SUMPRODUCT((AF$107:AF$108)*TRANSPOSE(($D112:$E112))),0)</f>
        <v>1931750.9971298201</v>
      </c>
      <c r="AG112" s="31" cm="1">
        <f t="array" ref="AG112">AG$106+IF($C112&lt;&gt;0,SUMPRODUCT((AG$107:AG$108)*TRANSPOSE(($D112:$E112))),0)</f>
        <v>-215305.33046085996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151966.75824932978</v>
      </c>
      <c r="K113" s="31" cm="1">
        <f t="array" ref="K113">K$106+IF($C113&lt;&gt;0,SUMPRODUCT((K$107:K$108)*TRANSPOSE(($D113:$E113))),0)</f>
        <v>303933.51649865956</v>
      </c>
      <c r="L113" s="31" cm="1">
        <f t="array" ref="L113">L$106+IF($C113&lt;&gt;0,SUMPRODUCT((L$107:L$108)*TRANSPOSE(($D113:$E113))),0)</f>
        <v>455900.27474798955</v>
      </c>
      <c r="M113" s="31" cm="1">
        <f t="array" ref="M113">M$106+IF($C113&lt;&gt;0,SUMPRODUCT((M$107:M$108)*TRANSPOSE(($D113:$E113))),0)</f>
        <v>607867.03299731936</v>
      </c>
      <c r="N113" s="31" cm="1">
        <f t="array" ref="N113">N$106+IF($C113&lt;&gt;0,SUMPRODUCT((N$107:N$108)*TRANSPOSE(($D113:$E113))),0)</f>
        <v>759833.79124664934</v>
      </c>
      <c r="O113" s="31" cm="1">
        <f t="array" ref="O113">O$106+IF($C113&lt;&gt;0,SUMPRODUCT((O$107:O$108)*TRANSPOSE(($D113:$E113))),0)</f>
        <v>911800.5494959791</v>
      </c>
      <c r="P113" s="31" cm="1">
        <f t="array" ref="P113">P$106+IF($C113&lt;&gt;0,SUMPRODUCT((P$107:P$108)*TRANSPOSE(($D113:$E113))),0)</f>
        <v>1063767.3077453093</v>
      </c>
      <c r="Q113" s="31" cm="1">
        <f t="array" ref="Q113">Q$106+IF($C113&lt;&gt;0,SUMPRODUCT((Q$107:Q$108)*TRANSPOSE(($D113:$E113))),0)</f>
        <v>1215734.0659946387</v>
      </c>
      <c r="R113" s="31" cm="1">
        <f t="array" ref="R113">R$106+IF($C113&lt;&gt;0,SUMPRODUCT((R$107:R$108)*TRANSPOSE(($D113:$E113))),0)</f>
        <v>1367700.8242439686</v>
      </c>
      <c r="S113" s="31" cm="1">
        <f t="array" ref="S113">S$106+IF($C113&lt;&gt;0,SUMPRODUCT((S$107:S$108)*TRANSPOSE(($D113:$E113))),0)</f>
        <v>1519667.5824932987</v>
      </c>
      <c r="T113" s="31" cm="1">
        <f t="array" ref="T113">T$106+IF($C113&lt;&gt;0,SUMPRODUCT((T$107:T$108)*TRANSPOSE(($D113:$E113))),0)</f>
        <v>1541377.1193860599</v>
      </c>
      <c r="U113" s="31" cm="1">
        <f t="array" ref="U113">U$106+IF($C113&lt;&gt;0,SUMPRODUCT((U$107:U$108)*TRANSPOSE(($D113:$E113))),0)</f>
        <v>1541377.1193860599</v>
      </c>
      <c r="V113" s="31" cm="1">
        <f t="array" ref="V113">V$106+IF($C113&lt;&gt;0,SUMPRODUCT((V$107:V$108)*TRANSPOSE(($D113:$E113))),0)</f>
        <v>1541377.1193860599</v>
      </c>
      <c r="W113" s="31" cm="1">
        <f t="array" ref="W113">W$106+IF($C113&lt;&gt;0,SUMPRODUCT((W$107:W$108)*TRANSPOSE(($D113:$E113))),0)</f>
        <v>1541377.1193860599</v>
      </c>
      <c r="X113" s="31" cm="1">
        <f t="array" ref="X113">X$106+IF($C113&lt;&gt;0,SUMPRODUCT((X$107:X$108)*TRANSPOSE(($D113:$E113))),0)</f>
        <v>1541377.1193860599</v>
      </c>
      <c r="Y113" s="31" cm="1">
        <f t="array" ref="Y113">Y$106+IF($C113&lt;&gt;0,SUMPRODUCT((Y$107:Y$108)*TRANSPOSE(($D113:$E113))),0)</f>
        <v>1541377.1193860599</v>
      </c>
      <c r="Z113" s="31" cm="1">
        <f t="array" ref="Z113">Z$106+IF($C113&lt;&gt;0,SUMPRODUCT((Z$107:Z$108)*TRANSPOSE(($D113:$E113))),0)</f>
        <v>1541377.1193860599</v>
      </c>
      <c r="AA113" s="31" cm="1">
        <f t="array" ref="AA113">AA$106+IF($C113&lt;&gt;0,SUMPRODUCT((AA$107:AA$108)*TRANSPOSE(($D113:$E113))),0)</f>
        <v>1541377.1193860599</v>
      </c>
      <c r="AB113" s="31" cm="1">
        <f t="array" ref="AB113">AB$106+IF($C113&lt;&gt;0,SUMPRODUCT((AB$107:AB$108)*TRANSPOSE(($D113:$E113))),0)</f>
        <v>1541377.1193860599</v>
      </c>
      <c r="AC113" s="31" cm="1">
        <f t="array" ref="AC113">AC$106+IF($C113&lt;&gt;0,SUMPRODUCT((AC$107:AC$108)*TRANSPOSE(($D113:$E113))),0)</f>
        <v>1541377.1193860599</v>
      </c>
      <c r="AD113" s="31" cm="1">
        <f t="array" ref="AD113">AD$106+IF($C113&lt;&gt;0,SUMPRODUCT((AD$107:AD$108)*TRANSPOSE(($D113:$E113))),0)</f>
        <v>1541377.1193860599</v>
      </c>
      <c r="AE113" s="31" cm="1">
        <f t="array" ref="AE113">AE$106+IF($C113&lt;&gt;0,SUMPRODUCT((AE$107:AE$108)*TRANSPOSE(($D113:$E113))),0)</f>
        <v>1541377.1193860599</v>
      </c>
      <c r="AF113" s="31" cm="1">
        <f t="array" ref="AF113">AF$106+IF($C113&lt;&gt;0,SUMPRODUCT((AF$107:AF$108)*TRANSPOSE(($D113:$E113))),0)</f>
        <v>1541377.1193860599</v>
      </c>
      <c r="AG113" s="31" cm="1">
        <f t="array" ref="AG113">AG$106+IF($C113&lt;&gt;0,SUMPRODUCT((AG$107:AG$108)*TRANSPOSE(($D113:$E113))),0)</f>
        <v>-215305.33046085996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149844.02963915229</v>
      </c>
      <c r="K114" s="31" cm="1">
        <f t="array" ref="K114">K$106+IF($C114&lt;&gt;0,SUMPRODUCT((K$107:K$108)*TRANSPOSE(($D114:$E114))),0)</f>
        <v>299688.05927830457</v>
      </c>
      <c r="L114" s="31" cm="1">
        <f t="array" ref="L114">L$106+IF($C114&lt;&gt;0,SUMPRODUCT((L$107:L$108)*TRANSPOSE(($D114:$E114))),0)</f>
        <v>449532.08891745709</v>
      </c>
      <c r="M114" s="31" cm="1">
        <f t="array" ref="M114">M$106+IF($C114&lt;&gt;0,SUMPRODUCT((M$107:M$108)*TRANSPOSE(($D114:$E114))),0)</f>
        <v>599376.11855660938</v>
      </c>
      <c r="N114" s="31" cm="1">
        <f t="array" ref="N114">N$106+IF($C114&lt;&gt;0,SUMPRODUCT((N$107:N$108)*TRANSPOSE(($D114:$E114))),0)</f>
        <v>749220.14819576184</v>
      </c>
      <c r="O114" s="31" cm="1">
        <f t="array" ref="O114">O$106+IF($C114&lt;&gt;0,SUMPRODUCT((O$107:O$108)*TRANSPOSE(($D114:$E114))),0)</f>
        <v>899064.17783491418</v>
      </c>
      <c r="P114" s="31" cm="1">
        <f t="array" ref="P114">P$106+IF($C114&lt;&gt;0,SUMPRODUCT((P$107:P$108)*TRANSPOSE(($D114:$E114))),0)</f>
        <v>1048908.2074740669</v>
      </c>
      <c r="Q114" s="31" cm="1">
        <f t="array" ref="Q114">Q$106+IF($C114&lt;&gt;0,SUMPRODUCT((Q$107:Q$108)*TRANSPOSE(($D114:$E114))),0)</f>
        <v>1198752.2371132188</v>
      </c>
      <c r="R114" s="31" cm="1">
        <f t="array" ref="R114">R$106+IF($C114&lt;&gt;0,SUMPRODUCT((R$107:R$108)*TRANSPOSE(($D114:$E114))),0)</f>
        <v>1348596.2667523713</v>
      </c>
      <c r="S114" s="31" cm="1">
        <f t="array" ref="S114">S$106+IF($C114&lt;&gt;0,SUMPRODUCT((S$107:S$108)*TRANSPOSE(($D114:$E114))),0)</f>
        <v>1498440.2963915237</v>
      </c>
      <c r="T114" s="31" cm="1">
        <f t="array" ref="T114">T$106+IF($C114&lt;&gt;0,SUMPRODUCT((T$107:T$108)*TRANSPOSE(($D114:$E114))),0)</f>
        <v>1519846.5863399741</v>
      </c>
      <c r="U114" s="31" cm="1">
        <f t="array" ref="U114">U$106+IF($C114&lt;&gt;0,SUMPRODUCT((U$107:U$108)*TRANSPOSE(($D114:$E114))),0)</f>
        <v>1519846.5863399741</v>
      </c>
      <c r="V114" s="31" cm="1">
        <f t="array" ref="V114">V$106+IF($C114&lt;&gt;0,SUMPRODUCT((V$107:V$108)*TRANSPOSE(($D114:$E114))),0)</f>
        <v>1519846.5863399741</v>
      </c>
      <c r="W114" s="31" cm="1">
        <f t="array" ref="W114">W$106+IF($C114&lt;&gt;0,SUMPRODUCT((W$107:W$108)*TRANSPOSE(($D114:$E114))),0)</f>
        <v>1519846.5863399741</v>
      </c>
      <c r="X114" s="31" cm="1">
        <f t="array" ref="X114">X$106+IF($C114&lt;&gt;0,SUMPRODUCT((X$107:X$108)*TRANSPOSE(($D114:$E114))),0)</f>
        <v>1519846.5863399741</v>
      </c>
      <c r="Y114" s="31" cm="1">
        <f t="array" ref="Y114">Y$106+IF($C114&lt;&gt;0,SUMPRODUCT((Y$107:Y$108)*TRANSPOSE(($D114:$E114))),0)</f>
        <v>1519846.5863399741</v>
      </c>
      <c r="Z114" s="31" cm="1">
        <f t="array" ref="Z114">Z$106+IF($C114&lt;&gt;0,SUMPRODUCT((Z$107:Z$108)*TRANSPOSE(($D114:$E114))),0)</f>
        <v>1519846.5863399741</v>
      </c>
      <c r="AA114" s="31" cm="1">
        <f t="array" ref="AA114">AA$106+IF($C114&lt;&gt;0,SUMPRODUCT((AA$107:AA$108)*TRANSPOSE(($D114:$E114))),0)</f>
        <v>1519846.5863399741</v>
      </c>
      <c r="AB114" s="31" cm="1">
        <f t="array" ref="AB114">AB$106+IF($C114&lt;&gt;0,SUMPRODUCT((AB$107:AB$108)*TRANSPOSE(($D114:$E114))),0)</f>
        <v>1519846.5863399741</v>
      </c>
      <c r="AC114" s="31" cm="1">
        <f t="array" ref="AC114">AC$106+IF($C114&lt;&gt;0,SUMPRODUCT((AC$107:AC$108)*TRANSPOSE(($D114:$E114))),0)</f>
        <v>1519846.5863399741</v>
      </c>
      <c r="AD114" s="31" cm="1">
        <f t="array" ref="AD114">AD$106+IF($C114&lt;&gt;0,SUMPRODUCT((AD$107:AD$108)*TRANSPOSE(($D114:$E114))),0)</f>
        <v>1519846.5863399741</v>
      </c>
      <c r="AE114" s="31" cm="1">
        <f t="array" ref="AE114">AE$106+IF($C114&lt;&gt;0,SUMPRODUCT((AE$107:AE$108)*TRANSPOSE(($D114:$E114))),0)</f>
        <v>1519846.5863399741</v>
      </c>
      <c r="AF114" s="31" cm="1">
        <f t="array" ref="AF114">AF$106+IF($C114&lt;&gt;0,SUMPRODUCT((AF$107:AF$108)*TRANSPOSE(($D114:$E114))),0)</f>
        <v>1519846.5863399741</v>
      </c>
      <c r="AG114" s="31" cm="1">
        <f t="array" ref="AG114">AG$106+IF($C114&lt;&gt;0,SUMPRODUCT((AG$107:AG$108)*TRANSPOSE(($D114:$E114))),0)</f>
        <v>-236835.86350694596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171210.54095500809</v>
      </c>
      <c r="K115" s="31" cm="1">
        <f t="array" ref="K115">K$106+IF($C115&lt;&gt;0,SUMPRODUCT((K$107:K$108)*TRANSPOSE(($D115:$E115))),0)</f>
        <v>342421.08191001619</v>
      </c>
      <c r="L115" s="31" cm="1">
        <f t="array" ref="L115">L$106+IF($C115&lt;&gt;0,SUMPRODUCT((L$107:L$108)*TRANSPOSE(($D115:$E115))),0)</f>
        <v>513631.62286502449</v>
      </c>
      <c r="M115" s="31" cm="1">
        <f t="array" ref="M115">M$106+IF($C115&lt;&gt;0,SUMPRODUCT((M$107:M$108)*TRANSPOSE(($D115:$E115))),0)</f>
        <v>684842.16382003261</v>
      </c>
      <c r="N115" s="31" cm="1">
        <f t="array" ref="N115">N$106+IF($C115&lt;&gt;0,SUMPRODUCT((N$107:N$108)*TRANSPOSE(($D115:$E115))),0)</f>
        <v>856052.70477504085</v>
      </c>
      <c r="O115" s="31" cm="1">
        <f t="array" ref="O115">O$106+IF($C115&lt;&gt;0,SUMPRODUCT((O$107:O$108)*TRANSPOSE(($D115:$E115))),0)</f>
        <v>1027263.245730049</v>
      </c>
      <c r="P115" s="31" cm="1">
        <f t="array" ref="P115">P$106+IF($C115&lt;&gt;0,SUMPRODUCT((P$107:P$108)*TRANSPOSE(($D115:$E115))),0)</f>
        <v>1198473.7866850575</v>
      </c>
      <c r="Q115" s="31" cm="1">
        <f t="array" ref="Q115">Q$106+IF($C115&lt;&gt;0,SUMPRODUCT((Q$107:Q$108)*TRANSPOSE(($D115:$E115))),0)</f>
        <v>1369684.3276400652</v>
      </c>
      <c r="R115" s="31" cm="1">
        <f t="array" ref="R115">R$106+IF($C115&lt;&gt;0,SUMPRODUCT((R$107:R$108)*TRANSPOSE(($D115:$E115))),0)</f>
        <v>1540894.8685950735</v>
      </c>
      <c r="S115" s="31" cm="1">
        <f t="array" ref="S115">S$106+IF($C115&lt;&gt;0,SUMPRODUCT((S$107:S$108)*TRANSPOSE(($D115:$E115))),0)</f>
        <v>1712105.4095500817</v>
      </c>
      <c r="T115" s="31" cm="1">
        <f t="array" ref="T115">T$106+IF($C115&lt;&gt;0,SUMPRODUCT((T$107:T$108)*TRANSPOSE(($D115:$E115))),0)</f>
        <v>1736564.05825794</v>
      </c>
      <c r="U115" s="31" cm="1">
        <f t="array" ref="U115">U$106+IF($C115&lt;&gt;0,SUMPRODUCT((U$107:U$108)*TRANSPOSE(($D115:$E115))),0)</f>
        <v>1736564.05825794</v>
      </c>
      <c r="V115" s="31" cm="1">
        <f t="array" ref="V115">V$106+IF($C115&lt;&gt;0,SUMPRODUCT((V$107:V$108)*TRANSPOSE(($D115:$E115))),0)</f>
        <v>1736564.05825794</v>
      </c>
      <c r="W115" s="31" cm="1">
        <f t="array" ref="W115">W$106+IF($C115&lt;&gt;0,SUMPRODUCT((W$107:W$108)*TRANSPOSE(($D115:$E115))),0)</f>
        <v>1736564.05825794</v>
      </c>
      <c r="X115" s="31" cm="1">
        <f t="array" ref="X115">X$106+IF($C115&lt;&gt;0,SUMPRODUCT((X$107:X$108)*TRANSPOSE(($D115:$E115))),0)</f>
        <v>1736564.05825794</v>
      </c>
      <c r="Y115" s="31" cm="1">
        <f t="array" ref="Y115">Y$106+IF($C115&lt;&gt;0,SUMPRODUCT((Y$107:Y$108)*TRANSPOSE(($D115:$E115))),0)</f>
        <v>1736564.05825794</v>
      </c>
      <c r="Z115" s="31" cm="1">
        <f t="array" ref="Z115">Z$106+IF($C115&lt;&gt;0,SUMPRODUCT((Z$107:Z$108)*TRANSPOSE(($D115:$E115))),0)</f>
        <v>1736564.05825794</v>
      </c>
      <c r="AA115" s="31" cm="1">
        <f t="array" ref="AA115">AA$106+IF($C115&lt;&gt;0,SUMPRODUCT((AA$107:AA$108)*TRANSPOSE(($D115:$E115))),0)</f>
        <v>1736564.05825794</v>
      </c>
      <c r="AB115" s="31" cm="1">
        <f t="array" ref="AB115">AB$106+IF($C115&lt;&gt;0,SUMPRODUCT((AB$107:AB$108)*TRANSPOSE(($D115:$E115))),0)</f>
        <v>1736564.05825794</v>
      </c>
      <c r="AC115" s="31" cm="1">
        <f t="array" ref="AC115">AC$106+IF($C115&lt;&gt;0,SUMPRODUCT((AC$107:AC$108)*TRANSPOSE(($D115:$E115))),0)</f>
        <v>1736564.05825794</v>
      </c>
      <c r="AD115" s="31" cm="1">
        <f t="array" ref="AD115">AD$106+IF($C115&lt;&gt;0,SUMPRODUCT((AD$107:AD$108)*TRANSPOSE(($D115:$E115))),0)</f>
        <v>1736564.05825794</v>
      </c>
      <c r="AE115" s="31" cm="1">
        <f t="array" ref="AE115">AE$106+IF($C115&lt;&gt;0,SUMPRODUCT((AE$107:AE$108)*TRANSPOSE(($D115:$E115))),0)</f>
        <v>1736564.05825794</v>
      </c>
      <c r="AF115" s="31" cm="1">
        <f t="array" ref="AF115">AF$106+IF($C115&lt;&gt;0,SUMPRODUCT((AF$107:AF$108)*TRANSPOSE(($D115:$E115))),0)</f>
        <v>1736564.05825794</v>
      </c>
      <c r="AG115" s="31" cm="1">
        <f t="array" ref="AG115">AG$106+IF($C115&lt;&gt;0,SUMPRODUCT((AG$107:AG$108)*TRANSPOSE(($D115:$E115))),0)</f>
        <v>-215305.33046085996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171210.54095500809</v>
      </c>
      <c r="K116" s="31" cm="1">
        <f t="array" ref="K116">K$106+IF($C116&lt;&gt;0,SUMPRODUCT((K$107:K$108)*TRANSPOSE(($D116:$E116))),0)</f>
        <v>342421.08191001619</v>
      </c>
      <c r="L116" s="31" cm="1">
        <f t="array" ref="L116">L$106+IF($C116&lt;&gt;0,SUMPRODUCT((L$107:L$108)*TRANSPOSE(($D116:$E116))),0)</f>
        <v>513631.62286502449</v>
      </c>
      <c r="M116" s="31" cm="1">
        <f t="array" ref="M116">M$106+IF($C116&lt;&gt;0,SUMPRODUCT((M$107:M$108)*TRANSPOSE(($D116:$E116))),0)</f>
        <v>684842.16382003261</v>
      </c>
      <c r="N116" s="31" cm="1">
        <f t="array" ref="N116">N$106+IF($C116&lt;&gt;0,SUMPRODUCT((N$107:N$108)*TRANSPOSE(($D116:$E116))),0)</f>
        <v>856052.70477504085</v>
      </c>
      <c r="O116" s="31" cm="1">
        <f t="array" ref="O116">O$106+IF($C116&lt;&gt;0,SUMPRODUCT((O$107:O$108)*TRANSPOSE(($D116:$E116))),0)</f>
        <v>1027263.245730049</v>
      </c>
      <c r="P116" s="31" cm="1">
        <f t="array" ref="P116">P$106+IF($C116&lt;&gt;0,SUMPRODUCT((P$107:P$108)*TRANSPOSE(($D116:$E116))),0)</f>
        <v>1198473.7866850575</v>
      </c>
      <c r="Q116" s="31" cm="1">
        <f t="array" ref="Q116">Q$106+IF($C116&lt;&gt;0,SUMPRODUCT((Q$107:Q$108)*TRANSPOSE(($D116:$E116))),0)</f>
        <v>1369684.3276400652</v>
      </c>
      <c r="R116" s="31" cm="1">
        <f t="array" ref="R116">R$106+IF($C116&lt;&gt;0,SUMPRODUCT((R$107:R$108)*TRANSPOSE(($D116:$E116))),0)</f>
        <v>1540894.8685950735</v>
      </c>
      <c r="S116" s="31" cm="1">
        <f t="array" ref="S116">S$106+IF($C116&lt;&gt;0,SUMPRODUCT((S$107:S$108)*TRANSPOSE(($D116:$E116))),0)</f>
        <v>1712105.4095500817</v>
      </c>
      <c r="T116" s="31" cm="1">
        <f t="array" ref="T116">T$106+IF($C116&lt;&gt;0,SUMPRODUCT((T$107:T$108)*TRANSPOSE(($D116:$E116))),0)</f>
        <v>1736564.05825794</v>
      </c>
      <c r="U116" s="31" cm="1">
        <f t="array" ref="U116">U$106+IF($C116&lt;&gt;0,SUMPRODUCT((U$107:U$108)*TRANSPOSE(($D116:$E116))),0)</f>
        <v>1736564.05825794</v>
      </c>
      <c r="V116" s="31" cm="1">
        <f t="array" ref="V116">V$106+IF($C116&lt;&gt;0,SUMPRODUCT((V$107:V$108)*TRANSPOSE(($D116:$E116))),0)</f>
        <v>1736564.05825794</v>
      </c>
      <c r="W116" s="31" cm="1">
        <f t="array" ref="W116">W$106+IF($C116&lt;&gt;0,SUMPRODUCT((W$107:W$108)*TRANSPOSE(($D116:$E116))),0)</f>
        <v>1736564.05825794</v>
      </c>
      <c r="X116" s="31" cm="1">
        <f t="array" ref="X116">X$106+IF($C116&lt;&gt;0,SUMPRODUCT((X$107:X$108)*TRANSPOSE(($D116:$E116))),0)</f>
        <v>1736564.05825794</v>
      </c>
      <c r="Y116" s="31" cm="1">
        <f t="array" ref="Y116">Y$106+IF($C116&lt;&gt;0,SUMPRODUCT((Y$107:Y$108)*TRANSPOSE(($D116:$E116))),0)</f>
        <v>1736564.05825794</v>
      </c>
      <c r="Z116" s="31" cm="1">
        <f t="array" ref="Z116">Z$106+IF($C116&lt;&gt;0,SUMPRODUCT((Z$107:Z$108)*TRANSPOSE(($D116:$E116))),0)</f>
        <v>1736564.05825794</v>
      </c>
      <c r="AA116" s="31" cm="1">
        <f t="array" ref="AA116">AA$106+IF($C116&lt;&gt;0,SUMPRODUCT((AA$107:AA$108)*TRANSPOSE(($D116:$E116))),0)</f>
        <v>1736564.05825794</v>
      </c>
      <c r="AB116" s="31" cm="1">
        <f t="array" ref="AB116">AB$106+IF($C116&lt;&gt;0,SUMPRODUCT((AB$107:AB$108)*TRANSPOSE(($D116:$E116))),0)</f>
        <v>1736564.05825794</v>
      </c>
      <c r="AC116" s="31" cm="1">
        <f t="array" ref="AC116">AC$106+IF($C116&lt;&gt;0,SUMPRODUCT((AC$107:AC$108)*TRANSPOSE(($D116:$E116))),0)</f>
        <v>1736564.05825794</v>
      </c>
      <c r="AD116" s="31" cm="1">
        <f t="array" ref="AD116">AD$106+IF($C116&lt;&gt;0,SUMPRODUCT((AD$107:AD$108)*TRANSPOSE(($D116:$E116))),0)</f>
        <v>1736564.05825794</v>
      </c>
      <c r="AE116" s="31" cm="1">
        <f t="array" ref="AE116">AE$106+IF($C116&lt;&gt;0,SUMPRODUCT((AE$107:AE$108)*TRANSPOSE(($D116:$E116))),0)</f>
        <v>1736564.05825794</v>
      </c>
      <c r="AF116" s="31" cm="1">
        <f t="array" ref="AF116">AF$106+IF($C116&lt;&gt;0,SUMPRODUCT((AF$107:AF$108)*TRANSPOSE(($D116:$E116))),0)</f>
        <v>1736564.05825794</v>
      </c>
      <c r="AG116" s="31" cm="1">
        <f t="array" ref="AG116">AG$106+IF($C116&lt;&gt;0,SUMPRODUCT((AG$107:AG$108)*TRANSPOSE(($D116:$E116))),0)</f>
        <v>-215305.33046085996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171210.54095500809</v>
      </c>
      <c r="K117" s="31" cm="1">
        <f t="array" ref="K117">K$106+IF($C117&lt;&gt;0,SUMPRODUCT((K$107:K$108)*TRANSPOSE(($D117:$E117))),0)</f>
        <v>342421.08191001619</v>
      </c>
      <c r="L117" s="31" cm="1">
        <f t="array" ref="L117">L$106+IF($C117&lt;&gt;0,SUMPRODUCT((L$107:L$108)*TRANSPOSE(($D117:$E117))),0)</f>
        <v>513631.62286502449</v>
      </c>
      <c r="M117" s="31" cm="1">
        <f t="array" ref="M117">M$106+IF($C117&lt;&gt;0,SUMPRODUCT((M$107:M$108)*TRANSPOSE(($D117:$E117))),0)</f>
        <v>684842.16382003261</v>
      </c>
      <c r="N117" s="31" cm="1">
        <f t="array" ref="N117">N$106+IF($C117&lt;&gt;0,SUMPRODUCT((N$107:N$108)*TRANSPOSE(($D117:$E117))),0)</f>
        <v>856052.70477504085</v>
      </c>
      <c r="O117" s="31" cm="1">
        <f t="array" ref="O117">O$106+IF($C117&lt;&gt;0,SUMPRODUCT((O$107:O$108)*TRANSPOSE(($D117:$E117))),0)</f>
        <v>1027263.245730049</v>
      </c>
      <c r="P117" s="31" cm="1">
        <f t="array" ref="P117">P$106+IF($C117&lt;&gt;0,SUMPRODUCT((P$107:P$108)*TRANSPOSE(($D117:$E117))),0)</f>
        <v>1198473.7866850575</v>
      </c>
      <c r="Q117" s="31" cm="1">
        <f t="array" ref="Q117">Q$106+IF($C117&lt;&gt;0,SUMPRODUCT((Q$107:Q$108)*TRANSPOSE(($D117:$E117))),0)</f>
        <v>1369684.3276400652</v>
      </c>
      <c r="R117" s="31" cm="1">
        <f t="array" ref="R117">R$106+IF($C117&lt;&gt;0,SUMPRODUCT((R$107:R$108)*TRANSPOSE(($D117:$E117))),0)</f>
        <v>1540894.8685950735</v>
      </c>
      <c r="S117" s="31" cm="1">
        <f t="array" ref="S117">S$106+IF($C117&lt;&gt;0,SUMPRODUCT((S$107:S$108)*TRANSPOSE(($D117:$E117))),0)</f>
        <v>1712105.4095500817</v>
      </c>
      <c r="T117" s="31" cm="1">
        <f t="array" ref="T117">T$106+IF($C117&lt;&gt;0,SUMPRODUCT((T$107:T$108)*TRANSPOSE(($D117:$E117))),0)</f>
        <v>1736564.05825794</v>
      </c>
      <c r="U117" s="31" cm="1">
        <f t="array" ref="U117">U$106+IF($C117&lt;&gt;0,SUMPRODUCT((U$107:U$108)*TRANSPOSE(($D117:$E117))),0)</f>
        <v>1736564.05825794</v>
      </c>
      <c r="V117" s="31" cm="1">
        <f t="array" ref="V117">V$106+IF($C117&lt;&gt;0,SUMPRODUCT((V$107:V$108)*TRANSPOSE(($D117:$E117))),0)</f>
        <v>1736564.05825794</v>
      </c>
      <c r="W117" s="31" cm="1">
        <f t="array" ref="W117">W$106+IF($C117&lt;&gt;0,SUMPRODUCT((W$107:W$108)*TRANSPOSE(($D117:$E117))),0)</f>
        <v>1736564.05825794</v>
      </c>
      <c r="X117" s="31" cm="1">
        <f t="array" ref="X117">X$106+IF($C117&lt;&gt;0,SUMPRODUCT((X$107:X$108)*TRANSPOSE(($D117:$E117))),0)</f>
        <v>1736564.05825794</v>
      </c>
      <c r="Y117" s="31" cm="1">
        <f t="array" ref="Y117">Y$106+IF($C117&lt;&gt;0,SUMPRODUCT((Y$107:Y$108)*TRANSPOSE(($D117:$E117))),0)</f>
        <v>1736564.05825794</v>
      </c>
      <c r="Z117" s="31" cm="1">
        <f t="array" ref="Z117">Z$106+IF($C117&lt;&gt;0,SUMPRODUCT((Z$107:Z$108)*TRANSPOSE(($D117:$E117))),0)</f>
        <v>1736564.05825794</v>
      </c>
      <c r="AA117" s="31" cm="1">
        <f t="array" ref="AA117">AA$106+IF($C117&lt;&gt;0,SUMPRODUCT((AA$107:AA$108)*TRANSPOSE(($D117:$E117))),0)</f>
        <v>1736564.05825794</v>
      </c>
      <c r="AB117" s="31" cm="1">
        <f t="array" ref="AB117">AB$106+IF($C117&lt;&gt;0,SUMPRODUCT((AB$107:AB$108)*TRANSPOSE(($D117:$E117))),0)</f>
        <v>1736564.05825794</v>
      </c>
      <c r="AC117" s="31" cm="1">
        <f t="array" ref="AC117">AC$106+IF($C117&lt;&gt;0,SUMPRODUCT((AC$107:AC$108)*TRANSPOSE(($D117:$E117))),0)</f>
        <v>1736564.05825794</v>
      </c>
      <c r="AD117" s="31" cm="1">
        <f t="array" ref="AD117">AD$106+IF($C117&lt;&gt;0,SUMPRODUCT((AD$107:AD$108)*TRANSPOSE(($D117:$E117))),0)</f>
        <v>1736564.05825794</v>
      </c>
      <c r="AE117" s="31" cm="1">
        <f t="array" ref="AE117">AE$106+IF($C117&lt;&gt;0,SUMPRODUCT((AE$107:AE$108)*TRANSPOSE(($D117:$E117))),0)</f>
        <v>1736564.05825794</v>
      </c>
      <c r="AF117" s="31" cm="1">
        <f t="array" ref="AF117">AF$106+IF($C117&lt;&gt;0,SUMPRODUCT((AF$107:AF$108)*TRANSPOSE(($D117:$E117))),0)</f>
        <v>1736564.05825794</v>
      </c>
      <c r="AG117" s="31" cm="1">
        <f t="array" ref="AG117">AG$106+IF($C117&lt;&gt;0,SUMPRODUCT((AG$107:AG$108)*TRANSPOSE(($D117:$E117))),0)</f>
        <v>-215305.33046085996</v>
      </c>
    </row>
  </sheetData>
  <conditionalFormatting sqref="E14">
    <cfRule type="expression" dxfId="6" priority="1">
      <formula>AND(SUM($I14:$AB14)&lt;&gt;0, E14=0)</formula>
    </cfRule>
  </conditionalFormatting>
  <conditionalFormatting sqref="E15:E16">
    <cfRule type="expression" dxfId="5" priority="54">
      <formula>AND(SUM($I15:$AB15)&lt;&gt;0, E15=0)</formula>
    </cfRule>
  </conditionalFormatting>
  <conditionalFormatting sqref="E28">
    <cfRule type="expression" dxfId="4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179</v>
      </c>
      <c r="B3" s="5"/>
      <c r="C3" s="200" t="str">
        <f>INDEX(Assumptions!$E$14:$E$18, MATCH(A3,_xlfn.ANCHORARRAY( Assumptions!$C$14),0))</f>
        <v>Replace all CRO inoperatble RMUs over 15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  <c r="AI12"/>
      <c r="AJ12"/>
      <c r="AK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295</v>
      </c>
      <c r="D14"/>
      <c r="E14" s="148">
        <v>55</v>
      </c>
      <c r="F14" s="346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331110</v>
      </c>
      <c r="J14" s="32">
        <f>INDEX(Workings_costs!L$23:L$75, MATCH($A$3&amp;$F14, Workings_costs!$G$23:$G$75,0))</f>
        <v>331110</v>
      </c>
      <c r="K14" s="32">
        <f>INDEX(Workings_costs!M$23:M$75, MATCH($A$3&amp;$F14, Workings_costs!$G$23:$G$75,0))</f>
        <v>331110</v>
      </c>
      <c r="L14" s="32">
        <f>INDEX(Workings_costs!N$23:N$75, MATCH($A$3&amp;$F14, Workings_costs!$G$23:$G$75,0))</f>
        <v>331110</v>
      </c>
      <c r="M14" s="32">
        <f>INDEX(Workings_costs!O$23:O$75, MATCH($A$3&amp;$F14, Workings_costs!$G$23:$G$75,0))</f>
        <v>331110</v>
      </c>
      <c r="N14" s="32">
        <f>INDEX(Workings_costs!P$23:P$75, MATCH($A$3&amp;$F14, Workings_costs!$G$23:$G$75,0))</f>
        <v>331110</v>
      </c>
      <c r="O14" s="32">
        <f>INDEX(Workings_costs!Q$23:Q$75, MATCH($A$3&amp;$F14, Workings_costs!$G$23:$G$75,0))</f>
        <v>331110</v>
      </c>
      <c r="P14" s="32">
        <f>INDEX(Workings_costs!R$23:R$75, MATCH($A$3&amp;$F14, Workings_costs!$G$23:$G$75,0))</f>
        <v>331110</v>
      </c>
      <c r="Q14" s="32">
        <f>INDEX(Workings_costs!S$23:S$75, MATCH($A$3&amp;$F14, Workings_costs!$G$23:$G$75,0))</f>
        <v>331110</v>
      </c>
      <c r="R14" s="32">
        <f>INDEX(Workings_costs!T$23:T$75, MATCH($A$3&amp;$F14, Workings_costs!$G$23:$G$75,0))</f>
        <v>331110</v>
      </c>
      <c r="S14" s="32">
        <f>INDEX(Workings_costs!U$23:U$75, MATCH($A$3&amp;$F14, Workings_costs!$G$23:$G$75,0))</f>
        <v>331110</v>
      </c>
      <c r="T14" s="32">
        <f>INDEX(Workings_costs!V$23:V$75, MATCH($A$3&amp;$F14, Workings_costs!$G$23:$G$75,0))</f>
        <v>331110</v>
      </c>
      <c r="U14" s="32">
        <f>INDEX(Workings_costs!W$23:W$75, MATCH($A$3&amp;$F14, Workings_costs!$G$23:$G$75,0))</f>
        <v>331110</v>
      </c>
      <c r="V14" s="32">
        <f>INDEX(Workings_costs!X$23:X$75, MATCH($A$3&amp;$F14, Workings_costs!$G$23:$G$75,0))</f>
        <v>331110</v>
      </c>
      <c r="W14" s="32">
        <f>INDEX(Workings_costs!Y$23:Y$75, MATCH($A$3&amp;$F14, Workings_costs!$G$23:$G$75,0))</f>
        <v>331110</v>
      </c>
      <c r="X14" s="32">
        <f>INDEX(Workings_costs!Z$23:Z$75, MATCH($A$3&amp;$F14, Workings_costs!$G$23:$G$75,0))</f>
        <v>257530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6"/>
      <c r="G17" s="207">
        <f>input_dollars</f>
        <v>45291</v>
      </c>
      <c r="H17" s="107"/>
      <c r="I17" s="106">
        <f t="shared" ref="I17:Q17" si="0">SUM(I14:I16)</f>
        <v>331110</v>
      </c>
      <c r="J17" s="106">
        <f t="shared" si="0"/>
        <v>331110</v>
      </c>
      <c r="K17" s="106">
        <f>SUM(K14:K16)</f>
        <v>331110</v>
      </c>
      <c r="L17" s="106">
        <f t="shared" si="0"/>
        <v>331110</v>
      </c>
      <c r="M17" s="106">
        <f t="shared" si="0"/>
        <v>331110</v>
      </c>
      <c r="N17" s="106">
        <f t="shared" si="0"/>
        <v>331110</v>
      </c>
      <c r="O17" s="106">
        <f t="shared" si="0"/>
        <v>331110</v>
      </c>
      <c r="P17" s="106">
        <f t="shared" si="0"/>
        <v>331110</v>
      </c>
      <c r="Q17" s="106">
        <f t="shared" si="0"/>
        <v>331110</v>
      </c>
      <c r="R17" s="106">
        <f t="shared" ref="R17:AG17" si="1">SUM(R14:R16)</f>
        <v>331110</v>
      </c>
      <c r="S17" s="106">
        <f t="shared" si="1"/>
        <v>331110</v>
      </c>
      <c r="T17" s="106">
        <f t="shared" si="1"/>
        <v>331110</v>
      </c>
      <c r="U17" s="106">
        <f t="shared" si="1"/>
        <v>331110</v>
      </c>
      <c r="V17" s="106">
        <f t="shared" si="1"/>
        <v>331110</v>
      </c>
      <c r="W17" s="106">
        <f t="shared" si="1"/>
        <v>331110</v>
      </c>
      <c r="X17" s="106">
        <f t="shared" si="1"/>
        <v>257530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3">
      <c r="G20" s="205"/>
      <c r="AH20"/>
      <c r="AI20"/>
      <c r="AJ20"/>
      <c r="AK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Workings_risks!I82</f>
        <v>1951869.3887187999</v>
      </c>
      <c r="J28" s="119">
        <f>Workings_risks!J82</f>
        <v>1828159.3570394393</v>
      </c>
      <c r="K28" s="119">
        <f>Workings_risks!K82</f>
        <v>1704449.3253600786</v>
      </c>
      <c r="L28" s="119">
        <f>Workings_risks!L82</f>
        <v>1580739.2936807184</v>
      </c>
      <c r="M28" s="119">
        <f>Workings_risks!M82</f>
        <v>1457029.2620013577</v>
      </c>
      <c r="N28" s="119">
        <f>Workings_risks!N82</f>
        <v>1333319.2303219971</v>
      </c>
      <c r="O28" s="119">
        <f>Workings_risks!O82</f>
        <v>1209609.1986426364</v>
      </c>
      <c r="P28" s="119">
        <f>Workings_risks!P82</f>
        <v>1085899.166963276</v>
      </c>
      <c r="Q28" s="119">
        <f>Workings_risks!Q82</f>
        <v>962189.13528391544</v>
      </c>
      <c r="R28" s="119">
        <f>Workings_risks!R82</f>
        <v>838479.1036045549</v>
      </c>
      <c r="S28" s="119">
        <f>Workings_risks!S82</f>
        <v>714769.07192519435</v>
      </c>
      <c r="T28" s="119">
        <f>Workings_risks!T82</f>
        <v>591059.04024583381</v>
      </c>
      <c r="U28" s="119">
        <f>Workings_risks!U82</f>
        <v>467349.0085664732</v>
      </c>
      <c r="V28" s="119">
        <f>Workings_risks!V82</f>
        <v>343638.97688711266</v>
      </c>
      <c r="W28" s="119">
        <f>Workings_risks!W82</f>
        <v>219928.94520775211</v>
      </c>
      <c r="X28" s="119">
        <f>Workings_risks!X82</f>
        <v>96218.913528391538</v>
      </c>
      <c r="Y28" s="119">
        <f>Workings_risks!Y82</f>
        <v>0</v>
      </c>
      <c r="Z28" s="119">
        <f>Workings_risks!Z82</f>
        <v>0</v>
      </c>
      <c r="AA28" s="119">
        <f>Workings_risks!AA82</f>
        <v>0</v>
      </c>
      <c r="AB28" s="119">
        <f>Workings_risks!AB82</f>
        <v>0</v>
      </c>
      <c r="AC28" s="119">
        <f>Workings_risks!AC82</f>
        <v>0</v>
      </c>
      <c r="AD28" s="119">
        <f>Workings_risks!AD82</f>
        <v>0</v>
      </c>
      <c r="AE28" s="119">
        <f>Workings_risks!AE82</f>
        <v>0</v>
      </c>
      <c r="AF28" s="119">
        <f>Workings_risks!AF82</f>
        <v>0</v>
      </c>
      <c r="AG28" s="119">
        <f>Workings_risks!AG82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202</v>
      </c>
      <c r="F30" s="346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243</v>
      </c>
      <c r="D31" s="206"/>
      <c r="E31"/>
      <c r="F31" s="346" t="s">
        <v>243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272</v>
      </c>
      <c r="D32" s="205" t="s">
        <v>202</v>
      </c>
      <c r="E32"/>
      <c r="F32" s="346" t="s">
        <v>280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273</v>
      </c>
      <c r="D33" s="219"/>
      <c r="E33"/>
      <c r="F33" s="346" t="s">
        <v>244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1951869.3887187999</v>
      </c>
      <c r="J36" s="170">
        <f t="shared" ref="J36:AG36" si="2">SUM(J28:J34)</f>
        <v>1828159.3570394393</v>
      </c>
      <c r="K36" s="170">
        <f t="shared" si="2"/>
        <v>1704449.3253600786</v>
      </c>
      <c r="L36" s="170">
        <f t="shared" si="2"/>
        <v>1580739.2936807184</v>
      </c>
      <c r="M36" s="170">
        <f t="shared" si="2"/>
        <v>1457029.2620013577</v>
      </c>
      <c r="N36" s="170">
        <f t="shared" si="2"/>
        <v>1333319.2303219971</v>
      </c>
      <c r="O36" s="170">
        <f t="shared" si="2"/>
        <v>1209609.1986426364</v>
      </c>
      <c r="P36" s="170">
        <f t="shared" si="2"/>
        <v>1085899.166963276</v>
      </c>
      <c r="Q36" s="170">
        <f t="shared" si="2"/>
        <v>962189.13528391544</v>
      </c>
      <c r="R36" s="170">
        <f t="shared" si="2"/>
        <v>838479.1036045549</v>
      </c>
      <c r="S36" s="170">
        <f t="shared" si="2"/>
        <v>714769.07192519435</v>
      </c>
      <c r="T36" s="170">
        <f t="shared" si="2"/>
        <v>591059.04024583381</v>
      </c>
      <c r="U36" s="170">
        <f t="shared" si="2"/>
        <v>467349.0085664732</v>
      </c>
      <c r="V36" s="170">
        <f t="shared" si="2"/>
        <v>343638.97688711266</v>
      </c>
      <c r="W36" s="170">
        <f t="shared" si="2"/>
        <v>219928.94520775211</v>
      </c>
      <c r="X36" s="170">
        <f t="shared" si="2"/>
        <v>96218.913528391538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x14ac:dyDescent="0.3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  <c r="AI42"/>
      <c r="AJ42"/>
      <c r="AK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123710.03167936066</v>
      </c>
      <c r="K64" s="132">
        <f>(1-INDEX(Data!$C$9:$C$13, MATCH($A$3, options,0)))*('Option1 (base case)'!K36-K36)</f>
        <v>247420.06335872132</v>
      </c>
      <c r="L64" s="132">
        <f>(1-INDEX(Data!$C$9:$C$13, MATCH($A$3, options,0)))*('Option1 (base case)'!L36-L36)</f>
        <v>371130.09503808152</v>
      </c>
      <c r="M64" s="132">
        <f>(1-INDEX(Data!$C$9:$C$13, MATCH($A$3, options,0)))*('Option1 (base case)'!M36-M36)</f>
        <v>494840.12671744218</v>
      </c>
      <c r="N64" s="132">
        <f>(1-INDEX(Data!$C$9:$C$13, MATCH($A$3, options,0)))*('Option1 (base case)'!N36-N36)</f>
        <v>618550.15839680284</v>
      </c>
      <c r="O64" s="132">
        <f>(1-INDEX(Data!$C$9:$C$13, MATCH($A$3, options,0)))*('Option1 (base case)'!O36-O36)</f>
        <v>742260.1900761635</v>
      </c>
      <c r="P64" s="132">
        <f>(1-INDEX(Data!$C$9:$C$13, MATCH($A$3, options,0)))*('Option1 (base case)'!P36-P36)</f>
        <v>865970.22175552393</v>
      </c>
      <c r="Q64" s="132">
        <f>(1-INDEX(Data!$C$9:$C$13, MATCH($A$3, options,0)))*('Option1 (base case)'!Q36-Q36)</f>
        <v>989680.25343488448</v>
      </c>
      <c r="R64" s="132">
        <f>(1-INDEX(Data!$C$9:$C$13, MATCH($A$3, options,0)))*('Option1 (base case)'!R36-R36)</f>
        <v>1113390.285114245</v>
      </c>
      <c r="S64" s="132">
        <f>(1-INDEX(Data!$C$9:$C$13, MATCH($A$3, options,0)))*('Option1 (base case)'!S36-S36)</f>
        <v>1237100.3167936057</v>
      </c>
      <c r="T64" s="132">
        <f>(1-INDEX(Data!$C$9:$C$13, MATCH($A$3, options,0)))*('Option1 (base case)'!T36-T36)</f>
        <v>1360810.3484729661</v>
      </c>
      <c r="U64" s="132">
        <f>(1-INDEX(Data!$C$9:$C$13, MATCH($A$3, options,0)))*('Option1 (base case)'!U36-U36)</f>
        <v>1484520.3801523268</v>
      </c>
      <c r="V64" s="132">
        <f>(1-INDEX(Data!$C$9:$C$13, MATCH($A$3, options,0)))*('Option1 (base case)'!V36-V36)</f>
        <v>1608230.4118316872</v>
      </c>
      <c r="W64" s="132">
        <f>(1-INDEX(Data!$C$9:$C$13, MATCH($A$3, options,0)))*('Option1 (base case)'!W36-W36)</f>
        <v>1731940.4435110479</v>
      </c>
      <c r="X64" s="132">
        <f>(1-INDEX(Data!$C$9:$C$13, MATCH($A$3, options,0)))*('Option1 (base case)'!X36-X36)</f>
        <v>1855650.4751904083</v>
      </c>
      <c r="Y64" s="132">
        <f>(1-INDEX(Data!$C$9:$C$13, MATCH($A$3, options,0)))*('Option1 (base case)'!Y36-Y36)</f>
        <v>1951869.3887187999</v>
      </c>
      <c r="Z64" s="132">
        <f>(1-INDEX(Data!$C$9:$C$13, MATCH($A$3, options,0)))*('Option1 (base case)'!Z36-Z36)</f>
        <v>1951869.3887187999</v>
      </c>
      <c r="AA64" s="132">
        <f>(1-INDEX(Data!$C$9:$C$13, MATCH($A$3, options,0)))*('Option1 (base case)'!AA36-AA36)</f>
        <v>1951869.3887187999</v>
      </c>
      <c r="AB64" s="132">
        <f>(1-INDEX(Data!$C$9:$C$13, MATCH($A$3, options,0)))*('Option1 (base case)'!AB36-AB36)</f>
        <v>1951869.3887187999</v>
      </c>
      <c r="AC64" s="132">
        <f>(1-INDEX(Data!$C$9:$C$13, MATCH($A$3, options,0)))*('Option1 (base case)'!AC36-AC36)</f>
        <v>1951869.3887187999</v>
      </c>
      <c r="AD64" s="132">
        <f>(1-INDEX(Data!$C$9:$C$13, MATCH($A$3, options,0)))*('Option1 (base case)'!AD36-AD36)</f>
        <v>1951869.3887187999</v>
      </c>
      <c r="AE64" s="132">
        <f>(1-INDEX(Data!$C$9:$C$13, MATCH($A$3, options,0)))*('Option1 (base case)'!AE36-AE36)</f>
        <v>1951869.3887187999</v>
      </c>
      <c r="AF64" s="132">
        <f>(1-INDEX(Data!$C$9:$C$13, MATCH($A$3, options,0)))*('Option1 (base case)'!AF36-AF36)</f>
        <v>1951869.3887187999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air break switches over 15 year</v>
      </c>
      <c r="D67" s="38"/>
      <c r="F67" s="97"/>
      <c r="G67" s="210">
        <f>input_dollars</f>
        <v>45291</v>
      </c>
      <c r="H67" s="31"/>
      <c r="I67" s="119">
        <f t="shared" ref="I67:AG67" si="4">-I14</f>
        <v>-331110</v>
      </c>
      <c r="J67" s="119">
        <f t="shared" si="4"/>
        <v>-331110</v>
      </c>
      <c r="K67" s="119">
        <f t="shared" si="4"/>
        <v>-331110</v>
      </c>
      <c r="L67" s="119">
        <f t="shared" si="4"/>
        <v>-331110</v>
      </c>
      <c r="M67" s="119">
        <f t="shared" si="4"/>
        <v>-331110</v>
      </c>
      <c r="N67" s="119">
        <f t="shared" si="4"/>
        <v>-331110</v>
      </c>
      <c r="O67" s="119">
        <f t="shared" si="4"/>
        <v>-331110</v>
      </c>
      <c r="P67" s="119">
        <f t="shared" si="4"/>
        <v>-331110</v>
      </c>
      <c r="Q67" s="119">
        <f t="shared" si="4"/>
        <v>-331110</v>
      </c>
      <c r="R67" s="119">
        <f t="shared" si="4"/>
        <v>-331110</v>
      </c>
      <c r="S67" s="119">
        <f t="shared" si="4"/>
        <v>-331110</v>
      </c>
      <c r="T67" s="119">
        <f t="shared" si="4"/>
        <v>-331110</v>
      </c>
      <c r="U67" s="119">
        <f t="shared" si="4"/>
        <v>-331110</v>
      </c>
      <c r="V67" s="119">
        <f t="shared" si="4"/>
        <v>-331110</v>
      </c>
      <c r="W67" s="119">
        <f t="shared" si="4"/>
        <v>-331110</v>
      </c>
      <c r="X67" s="119">
        <f t="shared" si="4"/>
        <v>-257530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air break switches over 15 year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-331110</v>
      </c>
      <c r="J72" s="119" cm="1">
        <f t="array" ref="J72">SUMPRODUCT(($I67:J67))-SUMPRODUCT(($I67:J67)*($I$6:J$6&lt;=(J$6-$E14)))</f>
        <v>-662220</v>
      </c>
      <c r="K72" s="119" cm="1">
        <f t="array" ref="K72">SUMPRODUCT(($I67:K67))-SUMPRODUCT(($I67:K67)*($I$6:K$6&lt;=(K$6-$E14)))</f>
        <v>-993330</v>
      </c>
      <c r="L72" s="119" cm="1">
        <f t="array" ref="L72">SUMPRODUCT(($I67:L67))-SUMPRODUCT(($I67:L67)*($I$6:L$6&lt;=(L$6-$E14)))</f>
        <v>-1324440</v>
      </c>
      <c r="M72" s="119" cm="1">
        <f t="array" ref="M72">SUMPRODUCT(($I67:M67))-SUMPRODUCT(($I67:M67)*($I$6:M$6&lt;=(M$6-$E14)))</f>
        <v>-1655550</v>
      </c>
      <c r="N72" s="119" cm="1">
        <f t="array" ref="N72">SUMPRODUCT(($I67:N67))-SUMPRODUCT(($I67:N67)*($I$6:N$6&lt;=(N$6-$E14)))</f>
        <v>-1986660</v>
      </c>
      <c r="O72" s="119" cm="1">
        <f t="array" ref="O72">SUMPRODUCT(($I67:O67))-SUMPRODUCT(($I67:O67)*($I$6:O$6&lt;=(O$6-$E14)))</f>
        <v>-2317770</v>
      </c>
      <c r="P72" s="119" cm="1">
        <f t="array" ref="P72">SUMPRODUCT(($I67:P67))-SUMPRODUCT(($I67:P67)*($I$6:P$6&lt;=(P$6-$E14)))</f>
        <v>-2648880</v>
      </c>
      <c r="Q72" s="119" cm="1">
        <f t="array" ref="Q72">SUMPRODUCT(($I67:Q67))-SUMPRODUCT(($I67:Q67)*($I$6:Q$6&lt;=(Q$6-$E14)))</f>
        <v>-2979990</v>
      </c>
      <c r="R72" s="119" cm="1">
        <f t="array" ref="R72">SUMPRODUCT(($I67:R67))-SUMPRODUCT(($I67:R67)*($I$6:R$6&lt;=(R$6-$E14)))</f>
        <v>-3311100</v>
      </c>
      <c r="S72" s="119" cm="1">
        <f t="array" ref="S72">SUMPRODUCT(($I67:S67))-SUMPRODUCT(($I67:S67)*($I$6:S$6&lt;=(S$6-$E14)))</f>
        <v>-3642210</v>
      </c>
      <c r="T72" s="119" cm="1">
        <f t="array" ref="T72">SUMPRODUCT(($I67:T67))-SUMPRODUCT(($I67:T67)*($I$6:T$6&lt;=(T$6-$E14)))</f>
        <v>-3973320</v>
      </c>
      <c r="U72" s="119" cm="1">
        <f t="array" ref="U72">SUMPRODUCT(($I67:U67))-SUMPRODUCT(($I67:U67)*($I$6:U$6&lt;=(U$6-$E14)))</f>
        <v>-4304430</v>
      </c>
      <c r="V72" s="119" cm="1">
        <f t="array" ref="V72">SUMPRODUCT(($I67:V67))-SUMPRODUCT(($I67:V67)*($I$6:V$6&lt;=(V$6-$E14)))</f>
        <v>-4635540</v>
      </c>
      <c r="W72" s="119" cm="1">
        <f t="array" ref="W72">SUMPRODUCT(($I67:W67))-SUMPRODUCT(($I67:W67)*($I$6:W$6&lt;=(W$6-$E14)))</f>
        <v>-4966650</v>
      </c>
      <c r="X72" s="119" cm="1">
        <f t="array" ref="X72">SUMPRODUCT(($I67:X67))-SUMPRODUCT(($I67:X67)*($I$6:X$6&lt;=(X$6-$E14)))</f>
        <v>-5224180</v>
      </c>
      <c r="Y72" s="119" cm="1">
        <f t="array" ref="Y72">SUMPRODUCT(($I67:Y67))-SUMPRODUCT(($I67:Y67)*($I$6:Y$6&lt;=(Y$6-$E14)))</f>
        <v>-5224180</v>
      </c>
      <c r="Z72" s="119" cm="1">
        <f t="array" ref="Z72">SUMPRODUCT(($I67:Z67))-SUMPRODUCT(($I67:Z67)*($I$6:Z$6&lt;=(Z$6-$E14)))</f>
        <v>-5224180</v>
      </c>
      <c r="AA72" s="119" cm="1">
        <f t="array" ref="AA72">SUMPRODUCT(($I67:AA67))-SUMPRODUCT(($I67:AA67)*($I$6:AA$6&lt;=(AA$6-$E14)))</f>
        <v>-5224180</v>
      </c>
      <c r="AB72" s="119" cm="1">
        <f t="array" ref="AB72">SUMPRODUCT(($I67:AB67))-SUMPRODUCT(($I67:AB67)*($I$6:AB$6&lt;=(AB$6-$E14)))</f>
        <v>-5224180</v>
      </c>
      <c r="AC72" s="119" cm="1">
        <f t="array" ref="AC72">SUMPRODUCT(($I67:AC67))-SUMPRODUCT(($I67:AC67)*($I$6:AC$6&lt;=(AC$6-$E14)))</f>
        <v>-5224180</v>
      </c>
      <c r="AD72" s="119" cm="1">
        <f t="array" ref="AD72">SUMPRODUCT(($I67:AD67))-SUMPRODUCT(($I67:AD67)*($I$6:AD$6&lt;=(AD$6-$E14)))</f>
        <v>-5224180</v>
      </c>
      <c r="AE72" s="119" cm="1">
        <f t="array" ref="AE72">SUMPRODUCT(($I67:AE67))-SUMPRODUCT(($I67:AE67)*($I$6:AE$6&lt;=(AE$6-$E14)))</f>
        <v>-5224180</v>
      </c>
      <c r="AF72" s="119" cm="1">
        <f t="array" ref="AF72">SUMPRODUCT(($I67:AF67))-SUMPRODUCT(($I67:AF67)*($I$6:AF$6&lt;=(AF$6-$E14)))</f>
        <v>-5224180</v>
      </c>
      <c r="AG72" s="119" cm="1">
        <f t="array" ref="AG72">SUMPRODUCT(($I67:AG67))-SUMPRODUCT(($I67:AG67)*($I$6:AG$6&lt;=(AG$6-$E14)))</f>
        <v>-5224180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air break switches over 15 year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-13646.112493998167</v>
      </c>
      <c r="K77" s="119">
        <f t="shared" si="7"/>
        <v>-27292.224987996335</v>
      </c>
      <c r="L77" s="119">
        <f t="shared" si="7"/>
        <v>-40938.337481994495</v>
      </c>
      <c r="M77" s="119">
        <f t="shared" si="7"/>
        <v>-54584.449975992669</v>
      </c>
      <c r="N77" s="119">
        <f t="shared" si="7"/>
        <v>-68230.562469990837</v>
      </c>
      <c r="O77" s="119">
        <f t="shared" si="7"/>
        <v>-81876.674963988989</v>
      </c>
      <c r="P77" s="119">
        <f t="shared" si="7"/>
        <v>-95522.787457987171</v>
      </c>
      <c r="Q77" s="119">
        <f t="shared" si="7"/>
        <v>-109168.89995198534</v>
      </c>
      <c r="R77" s="119">
        <f t="shared" si="7"/>
        <v>-122815.01244598349</v>
      </c>
      <c r="S77" s="119">
        <f t="shared" si="7"/>
        <v>-136461.12493998167</v>
      </c>
      <c r="T77" s="119">
        <f t="shared" si="7"/>
        <v>-150107.23743397981</v>
      </c>
      <c r="U77" s="119">
        <f t="shared" si="7"/>
        <v>-163753.34992797798</v>
      </c>
      <c r="V77" s="119">
        <f t="shared" si="7"/>
        <v>-177399.46242197615</v>
      </c>
      <c r="W77" s="119">
        <f t="shared" si="7"/>
        <v>-191045.57491597434</v>
      </c>
      <c r="X77" s="119">
        <f t="shared" si="7"/>
        <v>-204691.68740997251</v>
      </c>
      <c r="Y77" s="119">
        <f t="shared" si="7"/>
        <v>-215305.33046085996</v>
      </c>
      <c r="Z77" s="119">
        <f t="shared" si="7"/>
        <v>-215305.33046085996</v>
      </c>
      <c r="AA77" s="119">
        <f t="shared" si="7"/>
        <v>-215305.33046085996</v>
      </c>
      <c r="AB77" s="119">
        <f t="shared" si="7"/>
        <v>-215305.33046085996</v>
      </c>
      <c r="AC77" s="119">
        <f t="shared" si="7"/>
        <v>-215305.33046085996</v>
      </c>
      <c r="AD77" s="119">
        <f t="shared" si="7"/>
        <v>-215305.33046085996</v>
      </c>
      <c r="AE77" s="119">
        <f t="shared" si="7"/>
        <v>-215305.33046085996</v>
      </c>
      <c r="AF77" s="119">
        <f t="shared" si="7"/>
        <v>-215305.33046085996</v>
      </c>
      <c r="AG77" s="119">
        <f t="shared" si="7"/>
        <v>-215305.33046085996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-13646.112493998167</v>
      </c>
      <c r="K80" s="176">
        <f t="shared" si="10"/>
        <v>-27292.224987996335</v>
      </c>
      <c r="L80" s="176">
        <f t="shared" si="10"/>
        <v>-40938.337481994495</v>
      </c>
      <c r="M80" s="176">
        <f t="shared" si="10"/>
        <v>-54584.449975992669</v>
      </c>
      <c r="N80" s="176">
        <f t="shared" si="10"/>
        <v>-68230.562469990837</v>
      </c>
      <c r="O80" s="176">
        <f t="shared" si="10"/>
        <v>-81876.674963988989</v>
      </c>
      <c r="P80" s="176">
        <f t="shared" si="10"/>
        <v>-95522.787457987171</v>
      </c>
      <c r="Q80" s="176">
        <f t="shared" si="10"/>
        <v>-109168.89995198534</v>
      </c>
      <c r="R80" s="176">
        <f t="shared" si="10"/>
        <v>-122815.01244598349</v>
      </c>
      <c r="S80" s="176">
        <f t="shared" si="10"/>
        <v>-136461.12493998167</v>
      </c>
      <c r="T80" s="176">
        <f t="shared" si="10"/>
        <v>-150107.23743397981</v>
      </c>
      <c r="U80" s="176">
        <f t="shared" si="10"/>
        <v>-163753.34992797798</v>
      </c>
      <c r="V80" s="176">
        <f t="shared" si="10"/>
        <v>-177399.46242197615</v>
      </c>
      <c r="W80" s="176">
        <f t="shared" si="10"/>
        <v>-191045.57491597434</v>
      </c>
      <c r="X80" s="176">
        <f t="shared" si="10"/>
        <v>-204691.68740997251</v>
      </c>
      <c r="Y80" s="176">
        <f t="shared" si="10"/>
        <v>-215305.33046085996</v>
      </c>
      <c r="Z80" s="176">
        <f t="shared" si="10"/>
        <v>-215305.33046085996</v>
      </c>
      <c r="AA80" s="176">
        <f t="shared" si="10"/>
        <v>-215305.33046085996</v>
      </c>
      <c r="AB80" s="176">
        <f t="shared" si="10"/>
        <v>-215305.33046085996</v>
      </c>
      <c r="AC80" s="176">
        <f>SUM(AC77:AC79)</f>
        <v>-215305.33046085996</v>
      </c>
      <c r="AD80" s="176">
        <f>SUM(AD77:AD79)</f>
        <v>-215305.33046085996</v>
      </c>
      <c r="AE80" s="176">
        <f>SUM(AE77:AE79)</f>
        <v>-215305.33046085996</v>
      </c>
      <c r="AF80" s="176">
        <f>SUM(AF77:AF79)</f>
        <v>-215305.33046085996</v>
      </c>
      <c r="AG80" s="176">
        <f>SUM(AG77:AG79)</f>
        <v>-215305.33046085996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-13646.112493998167</v>
      </c>
      <c r="K82" s="119">
        <f t="shared" si="12"/>
        <v>-27292.224987996335</v>
      </c>
      <c r="L82" s="119">
        <f t="shared" si="12"/>
        <v>-40938.337481994495</v>
      </c>
      <c r="M82" s="119">
        <f t="shared" si="12"/>
        <v>-54584.449975992669</v>
      </c>
      <c r="N82" s="119">
        <f t="shared" si="12"/>
        <v>-68230.562469990837</v>
      </c>
      <c r="O82" s="119">
        <f t="shared" si="12"/>
        <v>-81876.674963988989</v>
      </c>
      <c r="P82" s="119">
        <f t="shared" si="12"/>
        <v>-95522.787457987171</v>
      </c>
      <c r="Q82" s="119">
        <f t="shared" si="12"/>
        <v>-109168.89995198534</v>
      </c>
      <c r="R82" s="119">
        <f t="shared" si="12"/>
        <v>-122815.01244598349</v>
      </c>
      <c r="S82" s="119">
        <f t="shared" si="12"/>
        <v>-136461.12493998167</v>
      </c>
      <c r="T82" s="119">
        <f t="shared" si="12"/>
        <v>-150107.23743397981</v>
      </c>
      <c r="U82" s="119">
        <f t="shared" si="12"/>
        <v>-163753.34992797798</v>
      </c>
      <c r="V82" s="119">
        <f t="shared" si="12"/>
        <v>-177399.46242197615</v>
      </c>
      <c r="W82" s="119">
        <f t="shared" si="12"/>
        <v>-191045.57491597434</v>
      </c>
      <c r="X82" s="119">
        <f t="shared" si="12"/>
        <v>-204691.68740997251</v>
      </c>
      <c r="Y82" s="119">
        <f t="shared" si="12"/>
        <v>-215305.33046085996</v>
      </c>
      <c r="Z82" s="119">
        <f t="shared" si="12"/>
        <v>-215305.33046085996</v>
      </c>
      <c r="AA82" s="119">
        <f t="shared" si="12"/>
        <v>-215305.33046085996</v>
      </c>
      <c r="AB82" s="119">
        <f t="shared" si="12"/>
        <v>-215305.33046085996</v>
      </c>
      <c r="AC82" s="119">
        <f>AC80</f>
        <v>-215305.33046085996</v>
      </c>
      <c r="AD82" s="119">
        <f>AD80</f>
        <v>-215305.33046085996</v>
      </c>
      <c r="AE82" s="119">
        <f>AE80</f>
        <v>-215305.33046085996</v>
      </c>
      <c r="AF82" s="119">
        <f>AF80</f>
        <v>-215305.33046085996</v>
      </c>
      <c r="AG82" s="119">
        <f>AG80</f>
        <v>-215305.33046085996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123710.03167936066</v>
      </c>
      <c r="K84" s="31">
        <f t="shared" si="14"/>
        <v>247420.06335872132</v>
      </c>
      <c r="L84" s="31">
        <f t="shared" si="14"/>
        <v>371130.09503808152</v>
      </c>
      <c r="M84" s="31">
        <f t="shared" si="14"/>
        <v>494840.12671744218</v>
      </c>
      <c r="N84" s="31">
        <f t="shared" si="14"/>
        <v>618550.15839680284</v>
      </c>
      <c r="O84" s="31">
        <f t="shared" si="14"/>
        <v>742260.1900761635</v>
      </c>
      <c r="P84" s="31">
        <f t="shared" si="14"/>
        <v>865970.22175552393</v>
      </c>
      <c r="Q84" s="31">
        <f t="shared" si="14"/>
        <v>989680.25343488448</v>
      </c>
      <c r="R84" s="31">
        <f t="shared" si="14"/>
        <v>1113390.285114245</v>
      </c>
      <c r="S84" s="31">
        <f t="shared" si="14"/>
        <v>1237100.3167936057</v>
      </c>
      <c r="T84" s="31">
        <f t="shared" si="14"/>
        <v>1360810.3484729661</v>
      </c>
      <c r="U84" s="31">
        <f t="shared" si="14"/>
        <v>1484520.3801523268</v>
      </c>
      <c r="V84" s="31">
        <f t="shared" si="14"/>
        <v>1608230.4118316872</v>
      </c>
      <c r="W84" s="31">
        <f t="shared" si="14"/>
        <v>1731940.4435110479</v>
      </c>
      <c r="X84" s="31">
        <f t="shared" si="14"/>
        <v>1855650.4751904083</v>
      </c>
      <c r="Y84" s="31">
        <f t="shared" si="14"/>
        <v>1951869.3887187999</v>
      </c>
      <c r="Z84" s="31">
        <f t="shared" si="14"/>
        <v>1951869.3887187999</v>
      </c>
      <c r="AA84" s="31">
        <f t="shared" si="14"/>
        <v>1951869.3887187999</v>
      </c>
      <c r="AB84" s="31">
        <f t="shared" si="14"/>
        <v>1951869.3887187999</v>
      </c>
      <c r="AC84" s="31">
        <f>AC64</f>
        <v>1951869.3887187999</v>
      </c>
      <c r="AD84" s="31">
        <f>AD64</f>
        <v>1951869.3887187999</v>
      </c>
      <c r="AE84" s="31">
        <f>AE64</f>
        <v>1951869.3887187999</v>
      </c>
      <c r="AF84" s="31">
        <f>AF64</f>
        <v>1951869.3887187999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110063.91918536249</v>
      </c>
      <c r="K87" s="179">
        <f t="shared" si="16"/>
        <v>220127.83837072499</v>
      </c>
      <c r="L87" s="179">
        <f t="shared" si="16"/>
        <v>330191.75755608705</v>
      </c>
      <c r="M87" s="179">
        <f t="shared" si="16"/>
        <v>440255.67674144951</v>
      </c>
      <c r="N87" s="179">
        <f t="shared" si="16"/>
        <v>550319.59592681204</v>
      </c>
      <c r="O87" s="179">
        <f t="shared" si="16"/>
        <v>660383.51511217456</v>
      </c>
      <c r="P87" s="179">
        <f t="shared" si="16"/>
        <v>770447.43429753673</v>
      </c>
      <c r="Q87" s="179">
        <f t="shared" si="16"/>
        <v>880511.35348289914</v>
      </c>
      <c r="R87" s="179">
        <f t="shared" si="16"/>
        <v>990575.27266826155</v>
      </c>
      <c r="S87" s="179">
        <f t="shared" si="16"/>
        <v>1100639.1918536241</v>
      </c>
      <c r="T87" s="179">
        <f t="shared" si="16"/>
        <v>1210703.1110389864</v>
      </c>
      <c r="U87" s="179">
        <f t="shared" si="16"/>
        <v>1320767.0302243489</v>
      </c>
      <c r="V87" s="179">
        <f t="shared" si="16"/>
        <v>1430830.9494097112</v>
      </c>
      <c r="W87" s="179">
        <f t="shared" si="16"/>
        <v>1540894.8685950735</v>
      </c>
      <c r="X87" s="179">
        <f t="shared" si="16"/>
        <v>1650958.7877804358</v>
      </c>
      <c r="Y87" s="179">
        <f t="shared" si="16"/>
        <v>1736564.05825794</v>
      </c>
      <c r="Z87" s="179">
        <f t="shared" si="16"/>
        <v>1736564.05825794</v>
      </c>
      <c r="AA87" s="179">
        <f t="shared" si="16"/>
        <v>1736564.05825794</v>
      </c>
      <c r="AB87" s="179">
        <f t="shared" si="16"/>
        <v>1736564.05825794</v>
      </c>
      <c r="AC87" s="179">
        <f>SUM(AC82:AC86)</f>
        <v>1736564.05825794</v>
      </c>
      <c r="AD87" s="179">
        <f>SUM(AD82:AD86)</f>
        <v>1736564.05825794</v>
      </c>
      <c r="AE87" s="179">
        <f>SUM(AE82:AE86)</f>
        <v>1736564.05825794</v>
      </c>
      <c r="AF87" s="179">
        <f>SUM(AF82:AF86)</f>
        <v>1736564.05825794</v>
      </c>
      <c r="AG87" s="179">
        <f>SUM(AG82:AG86)</f>
        <v>-215305.33046085996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4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7">J87</f>
        <v>110063.91918536249</v>
      </c>
      <c r="K106" s="31">
        <f t="shared" si="17"/>
        <v>220127.83837072499</v>
      </c>
      <c r="L106" s="31">
        <f t="shared" si="17"/>
        <v>330191.75755608705</v>
      </c>
      <c r="M106" s="31">
        <f t="shared" si="17"/>
        <v>440255.67674144951</v>
      </c>
      <c r="N106" s="31">
        <f t="shared" si="17"/>
        <v>550319.59592681204</v>
      </c>
      <c r="O106" s="31">
        <f t="shared" si="17"/>
        <v>660383.51511217456</v>
      </c>
      <c r="P106" s="31">
        <f t="shared" si="17"/>
        <v>770447.43429753673</v>
      </c>
      <c r="Q106" s="31">
        <f t="shared" si="17"/>
        <v>880511.35348289914</v>
      </c>
      <c r="R106" s="31">
        <f t="shared" si="17"/>
        <v>990575.27266826155</v>
      </c>
      <c r="S106" s="31">
        <f t="shared" si="17"/>
        <v>1100639.1918536241</v>
      </c>
      <c r="T106" s="31">
        <f t="shared" si="17"/>
        <v>1210703.1110389864</v>
      </c>
      <c r="U106" s="31">
        <f t="shared" si="17"/>
        <v>1320767.0302243489</v>
      </c>
      <c r="V106" s="31">
        <f t="shared" si="17"/>
        <v>1430830.9494097112</v>
      </c>
      <c r="W106" s="31">
        <f t="shared" si="17"/>
        <v>1540894.8685950735</v>
      </c>
      <c r="X106" s="31">
        <f t="shared" si="17"/>
        <v>1650958.7877804358</v>
      </c>
      <c r="Y106" s="31">
        <f t="shared" si="17"/>
        <v>1736564.05825794</v>
      </c>
      <c r="Z106" s="31">
        <f t="shared" si="17"/>
        <v>1736564.05825794</v>
      </c>
      <c r="AA106" s="31">
        <f t="shared" si="17"/>
        <v>1736564.05825794</v>
      </c>
      <c r="AB106" s="31">
        <f t="shared" si="17"/>
        <v>1736564.05825794</v>
      </c>
      <c r="AC106" s="31">
        <f t="shared" si="17"/>
        <v>1736564.05825794</v>
      </c>
      <c r="AD106" s="31">
        <f t="shared" si="17"/>
        <v>1736564.05825794</v>
      </c>
      <c r="AE106" s="31">
        <f t="shared" si="17"/>
        <v>1736564.05825794</v>
      </c>
      <c r="AF106" s="31">
        <f t="shared" si="17"/>
        <v>1736564.05825794</v>
      </c>
      <c r="AG106" s="31">
        <f t="shared" si="17"/>
        <v>-215305.33046085996</v>
      </c>
    </row>
    <row r="107" spans="1:43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-13646.112493998167</v>
      </c>
      <c r="K107" s="31">
        <f t="shared" si="18"/>
        <v>-27292.224987996335</v>
      </c>
      <c r="L107" s="31">
        <f t="shared" si="18"/>
        <v>-40938.337481994495</v>
      </c>
      <c r="M107" s="31">
        <f t="shared" si="18"/>
        <v>-54584.449975992669</v>
      </c>
      <c r="N107" s="31">
        <f t="shared" si="18"/>
        <v>-68230.562469990837</v>
      </c>
      <c r="O107" s="31">
        <f t="shared" si="18"/>
        <v>-81876.674963988989</v>
      </c>
      <c r="P107" s="31">
        <f t="shared" si="18"/>
        <v>-95522.787457987171</v>
      </c>
      <c r="Q107" s="31">
        <f t="shared" si="18"/>
        <v>-109168.89995198534</v>
      </c>
      <c r="R107" s="31">
        <f t="shared" si="18"/>
        <v>-122815.01244598349</v>
      </c>
      <c r="S107" s="31">
        <f t="shared" si="18"/>
        <v>-136461.12493998167</v>
      </c>
      <c r="T107" s="31">
        <f t="shared" si="18"/>
        <v>-150107.23743397981</v>
      </c>
      <c r="U107" s="31">
        <f t="shared" si="18"/>
        <v>-163753.34992797798</v>
      </c>
      <c r="V107" s="31">
        <f t="shared" si="18"/>
        <v>-177399.46242197615</v>
      </c>
      <c r="W107" s="31">
        <f t="shared" si="18"/>
        <v>-191045.57491597434</v>
      </c>
      <c r="X107" s="31">
        <f t="shared" si="18"/>
        <v>-204691.68740997251</v>
      </c>
      <c r="Y107" s="31">
        <f t="shared" si="18"/>
        <v>-215305.33046085996</v>
      </c>
      <c r="Z107" s="31">
        <f t="shared" si="18"/>
        <v>-215305.33046085996</v>
      </c>
      <c r="AA107" s="31">
        <f t="shared" si="18"/>
        <v>-215305.33046085996</v>
      </c>
      <c r="AB107" s="31">
        <f t="shared" si="18"/>
        <v>-215305.33046085996</v>
      </c>
      <c r="AC107" s="31">
        <f t="shared" si="18"/>
        <v>-215305.33046085996</v>
      </c>
      <c r="AD107" s="31">
        <f t="shared" si="18"/>
        <v>-215305.33046085996</v>
      </c>
      <c r="AE107" s="31">
        <f t="shared" si="18"/>
        <v>-215305.33046085996</v>
      </c>
      <c r="AF107" s="31">
        <f t="shared" si="18"/>
        <v>-215305.33046085996</v>
      </c>
      <c r="AG107" s="31">
        <f t="shared" si="18"/>
        <v>-215305.33046085996</v>
      </c>
    </row>
    <row r="108" spans="1:43" x14ac:dyDescent="0.3">
      <c r="C108" s="1" t="s">
        <v>235</v>
      </c>
      <c r="D108"/>
      <c r="E108"/>
      <c r="G108"/>
      <c r="I108" s="31">
        <f>SUM(I84:I85)</f>
        <v>0</v>
      </c>
      <c r="J108" s="31">
        <f t="shared" ref="J108:AG108" si="19">SUM(J84:J85)</f>
        <v>123710.03167936066</v>
      </c>
      <c r="K108" s="31">
        <f t="shared" si="19"/>
        <v>247420.06335872132</v>
      </c>
      <c r="L108" s="31">
        <f t="shared" si="19"/>
        <v>371130.09503808152</v>
      </c>
      <c r="M108" s="31">
        <f t="shared" si="19"/>
        <v>494840.12671744218</v>
      </c>
      <c r="N108" s="31">
        <f t="shared" si="19"/>
        <v>618550.15839680284</v>
      </c>
      <c r="O108" s="31">
        <f t="shared" si="19"/>
        <v>742260.1900761635</v>
      </c>
      <c r="P108" s="31">
        <f t="shared" si="19"/>
        <v>865970.22175552393</v>
      </c>
      <c r="Q108" s="31">
        <f t="shared" si="19"/>
        <v>989680.25343488448</v>
      </c>
      <c r="R108" s="31">
        <f t="shared" si="19"/>
        <v>1113390.285114245</v>
      </c>
      <c r="S108" s="31">
        <f t="shared" si="19"/>
        <v>1237100.3167936057</v>
      </c>
      <c r="T108" s="31">
        <f t="shared" si="19"/>
        <v>1360810.3484729661</v>
      </c>
      <c r="U108" s="31">
        <f t="shared" si="19"/>
        <v>1484520.3801523268</v>
      </c>
      <c r="V108" s="31">
        <f t="shared" si="19"/>
        <v>1608230.4118316872</v>
      </c>
      <c r="W108" s="31">
        <f t="shared" si="19"/>
        <v>1731940.4435110479</v>
      </c>
      <c r="X108" s="31">
        <f t="shared" si="19"/>
        <v>1855650.4751904083</v>
      </c>
      <c r="Y108" s="31">
        <f t="shared" si="19"/>
        <v>1951869.3887187999</v>
      </c>
      <c r="Z108" s="31">
        <f t="shared" si="19"/>
        <v>1951869.3887187999</v>
      </c>
      <c r="AA108" s="31">
        <f t="shared" si="19"/>
        <v>1951869.3887187999</v>
      </c>
      <c r="AB108" s="31">
        <f t="shared" si="19"/>
        <v>1951869.3887187999</v>
      </c>
      <c r="AC108" s="31">
        <f t="shared" si="19"/>
        <v>1951869.3887187999</v>
      </c>
      <c r="AD108" s="31">
        <f t="shared" si="19"/>
        <v>1951869.3887187999</v>
      </c>
      <c r="AE108" s="31">
        <f t="shared" si="19"/>
        <v>1951869.3887187999</v>
      </c>
      <c r="AF108" s="31">
        <f t="shared" si="19"/>
        <v>1951869.3887187999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108699.30793596267</v>
      </c>
      <c r="K110" s="31" cm="1">
        <f t="array" ref="K110">K$106+IF($C110&lt;&gt;0,SUMPRODUCT((K$107:K$108)*TRANSPOSE(($D110:$E110))),0)</f>
        <v>217398.61587192534</v>
      </c>
      <c r="L110" s="31" cm="1">
        <f t="array" ref="L110">L$106+IF($C110&lt;&gt;0,SUMPRODUCT((L$107:L$108)*TRANSPOSE(($D110:$E110))),0)</f>
        <v>326097.92380788759</v>
      </c>
      <c r="M110" s="31" cm="1">
        <f t="array" ref="M110">M$106+IF($C110&lt;&gt;0,SUMPRODUCT((M$107:M$108)*TRANSPOSE(($D110:$E110))),0)</f>
        <v>434797.23174385022</v>
      </c>
      <c r="N110" s="31" cm="1">
        <f t="array" ref="N110">N$106+IF($C110&lt;&gt;0,SUMPRODUCT((N$107:N$108)*TRANSPOSE(($D110:$E110))),0)</f>
        <v>543496.53967981297</v>
      </c>
      <c r="O110" s="31" cm="1">
        <f t="array" ref="O110">O$106+IF($C110&lt;&gt;0,SUMPRODUCT((O$107:O$108)*TRANSPOSE(($D110:$E110))),0)</f>
        <v>652195.84761577565</v>
      </c>
      <c r="P110" s="31" cm="1">
        <f t="array" ref="P110">P$106+IF($C110&lt;&gt;0,SUMPRODUCT((P$107:P$108)*TRANSPOSE(($D110:$E110))),0)</f>
        <v>760895.15555173799</v>
      </c>
      <c r="Q110" s="31" cm="1">
        <f t="array" ref="Q110">Q$106+IF($C110&lt;&gt;0,SUMPRODUCT((Q$107:Q$108)*TRANSPOSE(($D110:$E110))),0)</f>
        <v>869594.46348770056</v>
      </c>
      <c r="R110" s="31" cm="1">
        <f t="array" ref="R110">R$106+IF($C110&lt;&gt;0,SUMPRODUCT((R$107:R$108)*TRANSPOSE(($D110:$E110))),0)</f>
        <v>978293.77142366325</v>
      </c>
      <c r="S110" s="31" cm="1">
        <f t="array" ref="S110">S$106+IF($C110&lt;&gt;0,SUMPRODUCT((S$107:S$108)*TRANSPOSE(($D110:$E110))),0)</f>
        <v>1086993.0793596259</v>
      </c>
      <c r="T110" s="31" cm="1">
        <f t="array" ref="T110">T$106+IF($C110&lt;&gt;0,SUMPRODUCT((T$107:T$108)*TRANSPOSE(($D110:$E110))),0)</f>
        <v>1195692.3872955884</v>
      </c>
      <c r="U110" s="31" cm="1">
        <f t="array" ref="U110">U$106+IF($C110&lt;&gt;0,SUMPRODUCT((U$107:U$108)*TRANSPOSE(($D110:$E110))),0)</f>
        <v>1304391.6952315511</v>
      </c>
      <c r="V110" s="31" cm="1">
        <f t="array" ref="V110">V$106+IF($C110&lt;&gt;0,SUMPRODUCT((V$107:V$108)*TRANSPOSE(($D110:$E110))),0)</f>
        <v>1413091.0031675135</v>
      </c>
      <c r="W110" s="31" cm="1">
        <f t="array" ref="W110">W$106+IF($C110&lt;&gt;0,SUMPRODUCT((W$107:W$108)*TRANSPOSE(($D110:$E110))),0)</f>
        <v>1521790.311103476</v>
      </c>
      <c r="X110" s="31" cm="1">
        <f t="array" ref="X110">X$106+IF($C110&lt;&gt;0,SUMPRODUCT((X$107:X$108)*TRANSPOSE(($D110:$E110))),0)</f>
        <v>1630489.6190394384</v>
      </c>
      <c r="Y110" s="31" cm="1">
        <f t="array" ref="Y110">Y$106+IF($C110&lt;&gt;0,SUMPRODUCT((Y$107:Y$108)*TRANSPOSE(($D110:$E110))),0)</f>
        <v>1715033.5252118539</v>
      </c>
      <c r="Z110" s="31" cm="1">
        <f t="array" ref="Z110">Z$106+IF($C110&lt;&gt;0,SUMPRODUCT((Z$107:Z$108)*TRANSPOSE(($D110:$E110))),0)</f>
        <v>1715033.5252118539</v>
      </c>
      <c r="AA110" s="31" cm="1">
        <f t="array" ref="AA110">AA$106+IF($C110&lt;&gt;0,SUMPRODUCT((AA$107:AA$108)*TRANSPOSE(($D110:$E110))),0)</f>
        <v>1715033.5252118539</v>
      </c>
      <c r="AB110" s="31" cm="1">
        <f t="array" ref="AB110">AB$106+IF($C110&lt;&gt;0,SUMPRODUCT((AB$107:AB$108)*TRANSPOSE(($D110:$E110))),0)</f>
        <v>1715033.5252118539</v>
      </c>
      <c r="AC110" s="31" cm="1">
        <f t="array" ref="AC110">AC$106+IF($C110&lt;&gt;0,SUMPRODUCT((AC$107:AC$108)*TRANSPOSE(($D110:$E110))),0)</f>
        <v>1715033.5252118539</v>
      </c>
      <c r="AD110" s="31" cm="1">
        <f t="array" ref="AD110">AD$106+IF($C110&lt;&gt;0,SUMPRODUCT((AD$107:AD$108)*TRANSPOSE(($D110:$E110))),0)</f>
        <v>1715033.5252118539</v>
      </c>
      <c r="AE110" s="31" cm="1">
        <f t="array" ref="AE110">AE$106+IF($C110&lt;&gt;0,SUMPRODUCT((AE$107:AE$108)*TRANSPOSE(($D110:$E110))),0)</f>
        <v>1715033.5252118539</v>
      </c>
      <c r="AF110" s="31" cm="1">
        <f t="array" ref="AF110">AF$106+IF($C110&lt;&gt;0,SUMPRODUCT((AF$107:AF$108)*TRANSPOSE(($D110:$E110))),0)</f>
        <v>1715033.5252118539</v>
      </c>
      <c r="AG110" s="31" cm="1">
        <f t="array" ref="AG110">AG$106+IF($C110&lt;&gt;0,SUMPRODUCT((AG$107:AG$108)*TRANSPOSE(($D110:$E110))),0)</f>
        <v>-236835.86350694596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111428.53043476232</v>
      </c>
      <c r="K111" s="31" cm="1">
        <f t="array" ref="K111">K$106+IF($C111&lt;&gt;0,SUMPRODUCT((K$107:K$108)*TRANSPOSE(($D111:$E111))),0)</f>
        <v>222857.06086952463</v>
      </c>
      <c r="L111" s="31" cm="1">
        <f t="array" ref="L111">L$106+IF($C111&lt;&gt;0,SUMPRODUCT((L$107:L$108)*TRANSPOSE(($D111:$E111))),0)</f>
        <v>334285.5913042865</v>
      </c>
      <c r="M111" s="31" cm="1">
        <f t="array" ref="M111">M$106+IF($C111&lt;&gt;0,SUMPRODUCT((M$107:M$108)*TRANSPOSE(($D111:$E111))),0)</f>
        <v>445714.1217390488</v>
      </c>
      <c r="N111" s="31" cm="1">
        <f t="array" ref="N111">N$106+IF($C111&lt;&gt;0,SUMPRODUCT((N$107:N$108)*TRANSPOSE(($D111:$E111))),0)</f>
        <v>557142.6521738111</v>
      </c>
      <c r="O111" s="31" cm="1">
        <f t="array" ref="O111">O$106+IF($C111&lt;&gt;0,SUMPRODUCT((O$107:O$108)*TRANSPOSE(($D111:$E111))),0)</f>
        <v>668571.18260857346</v>
      </c>
      <c r="P111" s="31" cm="1">
        <f t="array" ref="P111">P$106+IF($C111&lt;&gt;0,SUMPRODUCT((P$107:P$108)*TRANSPOSE(($D111:$E111))),0)</f>
        <v>779999.71304333548</v>
      </c>
      <c r="Q111" s="31" cm="1">
        <f t="array" ref="Q111">Q$106+IF($C111&lt;&gt;0,SUMPRODUCT((Q$107:Q$108)*TRANSPOSE(($D111:$E111))),0)</f>
        <v>891428.24347809772</v>
      </c>
      <c r="R111" s="31" cm="1">
        <f t="array" ref="R111">R$106+IF($C111&lt;&gt;0,SUMPRODUCT((R$107:R$108)*TRANSPOSE(($D111:$E111))),0)</f>
        <v>1002856.7739128598</v>
      </c>
      <c r="S111" s="31" cm="1">
        <f t="array" ref="S111">S$106+IF($C111&lt;&gt;0,SUMPRODUCT((S$107:S$108)*TRANSPOSE(($D111:$E111))),0)</f>
        <v>1114285.3043476222</v>
      </c>
      <c r="T111" s="31" cm="1">
        <f t="array" ref="T111">T$106+IF($C111&lt;&gt;0,SUMPRODUCT((T$107:T$108)*TRANSPOSE(($D111:$E111))),0)</f>
        <v>1225713.8347823843</v>
      </c>
      <c r="U111" s="31" cm="1">
        <f t="array" ref="U111">U$106+IF($C111&lt;&gt;0,SUMPRODUCT((U$107:U$108)*TRANSPOSE(($D111:$E111))),0)</f>
        <v>1337142.3652171467</v>
      </c>
      <c r="V111" s="31" cm="1">
        <f t="array" ref="V111">V$106+IF($C111&lt;&gt;0,SUMPRODUCT((V$107:V$108)*TRANSPOSE(($D111:$E111))),0)</f>
        <v>1448570.8956519088</v>
      </c>
      <c r="W111" s="31" cm="1">
        <f t="array" ref="W111">W$106+IF($C111&lt;&gt;0,SUMPRODUCT((W$107:W$108)*TRANSPOSE(($D111:$E111))),0)</f>
        <v>1559999.426086671</v>
      </c>
      <c r="X111" s="31" cm="1">
        <f t="array" ref="X111">X$106+IF($C111&lt;&gt;0,SUMPRODUCT((X$107:X$108)*TRANSPOSE(($D111:$E111))),0)</f>
        <v>1671427.9565214331</v>
      </c>
      <c r="Y111" s="31" cm="1">
        <f t="array" ref="Y111">Y$106+IF($C111&lt;&gt;0,SUMPRODUCT((Y$107:Y$108)*TRANSPOSE(($D111:$E111))),0)</f>
        <v>1758094.5913040261</v>
      </c>
      <c r="Z111" s="31" cm="1">
        <f t="array" ref="Z111">Z$106+IF($C111&lt;&gt;0,SUMPRODUCT((Z$107:Z$108)*TRANSPOSE(($D111:$E111))),0)</f>
        <v>1758094.5913040261</v>
      </c>
      <c r="AA111" s="31" cm="1">
        <f t="array" ref="AA111">AA$106+IF($C111&lt;&gt;0,SUMPRODUCT((AA$107:AA$108)*TRANSPOSE(($D111:$E111))),0)</f>
        <v>1758094.5913040261</v>
      </c>
      <c r="AB111" s="31" cm="1">
        <f t="array" ref="AB111">AB$106+IF($C111&lt;&gt;0,SUMPRODUCT((AB$107:AB$108)*TRANSPOSE(($D111:$E111))),0)</f>
        <v>1758094.5913040261</v>
      </c>
      <c r="AC111" s="31" cm="1">
        <f t="array" ref="AC111">AC$106+IF($C111&lt;&gt;0,SUMPRODUCT((AC$107:AC$108)*TRANSPOSE(($D111:$E111))),0)</f>
        <v>1758094.5913040261</v>
      </c>
      <c r="AD111" s="31" cm="1">
        <f t="array" ref="AD111">AD$106+IF($C111&lt;&gt;0,SUMPRODUCT((AD$107:AD$108)*TRANSPOSE(($D111:$E111))),0)</f>
        <v>1758094.5913040261</v>
      </c>
      <c r="AE111" s="31" cm="1">
        <f t="array" ref="AE111">AE$106+IF($C111&lt;&gt;0,SUMPRODUCT((AE$107:AE$108)*TRANSPOSE(($D111:$E111))),0)</f>
        <v>1758094.5913040261</v>
      </c>
      <c r="AF111" s="31" cm="1">
        <f t="array" ref="AF111">AF$106+IF($C111&lt;&gt;0,SUMPRODUCT((AF$107:AF$108)*TRANSPOSE(($D111:$E111))),0)</f>
        <v>1758094.5913040261</v>
      </c>
      <c r="AG111" s="31" cm="1">
        <f t="array" ref="AG111">AG$106+IF($C111&lt;&gt;0,SUMPRODUCT((AG$107:AG$108)*TRANSPOSE(($D111:$E111))),0)</f>
        <v>-193774.79741477396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122434.92235329856</v>
      </c>
      <c r="K112" s="31" cm="1">
        <f t="array" ref="K112">K$106+IF($C112&lt;&gt;0,SUMPRODUCT((K$107:K$108)*TRANSPOSE(($D112:$E112))),0)</f>
        <v>244869.84470659713</v>
      </c>
      <c r="L112" s="31" cm="1">
        <f t="array" ref="L112">L$106+IF($C112&lt;&gt;0,SUMPRODUCT((L$107:L$108)*TRANSPOSE(($D112:$E112))),0)</f>
        <v>367304.76705989521</v>
      </c>
      <c r="M112" s="31" cm="1">
        <f t="array" ref="M112">M$106+IF($C112&lt;&gt;0,SUMPRODUCT((M$107:M$108)*TRANSPOSE(($D112:$E112))),0)</f>
        <v>489739.68941319373</v>
      </c>
      <c r="N112" s="31" cm="1">
        <f t="array" ref="N112">N$106+IF($C112&lt;&gt;0,SUMPRODUCT((N$107:N$108)*TRANSPOSE(($D112:$E112))),0)</f>
        <v>612174.61176649237</v>
      </c>
      <c r="O112" s="31" cm="1">
        <f t="array" ref="O112">O$106+IF($C112&lt;&gt;0,SUMPRODUCT((O$107:O$108)*TRANSPOSE(($D112:$E112))),0)</f>
        <v>734609.53411979089</v>
      </c>
      <c r="P112" s="31" cm="1">
        <f t="array" ref="P112">P$106+IF($C112&lt;&gt;0,SUMPRODUCT((P$107:P$108)*TRANSPOSE(($D112:$E112))),0)</f>
        <v>857044.45647308917</v>
      </c>
      <c r="Q112" s="31" cm="1">
        <f t="array" ref="Q112">Q$106+IF($C112&lt;&gt;0,SUMPRODUCT((Q$107:Q$108)*TRANSPOSE(($D112:$E112))),0)</f>
        <v>979479.37882638758</v>
      </c>
      <c r="R112" s="31" cm="1">
        <f t="array" ref="R112">R$106+IF($C112&lt;&gt;0,SUMPRODUCT((R$107:R$108)*TRANSPOSE(($D112:$E112))),0)</f>
        <v>1101914.3011796861</v>
      </c>
      <c r="S112" s="31" cm="1">
        <f t="array" ref="S112">S$106+IF($C112&lt;&gt;0,SUMPRODUCT((S$107:S$108)*TRANSPOSE(($D112:$E112))),0)</f>
        <v>1224349.2235329847</v>
      </c>
      <c r="T112" s="31" cm="1">
        <f t="array" ref="T112">T$106+IF($C112&lt;&gt;0,SUMPRODUCT((T$107:T$108)*TRANSPOSE(($D112:$E112))),0)</f>
        <v>1346784.1458862829</v>
      </c>
      <c r="U112" s="31" cm="1">
        <f t="array" ref="U112">U$106+IF($C112&lt;&gt;0,SUMPRODUCT((U$107:U$108)*TRANSPOSE(($D112:$E112))),0)</f>
        <v>1469219.0682395815</v>
      </c>
      <c r="V112" s="31" cm="1">
        <f t="array" ref="V112">V$106+IF($C112&lt;&gt;0,SUMPRODUCT((V$107:V$108)*TRANSPOSE(($D112:$E112))),0)</f>
        <v>1591653.9905928799</v>
      </c>
      <c r="W112" s="31" cm="1">
        <f t="array" ref="W112">W$106+IF($C112&lt;&gt;0,SUMPRODUCT((W$107:W$108)*TRANSPOSE(($D112:$E112))),0)</f>
        <v>1714088.9129461783</v>
      </c>
      <c r="X112" s="31" cm="1">
        <f t="array" ref="X112">X$106+IF($C112&lt;&gt;0,SUMPRODUCT((X$107:X$108)*TRANSPOSE(($D112:$E112))),0)</f>
        <v>1836523.8352994765</v>
      </c>
      <c r="Y112" s="31" cm="1">
        <f t="array" ref="Y112">Y$106+IF($C112&lt;&gt;0,SUMPRODUCT((Y$107:Y$108)*TRANSPOSE(($D112:$E112))),0)</f>
        <v>1931750.9971298201</v>
      </c>
      <c r="Z112" s="31" cm="1">
        <f t="array" ref="Z112">Z$106+IF($C112&lt;&gt;0,SUMPRODUCT((Z$107:Z$108)*TRANSPOSE(($D112:$E112))),0)</f>
        <v>1931750.9971298201</v>
      </c>
      <c r="AA112" s="31" cm="1">
        <f t="array" ref="AA112">AA$106+IF($C112&lt;&gt;0,SUMPRODUCT((AA$107:AA$108)*TRANSPOSE(($D112:$E112))),0)</f>
        <v>1931750.9971298201</v>
      </c>
      <c r="AB112" s="31" cm="1">
        <f t="array" ref="AB112">AB$106+IF($C112&lt;&gt;0,SUMPRODUCT((AB$107:AB$108)*TRANSPOSE(($D112:$E112))),0)</f>
        <v>1931750.9971298201</v>
      </c>
      <c r="AC112" s="31" cm="1">
        <f t="array" ref="AC112">AC$106+IF($C112&lt;&gt;0,SUMPRODUCT((AC$107:AC$108)*TRANSPOSE(($D112:$E112))),0)</f>
        <v>1931750.9971298201</v>
      </c>
      <c r="AD112" s="31" cm="1">
        <f t="array" ref="AD112">AD$106+IF($C112&lt;&gt;0,SUMPRODUCT((AD$107:AD$108)*TRANSPOSE(($D112:$E112))),0)</f>
        <v>1931750.9971298201</v>
      </c>
      <c r="AE112" s="31" cm="1">
        <f t="array" ref="AE112">AE$106+IF($C112&lt;&gt;0,SUMPRODUCT((AE$107:AE$108)*TRANSPOSE(($D112:$E112))),0)</f>
        <v>1931750.9971298201</v>
      </c>
      <c r="AF112" s="31" cm="1">
        <f t="array" ref="AF112">AF$106+IF($C112&lt;&gt;0,SUMPRODUCT((AF$107:AF$108)*TRANSPOSE(($D112:$E112))),0)</f>
        <v>1931750.9971298201</v>
      </c>
      <c r="AG112" s="31" cm="1">
        <f t="array" ref="AG112">AG$106+IF($C112&lt;&gt;0,SUMPRODUCT((AG$107:AG$108)*TRANSPOSE(($D112:$E112))),0)</f>
        <v>-215305.33046085996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97692.916017426425</v>
      </c>
      <c r="K113" s="31" cm="1">
        <f t="array" ref="K113">K$106+IF($C113&lt;&gt;0,SUMPRODUCT((K$107:K$108)*TRANSPOSE(($D113:$E113))),0)</f>
        <v>195385.83203485285</v>
      </c>
      <c r="L113" s="31" cm="1">
        <f t="array" ref="L113">L$106+IF($C113&lt;&gt;0,SUMPRODUCT((L$107:L$108)*TRANSPOSE(($D113:$E113))),0)</f>
        <v>293078.74805227888</v>
      </c>
      <c r="M113" s="31" cm="1">
        <f t="array" ref="M113">M$106+IF($C113&lt;&gt;0,SUMPRODUCT((M$107:M$108)*TRANSPOSE(($D113:$E113))),0)</f>
        <v>390771.66406970529</v>
      </c>
      <c r="N113" s="31" cm="1">
        <f t="array" ref="N113">N$106+IF($C113&lt;&gt;0,SUMPRODUCT((N$107:N$108)*TRANSPOSE(($D113:$E113))),0)</f>
        <v>488464.58008713176</v>
      </c>
      <c r="O113" s="31" cm="1">
        <f t="array" ref="O113">O$106+IF($C113&lt;&gt;0,SUMPRODUCT((O$107:O$108)*TRANSPOSE(($D113:$E113))),0)</f>
        <v>586157.49610455823</v>
      </c>
      <c r="P113" s="31" cm="1">
        <f t="array" ref="P113">P$106+IF($C113&lt;&gt;0,SUMPRODUCT((P$107:P$108)*TRANSPOSE(($D113:$E113))),0)</f>
        <v>683850.41212198429</v>
      </c>
      <c r="Q113" s="31" cm="1">
        <f t="array" ref="Q113">Q$106+IF($C113&lt;&gt;0,SUMPRODUCT((Q$107:Q$108)*TRANSPOSE(($D113:$E113))),0)</f>
        <v>781543.3281394107</v>
      </c>
      <c r="R113" s="31" cm="1">
        <f t="array" ref="R113">R$106+IF($C113&lt;&gt;0,SUMPRODUCT((R$107:R$108)*TRANSPOSE(($D113:$E113))),0)</f>
        <v>879236.244156837</v>
      </c>
      <c r="S113" s="31" cm="1">
        <f t="array" ref="S113">S$106+IF($C113&lt;&gt;0,SUMPRODUCT((S$107:S$108)*TRANSPOSE(($D113:$E113))),0)</f>
        <v>976929.16017426352</v>
      </c>
      <c r="T113" s="31" cm="1">
        <f t="array" ref="T113">T$106+IF($C113&lt;&gt;0,SUMPRODUCT((T$107:T$108)*TRANSPOSE(($D113:$E113))),0)</f>
        <v>1074622.0761916898</v>
      </c>
      <c r="U113" s="31" cm="1">
        <f t="array" ref="U113">U$106+IF($C113&lt;&gt;0,SUMPRODUCT((U$107:U$108)*TRANSPOSE(($D113:$E113))),0)</f>
        <v>1172314.9922091162</v>
      </c>
      <c r="V113" s="31" cm="1">
        <f t="array" ref="V113">V$106+IF($C113&lt;&gt;0,SUMPRODUCT((V$107:V$108)*TRANSPOSE(($D113:$E113))),0)</f>
        <v>1270007.9082265424</v>
      </c>
      <c r="W113" s="31" cm="1">
        <f t="array" ref="W113">W$106+IF($C113&lt;&gt;0,SUMPRODUCT((W$107:W$108)*TRANSPOSE(($D113:$E113))),0)</f>
        <v>1367700.8242439686</v>
      </c>
      <c r="X113" s="31" cm="1">
        <f t="array" ref="X113">X$106+IF($C113&lt;&gt;0,SUMPRODUCT((X$107:X$108)*TRANSPOSE(($D113:$E113))),0)</f>
        <v>1465393.740261395</v>
      </c>
      <c r="Y113" s="31" cm="1">
        <f t="array" ref="Y113">Y$106+IF($C113&lt;&gt;0,SUMPRODUCT((Y$107:Y$108)*TRANSPOSE(($D113:$E113))),0)</f>
        <v>1541377.1193860599</v>
      </c>
      <c r="Z113" s="31" cm="1">
        <f t="array" ref="Z113">Z$106+IF($C113&lt;&gt;0,SUMPRODUCT((Z$107:Z$108)*TRANSPOSE(($D113:$E113))),0)</f>
        <v>1541377.1193860599</v>
      </c>
      <c r="AA113" s="31" cm="1">
        <f t="array" ref="AA113">AA$106+IF($C113&lt;&gt;0,SUMPRODUCT((AA$107:AA$108)*TRANSPOSE(($D113:$E113))),0)</f>
        <v>1541377.1193860599</v>
      </c>
      <c r="AB113" s="31" cm="1">
        <f t="array" ref="AB113">AB$106+IF($C113&lt;&gt;0,SUMPRODUCT((AB$107:AB$108)*TRANSPOSE(($D113:$E113))),0)</f>
        <v>1541377.1193860599</v>
      </c>
      <c r="AC113" s="31" cm="1">
        <f t="array" ref="AC113">AC$106+IF($C113&lt;&gt;0,SUMPRODUCT((AC$107:AC$108)*TRANSPOSE(($D113:$E113))),0)</f>
        <v>1541377.1193860599</v>
      </c>
      <c r="AD113" s="31" cm="1">
        <f t="array" ref="AD113">AD$106+IF($C113&lt;&gt;0,SUMPRODUCT((AD$107:AD$108)*TRANSPOSE(($D113:$E113))),0)</f>
        <v>1541377.1193860599</v>
      </c>
      <c r="AE113" s="31" cm="1">
        <f t="array" ref="AE113">AE$106+IF($C113&lt;&gt;0,SUMPRODUCT((AE$107:AE$108)*TRANSPOSE(($D113:$E113))),0)</f>
        <v>1541377.1193860599</v>
      </c>
      <c r="AF113" s="31" cm="1">
        <f t="array" ref="AF113">AF$106+IF($C113&lt;&gt;0,SUMPRODUCT((AF$107:AF$108)*TRANSPOSE(($D113:$E113))),0)</f>
        <v>1541377.1193860599</v>
      </c>
      <c r="AG113" s="31" cm="1">
        <f t="array" ref="AG113">AG$106+IF($C113&lt;&gt;0,SUMPRODUCT((AG$107:AG$108)*TRANSPOSE(($D113:$E113))),0)</f>
        <v>-215305.33046085996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96328.304768026603</v>
      </c>
      <c r="K114" s="31" cm="1">
        <f t="array" ref="K114">K$106+IF($C114&lt;&gt;0,SUMPRODUCT((K$107:K$108)*TRANSPOSE(($D114:$E114))),0)</f>
        <v>192656.60953605321</v>
      </c>
      <c r="L114" s="31" cm="1">
        <f t="array" ref="L114">L$106+IF($C114&lt;&gt;0,SUMPRODUCT((L$107:L$108)*TRANSPOSE(($D114:$E114))),0)</f>
        <v>288984.91430407943</v>
      </c>
      <c r="M114" s="31" cm="1">
        <f t="array" ref="M114">M$106+IF($C114&lt;&gt;0,SUMPRODUCT((M$107:M$108)*TRANSPOSE(($D114:$E114))),0)</f>
        <v>385313.219072106</v>
      </c>
      <c r="N114" s="31" cm="1">
        <f t="array" ref="N114">N$106+IF($C114&lt;&gt;0,SUMPRODUCT((N$107:N$108)*TRANSPOSE(($D114:$E114))),0)</f>
        <v>481641.52384013264</v>
      </c>
      <c r="O114" s="31" cm="1">
        <f t="array" ref="O114">O$106+IF($C114&lt;&gt;0,SUMPRODUCT((O$107:O$108)*TRANSPOSE(($D114:$E114))),0)</f>
        <v>577969.82860815933</v>
      </c>
      <c r="P114" s="31" cm="1">
        <f t="array" ref="P114">P$106+IF($C114&lt;&gt;0,SUMPRODUCT((P$107:P$108)*TRANSPOSE(($D114:$E114))),0)</f>
        <v>674298.13337618567</v>
      </c>
      <c r="Q114" s="31" cm="1">
        <f t="array" ref="Q114">Q$106+IF($C114&lt;&gt;0,SUMPRODUCT((Q$107:Q$108)*TRANSPOSE(($D114:$E114))),0)</f>
        <v>770626.43814421212</v>
      </c>
      <c r="R114" s="31" cm="1">
        <f t="array" ref="R114">R$106+IF($C114&lt;&gt;0,SUMPRODUCT((R$107:R$108)*TRANSPOSE(($D114:$E114))),0)</f>
        <v>866954.7429122387</v>
      </c>
      <c r="S114" s="31" cm="1">
        <f t="array" ref="S114">S$106+IF($C114&lt;&gt;0,SUMPRODUCT((S$107:S$108)*TRANSPOSE(($D114:$E114))),0)</f>
        <v>963283.04768026527</v>
      </c>
      <c r="T114" s="31" cm="1">
        <f t="array" ref="T114">T$106+IF($C114&lt;&gt;0,SUMPRODUCT((T$107:T$108)*TRANSPOSE(($D114:$E114))),0)</f>
        <v>1059611.3524482918</v>
      </c>
      <c r="U114" s="31" cm="1">
        <f t="array" ref="U114">U$106+IF($C114&lt;&gt;0,SUMPRODUCT((U$107:U$108)*TRANSPOSE(($D114:$E114))),0)</f>
        <v>1155939.6572163184</v>
      </c>
      <c r="V114" s="31" cm="1">
        <f t="array" ref="V114">V$106+IF($C114&lt;&gt;0,SUMPRODUCT((V$107:V$108)*TRANSPOSE(($D114:$E114))),0)</f>
        <v>1252267.9619843448</v>
      </c>
      <c r="W114" s="31" cm="1">
        <f t="array" ref="W114">W$106+IF($C114&lt;&gt;0,SUMPRODUCT((W$107:W$108)*TRANSPOSE(($D114:$E114))),0)</f>
        <v>1348596.2667523713</v>
      </c>
      <c r="X114" s="31" cm="1">
        <f t="array" ref="X114">X$106+IF($C114&lt;&gt;0,SUMPRODUCT((X$107:X$108)*TRANSPOSE(($D114:$E114))),0)</f>
        <v>1444924.5715203977</v>
      </c>
      <c r="Y114" s="31" cm="1">
        <f t="array" ref="Y114">Y$106+IF($C114&lt;&gt;0,SUMPRODUCT((Y$107:Y$108)*TRANSPOSE(($D114:$E114))),0)</f>
        <v>1519846.5863399741</v>
      </c>
      <c r="Z114" s="31" cm="1">
        <f t="array" ref="Z114">Z$106+IF($C114&lt;&gt;0,SUMPRODUCT((Z$107:Z$108)*TRANSPOSE(($D114:$E114))),0)</f>
        <v>1519846.5863399741</v>
      </c>
      <c r="AA114" s="31" cm="1">
        <f t="array" ref="AA114">AA$106+IF($C114&lt;&gt;0,SUMPRODUCT((AA$107:AA$108)*TRANSPOSE(($D114:$E114))),0)</f>
        <v>1519846.5863399741</v>
      </c>
      <c r="AB114" s="31" cm="1">
        <f t="array" ref="AB114">AB$106+IF($C114&lt;&gt;0,SUMPRODUCT((AB$107:AB$108)*TRANSPOSE(($D114:$E114))),0)</f>
        <v>1519846.5863399741</v>
      </c>
      <c r="AC114" s="31" cm="1">
        <f t="array" ref="AC114">AC$106+IF($C114&lt;&gt;0,SUMPRODUCT((AC$107:AC$108)*TRANSPOSE(($D114:$E114))),0)</f>
        <v>1519846.5863399741</v>
      </c>
      <c r="AD114" s="31" cm="1">
        <f t="array" ref="AD114">AD$106+IF($C114&lt;&gt;0,SUMPRODUCT((AD$107:AD$108)*TRANSPOSE(($D114:$E114))),0)</f>
        <v>1519846.5863399741</v>
      </c>
      <c r="AE114" s="31" cm="1">
        <f t="array" ref="AE114">AE$106+IF($C114&lt;&gt;0,SUMPRODUCT((AE$107:AE$108)*TRANSPOSE(($D114:$E114))),0)</f>
        <v>1519846.5863399741</v>
      </c>
      <c r="AF114" s="31" cm="1">
        <f t="array" ref="AF114">AF$106+IF($C114&lt;&gt;0,SUMPRODUCT((AF$107:AF$108)*TRANSPOSE(($D114:$E114))),0)</f>
        <v>1519846.5863399741</v>
      </c>
      <c r="AG114" s="31" cm="1">
        <f t="array" ref="AG114">AG$106+IF($C114&lt;&gt;0,SUMPRODUCT((AG$107:AG$108)*TRANSPOSE(($D114:$E114))),0)</f>
        <v>-236835.86350694596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110063.91918536249</v>
      </c>
      <c r="K115" s="31" cm="1">
        <f t="array" ref="K115">K$106+IF($C115&lt;&gt;0,SUMPRODUCT((K$107:K$108)*TRANSPOSE(($D115:$E115))),0)</f>
        <v>220127.83837072499</v>
      </c>
      <c r="L115" s="31" cm="1">
        <f t="array" ref="L115">L$106+IF($C115&lt;&gt;0,SUMPRODUCT((L$107:L$108)*TRANSPOSE(($D115:$E115))),0)</f>
        <v>330191.75755608705</v>
      </c>
      <c r="M115" s="31" cm="1">
        <f t="array" ref="M115">M$106+IF($C115&lt;&gt;0,SUMPRODUCT((M$107:M$108)*TRANSPOSE(($D115:$E115))),0)</f>
        <v>440255.67674144951</v>
      </c>
      <c r="N115" s="31" cm="1">
        <f t="array" ref="N115">N$106+IF($C115&lt;&gt;0,SUMPRODUCT((N$107:N$108)*TRANSPOSE(($D115:$E115))),0)</f>
        <v>550319.59592681204</v>
      </c>
      <c r="O115" s="31" cm="1">
        <f t="array" ref="O115">O$106+IF($C115&lt;&gt;0,SUMPRODUCT((O$107:O$108)*TRANSPOSE(($D115:$E115))),0)</f>
        <v>660383.51511217456</v>
      </c>
      <c r="P115" s="31" cm="1">
        <f t="array" ref="P115">P$106+IF($C115&lt;&gt;0,SUMPRODUCT((P$107:P$108)*TRANSPOSE(($D115:$E115))),0)</f>
        <v>770447.43429753673</v>
      </c>
      <c r="Q115" s="31" cm="1">
        <f t="array" ref="Q115">Q$106+IF($C115&lt;&gt;0,SUMPRODUCT((Q$107:Q$108)*TRANSPOSE(($D115:$E115))),0)</f>
        <v>880511.35348289914</v>
      </c>
      <c r="R115" s="31" cm="1">
        <f t="array" ref="R115">R$106+IF($C115&lt;&gt;0,SUMPRODUCT((R$107:R$108)*TRANSPOSE(($D115:$E115))),0)</f>
        <v>990575.27266826155</v>
      </c>
      <c r="S115" s="31" cm="1">
        <f t="array" ref="S115">S$106+IF($C115&lt;&gt;0,SUMPRODUCT((S$107:S$108)*TRANSPOSE(($D115:$E115))),0)</f>
        <v>1100639.1918536241</v>
      </c>
      <c r="T115" s="31" cm="1">
        <f t="array" ref="T115">T$106+IF($C115&lt;&gt;0,SUMPRODUCT((T$107:T$108)*TRANSPOSE(($D115:$E115))),0)</f>
        <v>1210703.1110389864</v>
      </c>
      <c r="U115" s="31" cm="1">
        <f t="array" ref="U115">U$106+IF($C115&lt;&gt;0,SUMPRODUCT((U$107:U$108)*TRANSPOSE(($D115:$E115))),0)</f>
        <v>1320767.0302243489</v>
      </c>
      <c r="V115" s="31" cm="1">
        <f t="array" ref="V115">V$106+IF($C115&lt;&gt;0,SUMPRODUCT((V$107:V$108)*TRANSPOSE(($D115:$E115))),0)</f>
        <v>1430830.9494097112</v>
      </c>
      <c r="W115" s="31" cm="1">
        <f t="array" ref="W115">W$106+IF($C115&lt;&gt;0,SUMPRODUCT((W$107:W$108)*TRANSPOSE(($D115:$E115))),0)</f>
        <v>1540894.8685950735</v>
      </c>
      <c r="X115" s="31" cm="1">
        <f t="array" ref="X115">X$106+IF($C115&lt;&gt;0,SUMPRODUCT((X$107:X$108)*TRANSPOSE(($D115:$E115))),0)</f>
        <v>1650958.7877804358</v>
      </c>
      <c r="Y115" s="31" cm="1">
        <f t="array" ref="Y115">Y$106+IF($C115&lt;&gt;0,SUMPRODUCT((Y$107:Y$108)*TRANSPOSE(($D115:$E115))),0)</f>
        <v>1736564.05825794</v>
      </c>
      <c r="Z115" s="31" cm="1">
        <f t="array" ref="Z115">Z$106+IF($C115&lt;&gt;0,SUMPRODUCT((Z$107:Z$108)*TRANSPOSE(($D115:$E115))),0)</f>
        <v>1736564.05825794</v>
      </c>
      <c r="AA115" s="31" cm="1">
        <f t="array" ref="AA115">AA$106+IF($C115&lt;&gt;0,SUMPRODUCT((AA$107:AA$108)*TRANSPOSE(($D115:$E115))),0)</f>
        <v>1736564.05825794</v>
      </c>
      <c r="AB115" s="31" cm="1">
        <f t="array" ref="AB115">AB$106+IF($C115&lt;&gt;0,SUMPRODUCT((AB$107:AB$108)*TRANSPOSE(($D115:$E115))),0)</f>
        <v>1736564.05825794</v>
      </c>
      <c r="AC115" s="31" cm="1">
        <f t="array" ref="AC115">AC$106+IF($C115&lt;&gt;0,SUMPRODUCT((AC$107:AC$108)*TRANSPOSE(($D115:$E115))),0)</f>
        <v>1736564.05825794</v>
      </c>
      <c r="AD115" s="31" cm="1">
        <f t="array" ref="AD115">AD$106+IF($C115&lt;&gt;0,SUMPRODUCT((AD$107:AD$108)*TRANSPOSE(($D115:$E115))),0)</f>
        <v>1736564.05825794</v>
      </c>
      <c r="AE115" s="31" cm="1">
        <f t="array" ref="AE115">AE$106+IF($C115&lt;&gt;0,SUMPRODUCT((AE$107:AE$108)*TRANSPOSE(($D115:$E115))),0)</f>
        <v>1736564.05825794</v>
      </c>
      <c r="AF115" s="31" cm="1">
        <f t="array" ref="AF115">AF$106+IF($C115&lt;&gt;0,SUMPRODUCT((AF$107:AF$108)*TRANSPOSE(($D115:$E115))),0)</f>
        <v>1736564.05825794</v>
      </c>
      <c r="AG115" s="31" cm="1">
        <f t="array" ref="AG115">AG$106+IF($C115&lt;&gt;0,SUMPRODUCT((AG$107:AG$108)*TRANSPOSE(($D115:$E115))),0)</f>
        <v>-215305.33046085996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110063.91918536249</v>
      </c>
      <c r="K116" s="31" cm="1">
        <f t="array" ref="K116">K$106+IF($C116&lt;&gt;0,SUMPRODUCT((K$107:K$108)*TRANSPOSE(($D116:$E116))),0)</f>
        <v>220127.83837072499</v>
      </c>
      <c r="L116" s="31" cm="1">
        <f t="array" ref="L116">L$106+IF($C116&lt;&gt;0,SUMPRODUCT((L$107:L$108)*TRANSPOSE(($D116:$E116))),0)</f>
        <v>330191.75755608705</v>
      </c>
      <c r="M116" s="31" cm="1">
        <f t="array" ref="M116">M$106+IF($C116&lt;&gt;0,SUMPRODUCT((M$107:M$108)*TRANSPOSE(($D116:$E116))),0)</f>
        <v>440255.67674144951</v>
      </c>
      <c r="N116" s="31" cm="1">
        <f t="array" ref="N116">N$106+IF($C116&lt;&gt;0,SUMPRODUCT((N$107:N$108)*TRANSPOSE(($D116:$E116))),0)</f>
        <v>550319.59592681204</v>
      </c>
      <c r="O116" s="31" cm="1">
        <f t="array" ref="O116">O$106+IF($C116&lt;&gt;0,SUMPRODUCT((O$107:O$108)*TRANSPOSE(($D116:$E116))),0)</f>
        <v>660383.51511217456</v>
      </c>
      <c r="P116" s="31" cm="1">
        <f t="array" ref="P116">P$106+IF($C116&lt;&gt;0,SUMPRODUCT((P$107:P$108)*TRANSPOSE(($D116:$E116))),0)</f>
        <v>770447.43429753673</v>
      </c>
      <c r="Q116" s="31" cm="1">
        <f t="array" ref="Q116">Q$106+IF($C116&lt;&gt;0,SUMPRODUCT((Q$107:Q$108)*TRANSPOSE(($D116:$E116))),0)</f>
        <v>880511.35348289914</v>
      </c>
      <c r="R116" s="31" cm="1">
        <f t="array" ref="R116">R$106+IF($C116&lt;&gt;0,SUMPRODUCT((R$107:R$108)*TRANSPOSE(($D116:$E116))),0)</f>
        <v>990575.27266826155</v>
      </c>
      <c r="S116" s="31" cm="1">
        <f t="array" ref="S116">S$106+IF($C116&lt;&gt;0,SUMPRODUCT((S$107:S$108)*TRANSPOSE(($D116:$E116))),0)</f>
        <v>1100639.1918536241</v>
      </c>
      <c r="T116" s="31" cm="1">
        <f t="array" ref="T116">T$106+IF($C116&lt;&gt;0,SUMPRODUCT((T$107:T$108)*TRANSPOSE(($D116:$E116))),0)</f>
        <v>1210703.1110389864</v>
      </c>
      <c r="U116" s="31" cm="1">
        <f t="array" ref="U116">U$106+IF($C116&lt;&gt;0,SUMPRODUCT((U$107:U$108)*TRANSPOSE(($D116:$E116))),0)</f>
        <v>1320767.0302243489</v>
      </c>
      <c r="V116" s="31" cm="1">
        <f t="array" ref="V116">V$106+IF($C116&lt;&gt;0,SUMPRODUCT((V$107:V$108)*TRANSPOSE(($D116:$E116))),0)</f>
        <v>1430830.9494097112</v>
      </c>
      <c r="W116" s="31" cm="1">
        <f t="array" ref="W116">W$106+IF($C116&lt;&gt;0,SUMPRODUCT((W$107:W$108)*TRANSPOSE(($D116:$E116))),0)</f>
        <v>1540894.8685950735</v>
      </c>
      <c r="X116" s="31" cm="1">
        <f t="array" ref="X116">X$106+IF($C116&lt;&gt;0,SUMPRODUCT((X$107:X$108)*TRANSPOSE(($D116:$E116))),0)</f>
        <v>1650958.7877804358</v>
      </c>
      <c r="Y116" s="31" cm="1">
        <f t="array" ref="Y116">Y$106+IF($C116&lt;&gt;0,SUMPRODUCT((Y$107:Y$108)*TRANSPOSE(($D116:$E116))),0)</f>
        <v>1736564.05825794</v>
      </c>
      <c r="Z116" s="31" cm="1">
        <f t="array" ref="Z116">Z$106+IF($C116&lt;&gt;0,SUMPRODUCT((Z$107:Z$108)*TRANSPOSE(($D116:$E116))),0)</f>
        <v>1736564.05825794</v>
      </c>
      <c r="AA116" s="31" cm="1">
        <f t="array" ref="AA116">AA$106+IF($C116&lt;&gt;0,SUMPRODUCT((AA$107:AA$108)*TRANSPOSE(($D116:$E116))),0)</f>
        <v>1736564.05825794</v>
      </c>
      <c r="AB116" s="31" cm="1">
        <f t="array" ref="AB116">AB$106+IF($C116&lt;&gt;0,SUMPRODUCT((AB$107:AB$108)*TRANSPOSE(($D116:$E116))),0)</f>
        <v>1736564.05825794</v>
      </c>
      <c r="AC116" s="31" cm="1">
        <f t="array" ref="AC116">AC$106+IF($C116&lt;&gt;0,SUMPRODUCT((AC$107:AC$108)*TRANSPOSE(($D116:$E116))),0)</f>
        <v>1736564.05825794</v>
      </c>
      <c r="AD116" s="31" cm="1">
        <f t="array" ref="AD116">AD$106+IF($C116&lt;&gt;0,SUMPRODUCT((AD$107:AD$108)*TRANSPOSE(($D116:$E116))),0)</f>
        <v>1736564.05825794</v>
      </c>
      <c r="AE116" s="31" cm="1">
        <f t="array" ref="AE116">AE$106+IF($C116&lt;&gt;0,SUMPRODUCT((AE$107:AE$108)*TRANSPOSE(($D116:$E116))),0)</f>
        <v>1736564.05825794</v>
      </c>
      <c r="AF116" s="31" cm="1">
        <f t="array" ref="AF116">AF$106+IF($C116&lt;&gt;0,SUMPRODUCT((AF$107:AF$108)*TRANSPOSE(($D116:$E116))),0)</f>
        <v>1736564.05825794</v>
      </c>
      <c r="AG116" s="31" cm="1">
        <f t="array" ref="AG116">AG$106+IF($C116&lt;&gt;0,SUMPRODUCT((AG$107:AG$108)*TRANSPOSE(($D116:$E116))),0)</f>
        <v>-215305.33046085996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110063.91918536249</v>
      </c>
      <c r="K117" s="31" cm="1">
        <f t="array" ref="K117">K$106+IF($C117&lt;&gt;0,SUMPRODUCT((K$107:K$108)*TRANSPOSE(($D117:$E117))),0)</f>
        <v>220127.83837072499</v>
      </c>
      <c r="L117" s="31" cm="1">
        <f t="array" ref="L117">L$106+IF($C117&lt;&gt;0,SUMPRODUCT((L$107:L$108)*TRANSPOSE(($D117:$E117))),0)</f>
        <v>330191.75755608705</v>
      </c>
      <c r="M117" s="31" cm="1">
        <f t="array" ref="M117">M$106+IF($C117&lt;&gt;0,SUMPRODUCT((M$107:M$108)*TRANSPOSE(($D117:$E117))),0)</f>
        <v>440255.67674144951</v>
      </c>
      <c r="N117" s="31" cm="1">
        <f t="array" ref="N117">N$106+IF($C117&lt;&gt;0,SUMPRODUCT((N$107:N$108)*TRANSPOSE(($D117:$E117))),0)</f>
        <v>550319.59592681204</v>
      </c>
      <c r="O117" s="31" cm="1">
        <f t="array" ref="O117">O$106+IF($C117&lt;&gt;0,SUMPRODUCT((O$107:O$108)*TRANSPOSE(($D117:$E117))),0)</f>
        <v>660383.51511217456</v>
      </c>
      <c r="P117" s="31" cm="1">
        <f t="array" ref="P117">P$106+IF($C117&lt;&gt;0,SUMPRODUCT((P$107:P$108)*TRANSPOSE(($D117:$E117))),0)</f>
        <v>770447.43429753673</v>
      </c>
      <c r="Q117" s="31" cm="1">
        <f t="array" ref="Q117">Q$106+IF($C117&lt;&gt;0,SUMPRODUCT((Q$107:Q$108)*TRANSPOSE(($D117:$E117))),0)</f>
        <v>880511.35348289914</v>
      </c>
      <c r="R117" s="31" cm="1">
        <f t="array" ref="R117">R$106+IF($C117&lt;&gt;0,SUMPRODUCT((R$107:R$108)*TRANSPOSE(($D117:$E117))),0)</f>
        <v>990575.27266826155</v>
      </c>
      <c r="S117" s="31" cm="1">
        <f t="array" ref="S117">S$106+IF($C117&lt;&gt;0,SUMPRODUCT((S$107:S$108)*TRANSPOSE(($D117:$E117))),0)</f>
        <v>1100639.1918536241</v>
      </c>
      <c r="T117" s="31" cm="1">
        <f t="array" ref="T117">T$106+IF($C117&lt;&gt;0,SUMPRODUCT((T$107:T$108)*TRANSPOSE(($D117:$E117))),0)</f>
        <v>1210703.1110389864</v>
      </c>
      <c r="U117" s="31" cm="1">
        <f t="array" ref="U117">U$106+IF($C117&lt;&gt;0,SUMPRODUCT((U$107:U$108)*TRANSPOSE(($D117:$E117))),0)</f>
        <v>1320767.0302243489</v>
      </c>
      <c r="V117" s="31" cm="1">
        <f t="array" ref="V117">V$106+IF($C117&lt;&gt;0,SUMPRODUCT((V$107:V$108)*TRANSPOSE(($D117:$E117))),0)</f>
        <v>1430830.9494097112</v>
      </c>
      <c r="W117" s="31" cm="1">
        <f t="array" ref="W117">W$106+IF($C117&lt;&gt;0,SUMPRODUCT((W$107:W$108)*TRANSPOSE(($D117:$E117))),0)</f>
        <v>1540894.8685950735</v>
      </c>
      <c r="X117" s="31" cm="1">
        <f t="array" ref="X117">X$106+IF($C117&lt;&gt;0,SUMPRODUCT((X$107:X$108)*TRANSPOSE(($D117:$E117))),0)</f>
        <v>1650958.7877804358</v>
      </c>
      <c r="Y117" s="31" cm="1">
        <f t="array" ref="Y117">Y$106+IF($C117&lt;&gt;0,SUMPRODUCT((Y$107:Y$108)*TRANSPOSE(($D117:$E117))),0)</f>
        <v>1736564.05825794</v>
      </c>
      <c r="Z117" s="31" cm="1">
        <f t="array" ref="Z117">Z$106+IF($C117&lt;&gt;0,SUMPRODUCT((Z$107:Z$108)*TRANSPOSE(($D117:$E117))),0)</f>
        <v>1736564.05825794</v>
      </c>
      <c r="AA117" s="31" cm="1">
        <f t="array" ref="AA117">AA$106+IF($C117&lt;&gt;0,SUMPRODUCT((AA$107:AA$108)*TRANSPOSE(($D117:$E117))),0)</f>
        <v>1736564.05825794</v>
      </c>
      <c r="AB117" s="31" cm="1">
        <f t="array" ref="AB117">AB$106+IF($C117&lt;&gt;0,SUMPRODUCT((AB$107:AB$108)*TRANSPOSE(($D117:$E117))),0)</f>
        <v>1736564.05825794</v>
      </c>
      <c r="AC117" s="31" cm="1">
        <f t="array" ref="AC117">AC$106+IF($C117&lt;&gt;0,SUMPRODUCT((AC$107:AC$108)*TRANSPOSE(($D117:$E117))),0)</f>
        <v>1736564.05825794</v>
      </c>
      <c r="AD117" s="31" cm="1">
        <f t="array" ref="AD117">AD$106+IF($C117&lt;&gt;0,SUMPRODUCT((AD$107:AD$108)*TRANSPOSE(($D117:$E117))),0)</f>
        <v>1736564.05825794</v>
      </c>
      <c r="AE117" s="31" cm="1">
        <f t="array" ref="AE117">AE$106+IF($C117&lt;&gt;0,SUMPRODUCT((AE$107:AE$108)*TRANSPOSE(($D117:$E117))),0)</f>
        <v>1736564.05825794</v>
      </c>
      <c r="AF117" s="31" cm="1">
        <f t="array" ref="AF117">AF$106+IF($C117&lt;&gt;0,SUMPRODUCT((AF$107:AF$108)*TRANSPOSE(($D117:$E117))),0)</f>
        <v>1736564.05825794</v>
      </c>
      <c r="AG117" s="31" cm="1">
        <f t="array" ref="AG117">AG$106+IF($C117&lt;&gt;0,SUMPRODUCT((AG$107:AG$108)*TRANSPOSE(($D117:$E117))),0)</f>
        <v>-215305.33046085996</v>
      </c>
    </row>
  </sheetData>
  <conditionalFormatting sqref="E14">
    <cfRule type="expression" dxfId="2" priority="1">
      <formula>AND(SUM($I14:$AB14)&lt;&gt;0, E14=0)</formula>
    </cfRule>
  </conditionalFormatting>
  <conditionalFormatting sqref="E15:E16">
    <cfRule type="expression" dxfId="1" priority="39">
      <formula>AND(SUM($I15:$AB15)&lt;&gt;0, E15=0)</formula>
    </cfRule>
  </conditionalFormatting>
  <conditionalFormatting sqref="E28">
    <cfRule type="expression" dxfId="0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28" activePane="bottomRight" state="frozen"/>
      <selection activeCell="D33" sqref="D33"/>
      <selection pane="topRight" activeCell="D33" sqref="D33"/>
      <selection pane="bottomLeft" activeCell="D33" sqref="D33"/>
      <selection pane="bottomRight" activeCell="I48" sqref="I48"/>
    </sheetView>
  </sheetViews>
  <sheetFormatPr defaultColWidth="0" defaultRowHeight="13.2" zeroHeight="1" outlineLevelRow="1" x14ac:dyDescent="0.25"/>
  <cols>
    <col min="1" max="1" width="8.08984375" style="10" customWidth="1"/>
    <col min="2" max="2" width="5.453125" style="10" customWidth="1"/>
    <col min="3" max="3" width="16.90625" style="10" bestFit="1" customWidth="1"/>
    <col min="4" max="4" width="12.36328125" style="10" customWidth="1"/>
    <col min="5" max="5" width="14.26953125" customWidth="1"/>
    <col min="6" max="6" width="12.36328125" style="10" customWidth="1"/>
    <col min="7" max="7" width="11.6328125" style="10" customWidth="1"/>
    <col min="8" max="8" width="8.6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" x14ac:dyDescent="0.35">
      <c r="A2" s="56" t="str">
        <f>proj</f>
        <v>Recplacement of CRO inoperable RMUs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" x14ac:dyDescent="0.35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3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.8" hidden="1" outlineLevel="1" x14ac:dyDescent="0.3">
      <c r="A5" s="116" t="s">
        <v>188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t="13.8" hidden="1" outlineLevel="1" x14ac:dyDescent="0.3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t="13.8" hidden="1" outlineLevel="1" x14ac:dyDescent="0.3">
      <c r="A7" s="116" t="s">
        <v>189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4" x14ac:dyDescent="0.3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.8" x14ac:dyDescent="0.3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4.4" x14ac:dyDescent="0.3">
      <c r="A11" s="120" t="s">
        <v>39</v>
      </c>
      <c r="B11" s="120"/>
      <c r="C11" s="121"/>
      <c r="D11" s="121"/>
      <c r="E11" s="121"/>
      <c r="F11" s="70" t="s">
        <v>150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13.8" x14ac:dyDescent="0.3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ht="13.8" x14ac:dyDescent="0.3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ht="13.8" x14ac:dyDescent="0.3">
      <c r="A14" s="268" t="str">
        <f>A15</f>
        <v>Option 1 (base case)</v>
      </c>
      <c r="B14" s="268"/>
      <c r="C14" s="268" t="s">
        <v>122</v>
      </c>
      <c r="D14" s="269" t="str">
        <f t="shared" ref="D14:D25" si="2">A14&amp;C14</f>
        <v>Option 1 (base case)Energy at risk value</v>
      </c>
      <c r="F14" s="97">
        <f>SUMPRODUCT($H14:$AG14, $H$5:$AG$5)</f>
        <v>35488153.327763848</v>
      </c>
      <c r="G14" s="271">
        <f>output_dollars</f>
        <v>46203</v>
      </c>
      <c r="H14" s="272"/>
      <c r="I14" s="31">
        <f>'Option1 (base case)'!I$28*conv_2026</f>
        <v>2172260.1268585846</v>
      </c>
      <c r="J14" s="31">
        <f>'Option1 (base case)'!J$28*conv_2026</f>
        <v>2172260.1268585846</v>
      </c>
      <c r="K14" s="31">
        <f>'Option1 (base case)'!K$28*conv_2026</f>
        <v>2172260.1268585846</v>
      </c>
      <c r="L14" s="31">
        <f>'Option1 (base case)'!L$28*conv_2026</f>
        <v>2172260.1268585846</v>
      </c>
      <c r="M14" s="31">
        <f>'Option1 (base case)'!M$28*conv_2026</f>
        <v>2172260.1268585846</v>
      </c>
      <c r="N14" s="31">
        <f>'Option1 (base case)'!N$28*conv_2026</f>
        <v>2172260.1268585846</v>
      </c>
      <c r="O14" s="31">
        <f>'Option1 (base case)'!O$28*conv_2026</f>
        <v>2172260.1268585846</v>
      </c>
      <c r="P14" s="31">
        <f>'Option1 (base case)'!P$28*conv_2026</f>
        <v>2172260.1268585846</v>
      </c>
      <c r="Q14" s="31">
        <f>'Option1 (base case)'!Q$28*conv_2026</f>
        <v>2172260.1268585846</v>
      </c>
      <c r="R14" s="31">
        <f>'Option1 (base case)'!R$28*conv_2026</f>
        <v>2172260.1268585846</v>
      </c>
      <c r="S14" s="31">
        <f>'Option1 (base case)'!S$28*conv_2026</f>
        <v>2172260.1268585846</v>
      </c>
      <c r="T14" s="31">
        <f>'Option1 (base case)'!T$28*conv_2026</f>
        <v>2172260.1268585846</v>
      </c>
      <c r="U14" s="31">
        <f>'Option1 (base case)'!U$28*conv_2026</f>
        <v>2172260.1268585846</v>
      </c>
      <c r="V14" s="31">
        <f>'Option1 (base case)'!V$28*conv_2026</f>
        <v>2172260.1268585846</v>
      </c>
      <c r="W14" s="31">
        <f>'Option1 (base case)'!W$28*conv_2026</f>
        <v>2172260.1268585846</v>
      </c>
      <c r="X14" s="31">
        <f>'Option1 (base case)'!X$28*conv_2026</f>
        <v>2172260.1268585846</v>
      </c>
      <c r="Y14" s="31">
        <f>'Option1 (base case)'!Y$28*conv_2026</f>
        <v>2172260.1268585846</v>
      </c>
      <c r="Z14" s="31">
        <f>'Option1 (base case)'!Z$28*conv_2026</f>
        <v>2172260.1268585846</v>
      </c>
      <c r="AA14" s="31">
        <f>'Option1 (base case)'!AA$28*conv_2026</f>
        <v>2172260.1268585846</v>
      </c>
      <c r="AB14" s="31">
        <f>'Option1 (base case)'!AB$28*conv_2026</f>
        <v>2172260.1268585846</v>
      </c>
      <c r="AC14" s="31">
        <f>'Option1 (base case)'!AC$28*conv_2026</f>
        <v>2172260.1268585846</v>
      </c>
      <c r="AD14" s="31">
        <f>'Option1 (base case)'!AD$28*conv_2026</f>
        <v>2172260.1268585846</v>
      </c>
      <c r="AE14" s="31">
        <f>'Option1 (base case)'!AE$28*conv_2026</f>
        <v>2172260.1268585846</v>
      </c>
      <c r="AF14" s="31">
        <f>'Option1 (base case)'!AF$28*conv_2026</f>
        <v>2172260.1268585846</v>
      </c>
      <c r="AG14" s="31">
        <f>'Option1 (base case)'!AG$28*conv_2026</f>
        <v>0</v>
      </c>
    </row>
    <row r="15" spans="1:34" s="1" customFormat="1" ht="13.8" x14ac:dyDescent="0.3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ht="13.8" x14ac:dyDescent="0.3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31408668.676943805</v>
      </c>
      <c r="G16" s="225">
        <f>output_dollars</f>
        <v>46203</v>
      </c>
      <c r="H16" s="31"/>
      <c r="I16" s="31">
        <f>'Option1 (base case)'!I$36*conv_2026</f>
        <v>2172260.1268585846</v>
      </c>
      <c r="J16" s="31">
        <f>'Option1 (base case)'!J$36*conv_2026</f>
        <v>2172260.1268585846</v>
      </c>
      <c r="K16" s="31">
        <f>'Option1 (base case)'!K$36*conv_2026</f>
        <v>2172260.1268585846</v>
      </c>
      <c r="L16" s="31">
        <f>'Option1 (base case)'!L$36*conv_2026</f>
        <v>2172260.1268585846</v>
      </c>
      <c r="M16" s="31">
        <f>'Option1 (base case)'!M$36*conv_2026</f>
        <v>2172260.1268585846</v>
      </c>
      <c r="N16" s="31">
        <f>'Option1 (base case)'!N$36*conv_2026</f>
        <v>2172260.1268585846</v>
      </c>
      <c r="O16" s="31">
        <f>'Option1 (base case)'!O$36*conv_2026</f>
        <v>2172260.1268585846</v>
      </c>
      <c r="P16" s="31">
        <f>'Option1 (base case)'!P$36*conv_2026</f>
        <v>2172260.1268585846</v>
      </c>
      <c r="Q16" s="31">
        <f>'Option1 (base case)'!Q$36*conv_2026</f>
        <v>2172260.1268585846</v>
      </c>
      <c r="R16" s="31">
        <f>'Option1 (base case)'!R$36*conv_2026</f>
        <v>2172260.1268585846</v>
      </c>
      <c r="S16" s="31">
        <f>'Option1 (base case)'!S$36*conv_2026</f>
        <v>2172260.1268585846</v>
      </c>
      <c r="T16" s="31">
        <f>'Option1 (base case)'!T$36*conv_2026</f>
        <v>2172260.1268585846</v>
      </c>
      <c r="U16" s="31">
        <f>'Option1 (base case)'!U$36*conv_2026</f>
        <v>2172260.1268585846</v>
      </c>
      <c r="V16" s="31">
        <f>'Option1 (base case)'!V$36*conv_2026</f>
        <v>2172260.1268585846</v>
      </c>
      <c r="W16" s="31">
        <f>'Option1 (base case)'!W$36*conv_2026</f>
        <v>2172260.1268585846</v>
      </c>
      <c r="X16" s="31">
        <f>'Option1 (base case)'!X$36*conv_2026</f>
        <v>2172260.1268585846</v>
      </c>
      <c r="Y16" s="31">
        <f>'Option1 (base case)'!Y$36*conv_2026</f>
        <v>2172260.1268585846</v>
      </c>
      <c r="Z16" s="31">
        <f>'Option1 (base case)'!Z$36*conv_2026</f>
        <v>2172260.1268585846</v>
      </c>
      <c r="AA16" s="31">
        <f>'Option1 (base case)'!AA$36*conv_2026</f>
        <v>2172260.1268585846</v>
      </c>
      <c r="AB16" s="31">
        <f>'Option1 (base case)'!AB$36*conv_2026</f>
        <v>2172260.1268585846</v>
      </c>
      <c r="AC16" s="31">
        <f>'Option1 (base case)'!AC$36*conv_2026</f>
        <v>2172260.1268585846</v>
      </c>
      <c r="AD16" s="31">
        <f>'Option1 (base case)'!AD$36*conv_2026</f>
        <v>2172260.1268585846</v>
      </c>
      <c r="AE16" s="31">
        <f>'Option1 (base case)'!AE$36*conv_2026</f>
        <v>2172260.1268585846</v>
      </c>
      <c r="AF16" s="31">
        <f>'Option1 (base case)'!AF$36*conv_2026</f>
        <v>2172260.1268585846</v>
      </c>
      <c r="AG16" s="31">
        <f>'Option1 (base case)'!AG$36*conv_2026</f>
        <v>0</v>
      </c>
    </row>
    <row r="17" spans="1:33" s="1" customFormat="1" ht="13.8" x14ac:dyDescent="0.3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.8" x14ac:dyDescent="0.3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ht="13.8" x14ac:dyDescent="0.3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ht="13.8" x14ac:dyDescent="0.3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ht="13.8" x14ac:dyDescent="0.3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ht="13.8" x14ac:dyDescent="0.3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.8" x14ac:dyDescent="0.3">
      <c r="A23" s="135" t="str">
        <f t="shared" si="3"/>
        <v>Option 1 (base case)</v>
      </c>
      <c r="B23" s="135"/>
      <c r="C23" s="8" t="s">
        <v>117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.8" x14ac:dyDescent="0.3">
      <c r="A24" s="135" t="str">
        <f t="shared" si="3"/>
        <v>Option 1 (base case)</v>
      </c>
      <c r="B24" s="135"/>
      <c r="C24" s="8" t="s">
        <v>183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.8" x14ac:dyDescent="0.3">
      <c r="A25" s="135" t="str">
        <f t="shared" si="3"/>
        <v>Option 1 (base case)</v>
      </c>
      <c r="B25" s="135"/>
      <c r="C25" s="8" t="s">
        <v>184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.8" x14ac:dyDescent="0.3">
      <c r="D26" s="38" t="str">
        <f t="shared" ref="D26:D39" si="6">A26&amp;C26</f>
        <v/>
      </c>
      <c r="G26" s="228"/>
    </row>
    <row r="27" spans="1:33" s="2" customFormat="1" ht="13.8" x14ac:dyDescent="0.3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ht="13.8" x14ac:dyDescent="0.3">
      <c r="A28" s="268" t="str">
        <f>A29</f>
        <v>Option 2</v>
      </c>
      <c r="B28" s="268"/>
      <c r="C28" s="268" t="s">
        <v>122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ht="13.8" x14ac:dyDescent="0.3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-5714905.2549023526</v>
      </c>
      <c r="G29" s="225">
        <f>output_dollars</f>
        <v>46203</v>
      </c>
      <c r="H29" s="31"/>
      <c r="I29" s="31">
        <f>SUM(Option2!I$67:I$69)*conv_2026*I$7</f>
        <v>-5814055.9891566569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ht="13.8" x14ac:dyDescent="0.3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ht="13.8" x14ac:dyDescent="0.3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.8" x14ac:dyDescent="0.3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-3229073.9368083542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-239616.02511079557</v>
      </c>
      <c r="K32" s="31">
        <f>Option2!K$82*conv_2026*K$7</f>
        <v>-239616.02511079557</v>
      </c>
      <c r="L32" s="31">
        <f>Option2!L$82*conv_2026*L$7</f>
        <v>-239616.02511079557</v>
      </c>
      <c r="M32" s="31">
        <f>Option2!M$82*conv_2026*M$7</f>
        <v>-239616.02511079557</v>
      </c>
      <c r="N32" s="31">
        <f>Option2!N$82*conv_2026*N$7</f>
        <v>-239616.02511079557</v>
      </c>
      <c r="O32" s="31">
        <f>Option2!O$82*conv_2026*O$7</f>
        <v>-239616.02511079557</v>
      </c>
      <c r="P32" s="31">
        <f>Option2!P$82*conv_2026*P$7</f>
        <v>-239616.02511079557</v>
      </c>
      <c r="Q32" s="31">
        <f>Option2!Q$82*conv_2026*Q$7</f>
        <v>-239616.02511079557</v>
      </c>
      <c r="R32" s="31">
        <f>Option2!R$82*conv_2026*R$7</f>
        <v>-239616.02511079557</v>
      </c>
      <c r="S32" s="31">
        <f>Option2!S$82*conv_2026*S$7</f>
        <v>-239616.02511079557</v>
      </c>
      <c r="T32" s="31">
        <f>Option2!T$82*conv_2026*T$7</f>
        <v>-239616.02511079557</v>
      </c>
      <c r="U32" s="31">
        <f>Option2!U$82*conv_2026*U$7</f>
        <v>-239616.02511079557</v>
      </c>
      <c r="V32" s="31">
        <f>Option2!V$82*conv_2026*V$7</f>
        <v>-239616.02511079557</v>
      </c>
      <c r="W32" s="31">
        <f>Option2!W$82*conv_2026*W$7</f>
        <v>-239616.02511079557</v>
      </c>
      <c r="X32" s="31">
        <f>Option2!X$82*conv_2026*X$7</f>
        <v>-239616.02511079557</v>
      </c>
      <c r="Y32" s="31">
        <f>Option2!Y$82*conv_2026*Y$7</f>
        <v>-239616.02511079557</v>
      </c>
      <c r="Z32" s="31">
        <f>Option2!Z$82*conv_2026*Z$7</f>
        <v>-239616.02511079557</v>
      </c>
      <c r="AA32" s="31">
        <f>Option2!AA$82*conv_2026*AA$7</f>
        <v>-239616.02511079557</v>
      </c>
      <c r="AB32" s="31">
        <f>Option2!AB$82*conv_2026*AB$7</f>
        <v>-239616.02511079557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ht="13.8" x14ac:dyDescent="0.3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ht="13.8" x14ac:dyDescent="0.3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31408668.676943805</v>
      </c>
      <c r="G34" s="225">
        <f t="shared" si="8"/>
        <v>46203</v>
      </c>
      <c r="H34" s="31"/>
      <c r="I34" s="31">
        <f>Option2!I$84*conv_2026*I$7</f>
        <v>2172260.1268585846</v>
      </c>
      <c r="J34" s="31">
        <f>Option2!J$84*conv_2026*J$7</f>
        <v>2172260.1268585846</v>
      </c>
      <c r="K34" s="31">
        <f>Option2!K$84*conv_2026*K$7</f>
        <v>2172260.1268585846</v>
      </c>
      <c r="L34" s="31">
        <f>Option2!L$84*conv_2026*L$7</f>
        <v>2172260.1268585846</v>
      </c>
      <c r="M34" s="31">
        <f>Option2!M$84*conv_2026*M$7</f>
        <v>2172260.1268585846</v>
      </c>
      <c r="N34" s="31">
        <f>Option2!N$84*conv_2026*N$7</f>
        <v>2172260.1268585846</v>
      </c>
      <c r="O34" s="31">
        <f>Option2!O$84*conv_2026*O$7</f>
        <v>2172260.1268585846</v>
      </c>
      <c r="P34" s="31">
        <f>Option2!P$84*conv_2026*P$7</f>
        <v>2172260.1268585846</v>
      </c>
      <c r="Q34" s="31">
        <f>Option2!Q$84*conv_2026*Q$7</f>
        <v>2172260.1268585846</v>
      </c>
      <c r="R34" s="31">
        <f>Option2!R$84*conv_2026*R$7</f>
        <v>2172260.1268585846</v>
      </c>
      <c r="S34" s="31">
        <f>Option2!S$84*conv_2026*S$7</f>
        <v>2172260.1268585846</v>
      </c>
      <c r="T34" s="31">
        <f>Option2!T$84*conv_2026*T$7</f>
        <v>2172260.1268585846</v>
      </c>
      <c r="U34" s="31">
        <f>Option2!U$84*conv_2026*U$7</f>
        <v>2172260.1268585846</v>
      </c>
      <c r="V34" s="31">
        <f>Option2!V$84*conv_2026*V$7</f>
        <v>2172260.1268585846</v>
      </c>
      <c r="W34" s="31">
        <f>Option2!W$84*conv_2026*W$7</f>
        <v>2172260.1268585846</v>
      </c>
      <c r="X34" s="31">
        <f>Option2!X$84*conv_2026*X$7</f>
        <v>2172260.1268585846</v>
      </c>
      <c r="Y34" s="31">
        <f>Option2!Y$84*conv_2026*Y$7</f>
        <v>2172260.1268585846</v>
      </c>
      <c r="Z34" s="31">
        <f>Option2!Z$84*conv_2026*Z$7</f>
        <v>2172260.1268585846</v>
      </c>
      <c r="AA34" s="31">
        <f>Option2!AA$84*conv_2026*AA$7</f>
        <v>2172260.1268585846</v>
      </c>
      <c r="AB34" s="31">
        <f>Option2!AB$84*conv_2026*AB$7</f>
        <v>2172260.1268585846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ht="13.8" x14ac:dyDescent="0.3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ht="13.8" x14ac:dyDescent="0.3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2172260.1268585846</v>
      </c>
      <c r="J36" s="52">
        <f t="shared" ref="J36:AG36" si="9">SUM(J32:J35)</f>
        <v>1932644.101747789</v>
      </c>
      <c r="K36" s="52">
        <f t="shared" si="9"/>
        <v>1932644.101747789</v>
      </c>
      <c r="L36" s="52">
        <f t="shared" si="9"/>
        <v>1932644.101747789</v>
      </c>
      <c r="M36" s="52">
        <f t="shared" si="9"/>
        <v>1932644.101747789</v>
      </c>
      <c r="N36" s="52">
        <f t="shared" si="9"/>
        <v>1932644.101747789</v>
      </c>
      <c r="O36" s="52">
        <f t="shared" si="9"/>
        <v>1932644.101747789</v>
      </c>
      <c r="P36" s="52">
        <f t="shared" si="9"/>
        <v>1932644.101747789</v>
      </c>
      <c r="Q36" s="52">
        <f t="shared" si="9"/>
        <v>1932644.101747789</v>
      </c>
      <c r="R36" s="52">
        <f t="shared" si="9"/>
        <v>1932644.101747789</v>
      </c>
      <c r="S36" s="52">
        <f t="shared" si="9"/>
        <v>1932644.101747789</v>
      </c>
      <c r="T36" s="52">
        <f t="shared" si="9"/>
        <v>1932644.101747789</v>
      </c>
      <c r="U36" s="52">
        <f t="shared" si="9"/>
        <v>1932644.101747789</v>
      </c>
      <c r="V36" s="52">
        <f t="shared" si="9"/>
        <v>1932644.101747789</v>
      </c>
      <c r="W36" s="52">
        <f t="shared" si="9"/>
        <v>1932644.101747789</v>
      </c>
      <c r="X36" s="52">
        <f t="shared" si="9"/>
        <v>1932644.101747789</v>
      </c>
      <c r="Y36" s="52">
        <f t="shared" si="9"/>
        <v>1932644.101747789</v>
      </c>
      <c r="Z36" s="52">
        <f t="shared" si="9"/>
        <v>1932644.101747789</v>
      </c>
      <c r="AA36" s="52">
        <f t="shared" si="9"/>
        <v>1932644.101747789</v>
      </c>
      <c r="AB36" s="52">
        <f t="shared" si="9"/>
        <v>1932644.101747789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.8" x14ac:dyDescent="0.3">
      <c r="A37" s="135" t="str">
        <f t="shared" si="7"/>
        <v>Option 2</v>
      </c>
      <c r="B37" s="135"/>
      <c r="C37" s="8" t="s">
        <v>117</v>
      </c>
      <c r="D37" s="38" t="str">
        <f t="shared" si="6"/>
        <v>Option 2NPV</v>
      </c>
      <c r="E37" s="1"/>
      <c r="F37" s="108" cm="1">
        <f t="array" ref="F37">SUMPRODUCT(($H36:$AG36)*($H$5:$AG$5)*($H$7:$AG$7))</f>
        <v>28179594.740135454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.8" x14ac:dyDescent="0.3">
      <c r="A38" s="135" t="str">
        <f t="shared" si="7"/>
        <v>Option 2</v>
      </c>
      <c r="B38" s="135"/>
      <c r="C38" s="8" t="s">
        <v>183</v>
      </c>
      <c r="D38" s="38" t="str">
        <f t="shared" si="6"/>
        <v>Option 2PV of costs</v>
      </c>
      <c r="E38" s="1"/>
      <c r="F38" s="108">
        <f>SUM(F32:F33)</f>
        <v>-3229073.9368083542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.8" x14ac:dyDescent="0.3">
      <c r="A39" s="135" t="str">
        <f t="shared" si="7"/>
        <v>Option 2</v>
      </c>
      <c r="B39" s="135"/>
      <c r="C39" s="8" t="s">
        <v>184</v>
      </c>
      <c r="D39" s="38" t="str">
        <f t="shared" si="6"/>
        <v>Option 2PV of benefits</v>
      </c>
      <c r="E39" s="1"/>
      <c r="F39" s="108">
        <f>SUM(F34:F35)</f>
        <v>31408668.676943805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.8" x14ac:dyDescent="0.3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.8" x14ac:dyDescent="0.3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ht="13.8" x14ac:dyDescent="0.3">
      <c r="A42" s="268" t="str">
        <f>A43</f>
        <v>Option 3</v>
      </c>
      <c r="B42" s="268"/>
      <c r="C42" s="268" t="s">
        <v>122</v>
      </c>
      <c r="D42" s="269" t="str">
        <f>A42&amp;C42</f>
        <v>Option 3Energy at risk value</v>
      </c>
      <c r="F42" s="97">
        <f>SUMPRODUCT($H42:$AG42, $H$5:$AG$5)</f>
        <v>4210833.4727930641</v>
      </c>
      <c r="G42" s="271">
        <f>output_dollars</f>
        <v>46203</v>
      </c>
      <c r="H42" s="272"/>
      <c r="I42" s="31">
        <f>Option3!I$28*conv_2026</f>
        <v>1743927.144097737</v>
      </c>
      <c r="J42" s="31">
        <f>Option3!J$28*conv_2026</f>
        <v>1315594.1613368893</v>
      </c>
      <c r="K42" s="31">
        <f>Option3!K$28*conv_2026</f>
        <v>887261.17857604171</v>
      </c>
      <c r="L42" s="31">
        <f>Option3!L$28*conv_2026</f>
        <v>458928.19581519393</v>
      </c>
      <c r="M42" s="31">
        <f>Option3!M$28*conv_2026</f>
        <v>30595.213054346266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ht="13.8" x14ac:dyDescent="0.3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-5333784.0258871485</v>
      </c>
      <c r="G43" s="225">
        <f>output_dollars</f>
        <v>46203</v>
      </c>
      <c r="H43" s="31"/>
      <c r="I43" s="31">
        <f>SUM(Option3!I$67:I$69)*conv_2026*I$7</f>
        <v>-1146433.5753266646</v>
      </c>
      <c r="J43" s="31">
        <f>SUM(Option3!J$67:J$69)*conv_2026*J$7</f>
        <v>-1146433.5753266646</v>
      </c>
      <c r="K43" s="31">
        <f>SUM(Option3!K$67:K$69)*conv_2026*K$7</f>
        <v>-1146433.5753266646</v>
      </c>
      <c r="L43" s="31">
        <f>SUM(Option3!L$67:L$69)*conv_2026*L$7</f>
        <v>-1146433.5753266646</v>
      </c>
      <c r="M43" s="31">
        <f>SUM(Option3!M$67:M$69)*conv_2026*M$7</f>
        <v>-1146433.5753266646</v>
      </c>
      <c r="N43" s="31">
        <f>SUM(Option3!N$67:N$69)*conv_2026*N$7</f>
        <v>-81888.112523333199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ht="13.8" x14ac:dyDescent="0.3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4210833.4727930641</v>
      </c>
      <c r="G44" s="225">
        <f>output_dollars</f>
        <v>46203</v>
      </c>
      <c r="H44" s="31"/>
      <c r="I44" s="31">
        <f>Option3!I$36*conv_2026*I$7</f>
        <v>1743927.144097737</v>
      </c>
      <c r="J44" s="31">
        <f>Option3!J$36*conv_2026*J$7</f>
        <v>1315594.1613368893</v>
      </c>
      <c r="K44" s="31">
        <f>Option3!K$36*conv_2026*K$7</f>
        <v>887261.17857604171</v>
      </c>
      <c r="L44" s="31">
        <f>Option3!L$36*conv_2026*L$7</f>
        <v>458928.19581519393</v>
      </c>
      <c r="M44" s="31">
        <f>Option3!M$36*conv_2026*M$7</f>
        <v>30595.213054346266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ht="13.8" x14ac:dyDescent="0.3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.8" x14ac:dyDescent="0.3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-2780295.7435456659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-47248.230303537151</v>
      </c>
      <c r="K46" s="31">
        <f>Option3!K$82*conv_2026*K$7</f>
        <v>-94496.460607074303</v>
      </c>
      <c r="L46" s="31">
        <f>Option3!L$82*conv_2026*L$7</f>
        <v>-141744.69091061148</v>
      </c>
      <c r="M46" s="31">
        <f>Option3!M$82*conv_2026*M$7</f>
        <v>-188992.92121414861</v>
      </c>
      <c r="N46" s="31">
        <f>Option3!N$82*conv_2026*N$7</f>
        <v>-236241.15151768579</v>
      </c>
      <c r="O46" s="31">
        <f>Option3!O$82*conv_2026*O$7</f>
        <v>-239616.02511079557</v>
      </c>
      <c r="P46" s="31">
        <f>Option3!P$82*conv_2026*P$7</f>
        <v>-239616.02511079557</v>
      </c>
      <c r="Q46" s="31">
        <f>Option3!Q$82*conv_2026*Q$7</f>
        <v>-239616.02511079557</v>
      </c>
      <c r="R46" s="31">
        <f>Option3!R$82*conv_2026*R$7</f>
        <v>-239616.02511079557</v>
      </c>
      <c r="S46" s="31">
        <f>Option3!S$82*conv_2026*S$7</f>
        <v>-239616.02511079557</v>
      </c>
      <c r="T46" s="31">
        <f>Option3!T$82*conv_2026*T$7</f>
        <v>-239616.02511079557</v>
      </c>
      <c r="U46" s="31">
        <f>Option3!U$82*conv_2026*U$7</f>
        <v>-239616.02511079557</v>
      </c>
      <c r="V46" s="31">
        <f>Option3!V$82*conv_2026*V$7</f>
        <v>-239616.02511079557</v>
      </c>
      <c r="W46" s="31">
        <f>Option3!W$82*conv_2026*W$7</f>
        <v>-239616.02511079557</v>
      </c>
      <c r="X46" s="31">
        <f>Option3!X$82*conv_2026*X$7</f>
        <v>-239616.02511079557</v>
      </c>
      <c r="Y46" s="31">
        <f>Option3!Y$82*conv_2026*Y$7</f>
        <v>-239616.02511079557</v>
      </c>
      <c r="Z46" s="31">
        <f>Option3!Z$82*conv_2026*Z$7</f>
        <v>-239616.02511079557</v>
      </c>
      <c r="AA46" s="31">
        <f>Option3!AA$82*conv_2026*AA$7</f>
        <v>-239616.02511079557</v>
      </c>
      <c r="AB46" s="31">
        <f>Option3!AB$82*conv_2026*AB$7</f>
        <v>-239616.02511079557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ht="13.8" x14ac:dyDescent="0.3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ht="13.8" x14ac:dyDescent="0.3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27197835.204150744</v>
      </c>
      <c r="G48" s="225">
        <f t="shared" si="12"/>
        <v>46203</v>
      </c>
      <c r="H48" s="31"/>
      <c r="I48" s="31">
        <f>Option3!I$84*conv_2026*I$7</f>
        <v>428332.98276084778</v>
      </c>
      <c r="J48" s="31">
        <f>Option3!J$84*conv_2026*J$7</f>
        <v>856665.96552169556</v>
      </c>
      <c r="K48" s="31">
        <f>Option3!K$84*conv_2026*K$7</f>
        <v>1284998.9482825431</v>
      </c>
      <c r="L48" s="31">
        <f>Option3!L$84*conv_2026*L$7</f>
        <v>1713331.9310433907</v>
      </c>
      <c r="M48" s="31">
        <f>Option3!M$84*conv_2026*M$7</f>
        <v>2141664.9138042387</v>
      </c>
      <c r="N48" s="31">
        <f>Option3!N$84*conv_2026*N$7</f>
        <v>2172260.1268585846</v>
      </c>
      <c r="O48" s="31">
        <f>Option3!O$84*conv_2026*O$7</f>
        <v>2172260.1268585846</v>
      </c>
      <c r="P48" s="31">
        <f>Option3!P$84*conv_2026*P$7</f>
        <v>2172260.1268585846</v>
      </c>
      <c r="Q48" s="31">
        <f>Option3!Q$84*conv_2026*Q$7</f>
        <v>2172260.1268585846</v>
      </c>
      <c r="R48" s="31">
        <f>Option3!R$84*conv_2026*R$7</f>
        <v>2172260.1268585846</v>
      </c>
      <c r="S48" s="31">
        <f>Option3!S$84*conv_2026*S$7</f>
        <v>2172260.1268585846</v>
      </c>
      <c r="T48" s="31">
        <f>Option3!T$84*conv_2026*T$7</f>
        <v>2172260.1268585846</v>
      </c>
      <c r="U48" s="31">
        <f>Option3!U$84*conv_2026*U$7</f>
        <v>2172260.1268585846</v>
      </c>
      <c r="V48" s="31">
        <f>Option3!V$84*conv_2026*V$7</f>
        <v>2172260.1268585846</v>
      </c>
      <c r="W48" s="31">
        <f>Option3!W$84*conv_2026*W$7</f>
        <v>2172260.1268585846</v>
      </c>
      <c r="X48" s="31">
        <f>Option3!X$84*conv_2026*X$7</f>
        <v>2172260.1268585846</v>
      </c>
      <c r="Y48" s="31">
        <f>Option3!Y$84*conv_2026*Y$7</f>
        <v>2172260.1268585846</v>
      </c>
      <c r="Z48" s="31">
        <f>Option3!Z$84*conv_2026*Z$7</f>
        <v>2172260.1268585846</v>
      </c>
      <c r="AA48" s="31">
        <f>Option3!AA$84*conv_2026*AA$7</f>
        <v>2172260.1268585846</v>
      </c>
      <c r="AB48" s="31">
        <f>Option3!AB$84*conv_2026*AB$7</f>
        <v>2172260.1268585846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ht="13.8" x14ac:dyDescent="0.3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ht="13.8" x14ac:dyDescent="0.3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428332.98276084778</v>
      </c>
      <c r="J50" s="52">
        <f t="shared" si="13"/>
        <v>809417.73521815846</v>
      </c>
      <c r="K50" s="52">
        <f t="shared" si="13"/>
        <v>1190502.4876754689</v>
      </c>
      <c r="L50" s="52">
        <f t="shared" si="13"/>
        <v>1571587.2401327791</v>
      </c>
      <c r="M50" s="52">
        <f t="shared" si="13"/>
        <v>1952671.99259009</v>
      </c>
      <c r="N50" s="52">
        <f t="shared" si="13"/>
        <v>1936018.9753408988</v>
      </c>
      <c r="O50" s="52">
        <f t="shared" si="13"/>
        <v>1932644.101747789</v>
      </c>
      <c r="P50" s="52">
        <f t="shared" si="13"/>
        <v>1932644.101747789</v>
      </c>
      <c r="Q50" s="52">
        <f t="shared" si="13"/>
        <v>1932644.101747789</v>
      </c>
      <c r="R50" s="52">
        <f t="shared" si="13"/>
        <v>1932644.101747789</v>
      </c>
      <c r="S50" s="52">
        <f t="shared" si="13"/>
        <v>1932644.101747789</v>
      </c>
      <c r="T50" s="52">
        <f t="shared" si="13"/>
        <v>1932644.101747789</v>
      </c>
      <c r="U50" s="52">
        <f t="shared" si="13"/>
        <v>1932644.101747789</v>
      </c>
      <c r="V50" s="52">
        <f t="shared" si="13"/>
        <v>1932644.101747789</v>
      </c>
      <c r="W50" s="52">
        <f t="shared" si="13"/>
        <v>1932644.101747789</v>
      </c>
      <c r="X50" s="52">
        <f t="shared" si="13"/>
        <v>1932644.101747789</v>
      </c>
      <c r="Y50" s="52">
        <f t="shared" si="13"/>
        <v>1932644.101747789</v>
      </c>
      <c r="Z50" s="52">
        <f t="shared" si="13"/>
        <v>1932644.101747789</v>
      </c>
      <c r="AA50" s="52">
        <f t="shared" si="13"/>
        <v>1932644.101747789</v>
      </c>
      <c r="AB50" s="52">
        <f t="shared" si="13"/>
        <v>1932644.101747789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.8" x14ac:dyDescent="0.3">
      <c r="A51" s="135" t="str">
        <f t="shared" si="10"/>
        <v>Option 3</v>
      </c>
      <c r="B51" s="135"/>
      <c r="C51" s="8" t="s">
        <v>117</v>
      </c>
      <c r="D51" s="38" t="str">
        <f t="shared" si="11"/>
        <v>Option 3NPV</v>
      </c>
      <c r="E51" s="1"/>
      <c r="F51" s="108" cm="1">
        <f t="array" ref="F51">SUMPRODUCT(($H50:$AG50)*($H$5:$AG$5)*($H$7:$AG$7))</f>
        <v>24417539.460605081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.8" x14ac:dyDescent="0.3">
      <c r="A52" s="135" t="str">
        <f t="shared" si="10"/>
        <v>Option 3</v>
      </c>
      <c r="B52" s="135"/>
      <c r="C52" s="8" t="s">
        <v>183</v>
      </c>
      <c r="D52" s="38" t="str">
        <f t="shared" si="11"/>
        <v>Option 3PV of costs</v>
      </c>
      <c r="E52" s="1"/>
      <c r="F52" s="108">
        <f>SUM(F46:F47)</f>
        <v>-2780295.7435456659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.8" x14ac:dyDescent="0.3">
      <c r="A53" s="135" t="str">
        <f t="shared" si="10"/>
        <v>Option 3</v>
      </c>
      <c r="B53" s="135"/>
      <c r="C53" s="8" t="s">
        <v>184</v>
      </c>
      <c r="D53" s="38" t="str">
        <f t="shared" si="11"/>
        <v>Option 3PV of benefits</v>
      </c>
      <c r="E53" s="1"/>
      <c r="F53" s="108">
        <f>SUM(F48:F49)</f>
        <v>27197835.204150744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.8" x14ac:dyDescent="0.3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.8" x14ac:dyDescent="0.3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ht="13.8" x14ac:dyDescent="0.3">
      <c r="A56" s="268" t="str">
        <f>A57</f>
        <v>Option 4</v>
      </c>
      <c r="B56" s="268"/>
      <c r="C56" s="268" t="s">
        <v>122</v>
      </c>
      <c r="D56" s="269" t="str">
        <f>A56&amp;C56</f>
        <v>Option 4Energy at risk value</v>
      </c>
      <c r="F56" s="97">
        <f>SUMPRODUCT($H56:$AG56, $H$5:$AG$5)</f>
        <v>10759659.336098796</v>
      </c>
      <c r="G56" s="271">
        <f>output_dollars</f>
        <v>46203</v>
      </c>
      <c r="H56" s="272"/>
      <c r="I56" s="31">
        <f>Option4!I$28*conv_2026</f>
        <v>2172260.1268585846</v>
      </c>
      <c r="J56" s="31">
        <f>Option4!J$28*conv_2026</f>
        <v>1958093.635478161</v>
      </c>
      <c r="K56" s="31">
        <f>Option4!K$28*conv_2026</f>
        <v>1743927.1440977373</v>
      </c>
      <c r="L56" s="31">
        <f>Option4!L$28*conv_2026</f>
        <v>1529760.6527173133</v>
      </c>
      <c r="M56" s="31">
        <f>Option4!M$28*conv_2026</f>
        <v>1315594.1613368895</v>
      </c>
      <c r="N56" s="31">
        <f>Option4!N$28*conv_2026</f>
        <v>1101427.6699564655</v>
      </c>
      <c r="O56" s="31">
        <f>Option4!O$28*conv_2026</f>
        <v>887261.1785760416</v>
      </c>
      <c r="P56" s="31">
        <f>Option4!P$28*conv_2026</f>
        <v>673094.68719561771</v>
      </c>
      <c r="Q56" s="31">
        <f>Option4!Q$28*conv_2026</f>
        <v>458928.19581519393</v>
      </c>
      <c r="R56" s="31">
        <f>Option4!R$28*conv_2026</f>
        <v>244761.70443477013</v>
      </c>
      <c r="S56" s="31">
        <f>Option4!S$28*conv_2026</f>
        <v>30595.213054346266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ht="13.8" x14ac:dyDescent="0.3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-4906988.6463147784</v>
      </c>
      <c r="G57" s="225">
        <f>output_dollars</f>
        <v>46203</v>
      </c>
      <c r="H57" s="31"/>
      <c r="I57" s="31">
        <f>SUM(Option4!I$67:I$69)*conv_2026*I$7</f>
        <v>-573216.7876633323</v>
      </c>
      <c r="J57" s="31">
        <f>SUM(Option4!J$67:J$69)*conv_2026*J$7</f>
        <v>-573216.7876633323</v>
      </c>
      <c r="K57" s="31">
        <f>SUM(Option4!K$67:K$69)*conv_2026*K$7</f>
        <v>-573216.7876633323</v>
      </c>
      <c r="L57" s="31">
        <f>SUM(Option4!L$67:L$69)*conv_2026*L$7</f>
        <v>-573216.7876633323</v>
      </c>
      <c r="M57" s="31">
        <f>SUM(Option4!M$67:M$69)*conv_2026*M$7</f>
        <v>-573216.7876633323</v>
      </c>
      <c r="N57" s="31">
        <f>SUM(Option4!N$67:N$69)*conv_2026*N$7</f>
        <v>-573216.7876633323</v>
      </c>
      <c r="O57" s="31">
        <f>SUM(Option4!O$67:O$69)*conv_2026*O$7</f>
        <v>-573216.7876633323</v>
      </c>
      <c r="P57" s="31">
        <f>SUM(Option4!P$67:P$69)*conv_2026*P$7</f>
        <v>-573216.7876633323</v>
      </c>
      <c r="Q57" s="31">
        <f>SUM(Option4!Q$67:Q$69)*conv_2026*Q$7</f>
        <v>-573216.7876633323</v>
      </c>
      <c r="R57" s="31">
        <f>SUM(Option4!R$67:R$69)*conv_2026*R$7</f>
        <v>-573216.7876633323</v>
      </c>
      <c r="S57" s="31">
        <f>SUM(Option4!S$67:S$69)*conv_2026*S$7</f>
        <v>-81888.112523333199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ht="13.8" x14ac:dyDescent="0.3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10759659.336098796</v>
      </c>
      <c r="G58" s="225">
        <f>output_dollars</f>
        <v>46203</v>
      </c>
      <c r="H58" s="31"/>
      <c r="I58" s="31">
        <f>Option4!I$36*conv_2026*I$7</f>
        <v>2172260.1268585846</v>
      </c>
      <c r="J58" s="31">
        <f>Option4!J$36*conv_2026*J$7</f>
        <v>1958093.635478161</v>
      </c>
      <c r="K58" s="31">
        <f>Option4!K$36*conv_2026*K$7</f>
        <v>1743927.1440977373</v>
      </c>
      <c r="L58" s="31">
        <f>Option4!L$36*conv_2026*L$7</f>
        <v>1529760.6527173133</v>
      </c>
      <c r="M58" s="31">
        <f>Option4!M$36*conv_2026*M$7</f>
        <v>1315594.1613368895</v>
      </c>
      <c r="N58" s="31">
        <f>Option4!N$36*conv_2026*N$7</f>
        <v>1101427.6699564655</v>
      </c>
      <c r="O58" s="31">
        <f>Option4!O$36*conv_2026*O$7</f>
        <v>887261.1785760416</v>
      </c>
      <c r="P58" s="31">
        <f>Option4!P$36*conv_2026*P$7</f>
        <v>673094.68719561771</v>
      </c>
      <c r="Q58" s="31">
        <f>Option4!Q$36*conv_2026*Q$7</f>
        <v>458928.19581519393</v>
      </c>
      <c r="R58" s="31">
        <f>Option4!R$36*conv_2026*R$7</f>
        <v>244761.70443477013</v>
      </c>
      <c r="S58" s="31">
        <f>Option4!S$36*conv_2026*S$7</f>
        <v>30595.213054346266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ht="13.8" x14ac:dyDescent="0.3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.8" x14ac:dyDescent="0.3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-2277735.2857294693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-23624.115151768576</v>
      </c>
      <c r="K60" s="31">
        <f>Option4!K$82*conv_2026*K$7</f>
        <v>-47248.230303537151</v>
      </c>
      <c r="L60" s="31">
        <f>Option4!L$82*conv_2026*L$7</f>
        <v>-70872.345455305738</v>
      </c>
      <c r="M60" s="31">
        <f>Option4!M$82*conv_2026*M$7</f>
        <v>-94496.460607074303</v>
      </c>
      <c r="N60" s="31">
        <f>Option4!N$82*conv_2026*N$7</f>
        <v>-118120.5757588429</v>
      </c>
      <c r="O60" s="31">
        <f>Option4!O$82*conv_2026*O$7</f>
        <v>-141744.69091061148</v>
      </c>
      <c r="P60" s="31">
        <f>Option4!P$82*conv_2026*P$7</f>
        <v>-165368.80606238003</v>
      </c>
      <c r="Q60" s="31">
        <f>Option4!Q$82*conv_2026*Q$7</f>
        <v>-188992.92121414861</v>
      </c>
      <c r="R60" s="31">
        <f>Option4!R$82*conv_2026*R$7</f>
        <v>-212617.03636591721</v>
      </c>
      <c r="S60" s="31">
        <f>Option4!S$82*conv_2026*S$7</f>
        <v>-236241.15151768579</v>
      </c>
      <c r="T60" s="31">
        <f>Option4!T$82*conv_2026*T$7</f>
        <v>-239616.02511079557</v>
      </c>
      <c r="U60" s="31">
        <f>Option4!U$82*conv_2026*U$7</f>
        <v>-239616.02511079557</v>
      </c>
      <c r="V60" s="31">
        <f>Option4!V$82*conv_2026*V$7</f>
        <v>-239616.02511079557</v>
      </c>
      <c r="W60" s="31">
        <f>Option4!W$82*conv_2026*W$7</f>
        <v>-239616.02511079557</v>
      </c>
      <c r="X60" s="31">
        <f>Option4!X$82*conv_2026*X$7</f>
        <v>-239616.02511079557</v>
      </c>
      <c r="Y60" s="31">
        <f>Option4!Y$82*conv_2026*Y$7</f>
        <v>-239616.02511079557</v>
      </c>
      <c r="Z60" s="31">
        <f>Option4!Z$82*conv_2026*Z$7</f>
        <v>-239616.02511079557</v>
      </c>
      <c r="AA60" s="31">
        <f>Option4!AA$82*conv_2026*AA$7</f>
        <v>-239616.02511079557</v>
      </c>
      <c r="AB60" s="31">
        <f>Option4!AB$82*conv_2026*AB$7</f>
        <v>-239616.02511079557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ht="13.8" x14ac:dyDescent="0.3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ht="13.8" x14ac:dyDescent="0.3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20649009.340845015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214166.49138042377</v>
      </c>
      <c r="K62" s="31">
        <f>Option4!K$84*conv_2026*K$7</f>
        <v>428332.98276084755</v>
      </c>
      <c r="L62" s="31">
        <f>Option4!L$84*conv_2026*L$7</f>
        <v>642499.47414127155</v>
      </c>
      <c r="M62" s="31">
        <f>Option4!M$84*conv_2026*M$7</f>
        <v>856665.96552169533</v>
      </c>
      <c r="N62" s="31">
        <f>Option4!N$84*conv_2026*N$7</f>
        <v>1070832.4569021193</v>
      </c>
      <c r="O62" s="31">
        <f>Option4!O$84*conv_2026*O$7</f>
        <v>1284998.9482825431</v>
      </c>
      <c r="P62" s="31">
        <f>Option4!P$84*conv_2026*P$7</f>
        <v>1499165.4396629671</v>
      </c>
      <c r="Q62" s="31">
        <f>Option4!Q$84*conv_2026*Q$7</f>
        <v>1713331.9310433907</v>
      </c>
      <c r="R62" s="31">
        <f>Option4!R$84*conv_2026*R$7</f>
        <v>1927498.4224238147</v>
      </c>
      <c r="S62" s="31">
        <f>Option4!S$84*conv_2026*S$7</f>
        <v>2141664.9138042387</v>
      </c>
      <c r="T62" s="31">
        <f>Option4!T$84*conv_2026*T$7</f>
        <v>2172260.1268585846</v>
      </c>
      <c r="U62" s="31">
        <f>Option4!U$84*conv_2026*U$7</f>
        <v>2172260.1268585846</v>
      </c>
      <c r="V62" s="31">
        <f>Option4!V$84*conv_2026*V$7</f>
        <v>2172260.1268585846</v>
      </c>
      <c r="W62" s="31">
        <f>Option4!W$84*conv_2026*W$7</f>
        <v>2172260.1268585846</v>
      </c>
      <c r="X62" s="31">
        <f>Option4!X$84*conv_2026*X$7</f>
        <v>2172260.1268585846</v>
      </c>
      <c r="Y62" s="31">
        <f>Option4!Y$84*conv_2026*Y$7</f>
        <v>2172260.1268585846</v>
      </c>
      <c r="Z62" s="31">
        <f>Option4!Z$84*conv_2026*Z$7</f>
        <v>2172260.1268585846</v>
      </c>
      <c r="AA62" s="31">
        <f>Option4!AA$84*conv_2026*AA$7</f>
        <v>2172260.1268585846</v>
      </c>
      <c r="AB62" s="31">
        <f>Option4!AB$84*conv_2026*AB$7</f>
        <v>2172260.1268585846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ht="13.8" x14ac:dyDescent="0.3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ht="13.8" x14ac:dyDescent="0.3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190542.37622865519</v>
      </c>
      <c r="K64" s="52">
        <f t="shared" si="17"/>
        <v>381084.75245731039</v>
      </c>
      <c r="L64" s="52">
        <f t="shared" si="17"/>
        <v>571627.12868596578</v>
      </c>
      <c r="M64" s="52">
        <f t="shared" si="17"/>
        <v>762169.50491462101</v>
      </c>
      <c r="N64" s="52">
        <f t="shared" si="17"/>
        <v>952711.88114327646</v>
      </c>
      <c r="O64" s="52">
        <f t="shared" si="17"/>
        <v>1143254.2573719316</v>
      </c>
      <c r="P64" s="52">
        <f t="shared" si="17"/>
        <v>1333796.633600587</v>
      </c>
      <c r="Q64" s="52">
        <f t="shared" si="17"/>
        <v>1524339.009829242</v>
      </c>
      <c r="R64" s="52">
        <f t="shared" si="17"/>
        <v>1714881.3860578975</v>
      </c>
      <c r="S64" s="52">
        <f t="shared" si="17"/>
        <v>1905423.7622865529</v>
      </c>
      <c r="T64" s="52">
        <f t="shared" si="17"/>
        <v>1932644.101747789</v>
      </c>
      <c r="U64" s="52">
        <f t="shared" si="17"/>
        <v>1932644.101747789</v>
      </c>
      <c r="V64" s="52">
        <f t="shared" si="17"/>
        <v>1932644.101747789</v>
      </c>
      <c r="W64" s="52">
        <f t="shared" si="17"/>
        <v>1932644.101747789</v>
      </c>
      <c r="X64" s="52">
        <f t="shared" si="17"/>
        <v>1932644.101747789</v>
      </c>
      <c r="Y64" s="52">
        <f t="shared" si="17"/>
        <v>1932644.101747789</v>
      </c>
      <c r="Z64" s="52">
        <f t="shared" si="17"/>
        <v>1932644.101747789</v>
      </c>
      <c r="AA64" s="52">
        <f t="shared" si="17"/>
        <v>1932644.101747789</v>
      </c>
      <c r="AB64" s="52">
        <f t="shared" si="17"/>
        <v>1932644.101747789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.8" x14ac:dyDescent="0.3">
      <c r="A65" s="135" t="str">
        <f t="shared" si="15"/>
        <v>Option 4</v>
      </c>
      <c r="B65" s="135"/>
      <c r="C65" s="8" t="s">
        <v>117</v>
      </c>
      <c r="D65" s="38" t="str">
        <f t="shared" si="14"/>
        <v>Option 4NPV</v>
      </c>
      <c r="E65" s="1"/>
      <c r="F65" s="108" cm="1">
        <f t="array" ref="F65">SUMPRODUCT(($H64:$AG64)*($H$5:$AG$5)*($H$7:$AG$7))</f>
        <v>18371274.055115547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.8" x14ac:dyDescent="0.3">
      <c r="A66" s="135" t="str">
        <f t="shared" si="15"/>
        <v>Option 4</v>
      </c>
      <c r="B66" s="135"/>
      <c r="C66" s="8" t="s">
        <v>183</v>
      </c>
      <c r="D66" s="38" t="str">
        <f t="shared" si="14"/>
        <v>Option 4PV of costs</v>
      </c>
      <c r="E66" s="1"/>
      <c r="F66" s="108">
        <f>SUM(F60:F61)</f>
        <v>-2277735.2857294693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.8" x14ac:dyDescent="0.3">
      <c r="A67" s="135" t="str">
        <f t="shared" si="15"/>
        <v>Option 4</v>
      </c>
      <c r="B67" s="135"/>
      <c r="C67" s="8" t="s">
        <v>184</v>
      </c>
      <c r="D67" s="38" t="str">
        <f t="shared" si="14"/>
        <v>Option 4PV of benefits</v>
      </c>
      <c r="E67" s="1"/>
      <c r="F67" s="108">
        <f>SUM(F62:F63)</f>
        <v>20649009.340845015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.8" x14ac:dyDescent="0.3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.8" x14ac:dyDescent="0.3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ht="13.8" x14ac:dyDescent="0.3">
      <c r="A70" s="268" t="str">
        <f>A71</f>
        <v>Option 5</v>
      </c>
      <c r="B70" s="268"/>
      <c r="C70" s="268" t="s">
        <v>122</v>
      </c>
      <c r="D70" s="269" t="str">
        <f t="shared" si="18"/>
        <v>Option 5Energy at risk value</v>
      </c>
      <c r="F70" s="97">
        <f>SUMPRODUCT($H70:$AG70, $H$5:$AG$5)</f>
        <v>15254580.332904182</v>
      </c>
      <c r="G70" s="271">
        <f>output_dollars</f>
        <v>46203</v>
      </c>
      <c r="H70" s="272"/>
      <c r="I70" s="31">
        <f>Option5!I$28*conv_2026</f>
        <v>2172260.1268585846</v>
      </c>
      <c r="J70" s="31">
        <f>Option5!J$28*conv_2026</f>
        <v>2034581.6681140265</v>
      </c>
      <c r="K70" s="31">
        <f>Option5!K$28*conv_2026</f>
        <v>1896903.209369468</v>
      </c>
      <c r="L70" s="31">
        <f>Option5!L$28*conv_2026</f>
        <v>1759224.7506249105</v>
      </c>
      <c r="M70" s="31">
        <f>Option5!M$28*conv_2026</f>
        <v>1621546.291880352</v>
      </c>
      <c r="N70" s="31">
        <f>Option5!N$28*conv_2026</f>
        <v>1483867.8331357937</v>
      </c>
      <c r="O70" s="31">
        <f>Option5!O$28*conv_2026</f>
        <v>1346189.3743912354</v>
      </c>
      <c r="P70" s="31">
        <f>Option5!P$28*conv_2026</f>
        <v>1208510.9156466774</v>
      </c>
      <c r="Q70" s="31">
        <f>Option5!Q$28*conv_2026</f>
        <v>1070832.4569021193</v>
      </c>
      <c r="R70" s="31">
        <f>Option5!R$28*conv_2026</f>
        <v>933153.99815756106</v>
      </c>
      <c r="S70" s="31">
        <f>Option5!S$28*conv_2026</f>
        <v>795475.5394130029</v>
      </c>
      <c r="T70" s="31">
        <f>Option5!T$28*conv_2026</f>
        <v>657797.08066844475</v>
      </c>
      <c r="U70" s="31">
        <f>Option5!U$28*conv_2026</f>
        <v>520118.62192388647</v>
      </c>
      <c r="V70" s="31">
        <f>Option5!V$28*conv_2026</f>
        <v>382440.16317932832</v>
      </c>
      <c r="W70" s="31">
        <f>Option5!W$28*conv_2026</f>
        <v>244761.70443477013</v>
      </c>
      <c r="X70" s="31">
        <f>Option5!X$28*conv_2026</f>
        <v>107083.24569021192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ht="13.8" x14ac:dyDescent="0.3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-4485915.5571990907</v>
      </c>
      <c r="G71" s="225">
        <f>output_dollars</f>
        <v>46203</v>
      </c>
      <c r="H71" s="31"/>
      <c r="I71" s="31">
        <f>SUM(Option5!I$67:I$69)*conv_2026*I$7</f>
        <v>-368496.50635499938</v>
      </c>
      <c r="J71" s="31">
        <f>SUM(Option5!J$67:J$69)*conv_2026*J$7</f>
        <v>-368496.50635499938</v>
      </c>
      <c r="K71" s="31">
        <f>SUM(Option5!K$67:K$69)*conv_2026*K$7</f>
        <v>-368496.50635499938</v>
      </c>
      <c r="L71" s="31">
        <f>SUM(Option5!L$67:L$69)*conv_2026*L$7</f>
        <v>-368496.50635499938</v>
      </c>
      <c r="M71" s="31">
        <f>SUM(Option5!M$67:M$69)*conv_2026*M$7</f>
        <v>-368496.50635499938</v>
      </c>
      <c r="N71" s="31">
        <f>SUM(Option5!N$67:N$69)*conv_2026*N$7</f>
        <v>-368496.50635499938</v>
      </c>
      <c r="O71" s="31">
        <f>SUM(Option5!O$67:O$69)*conv_2026*O$7</f>
        <v>-368496.50635499938</v>
      </c>
      <c r="P71" s="31">
        <f>SUM(Option5!P$67:P$69)*conv_2026*P$7</f>
        <v>-368496.50635499938</v>
      </c>
      <c r="Q71" s="31">
        <f>SUM(Option5!Q$67:Q$69)*conv_2026*Q$7</f>
        <v>-368496.50635499938</v>
      </c>
      <c r="R71" s="31">
        <f>SUM(Option5!R$67:R$69)*conv_2026*R$7</f>
        <v>-368496.50635499938</v>
      </c>
      <c r="S71" s="31">
        <f>SUM(Option5!S$67:S$69)*conv_2026*S$7</f>
        <v>-368496.50635499938</v>
      </c>
      <c r="T71" s="31">
        <f>SUM(Option5!T$67:T$69)*conv_2026*T$7</f>
        <v>-368496.50635499938</v>
      </c>
      <c r="U71" s="31">
        <f>SUM(Option5!U$67:U$69)*conv_2026*U$7</f>
        <v>-368496.50635499938</v>
      </c>
      <c r="V71" s="31">
        <f>SUM(Option5!V$67:V$69)*conv_2026*V$7</f>
        <v>-368496.50635499938</v>
      </c>
      <c r="W71" s="31">
        <f>SUM(Option5!W$67:W$69)*conv_2026*W$7</f>
        <v>-368496.50635499938</v>
      </c>
      <c r="X71" s="31">
        <f>SUM(Option5!X$67:X$69)*conv_2026*X$7</f>
        <v>-286608.39383166615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ht="13.8" x14ac:dyDescent="0.3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15254580.332904182</v>
      </c>
      <c r="G72" s="225">
        <f>output_dollars</f>
        <v>46203</v>
      </c>
      <c r="H72" s="31"/>
      <c r="I72" s="31">
        <f>Option5!I$36*conv_2026*I$7</f>
        <v>2172260.1268585846</v>
      </c>
      <c r="J72" s="31">
        <f>Option5!J$36*conv_2026*J$7</f>
        <v>2034581.6681140265</v>
      </c>
      <c r="K72" s="31">
        <f>Option5!K$36*conv_2026*K$7</f>
        <v>1896903.209369468</v>
      </c>
      <c r="L72" s="31">
        <f>Option5!L$36*conv_2026*L$7</f>
        <v>1759224.7506249105</v>
      </c>
      <c r="M72" s="31">
        <f>Option5!M$36*conv_2026*M$7</f>
        <v>1621546.291880352</v>
      </c>
      <c r="N72" s="31">
        <f>Option5!N$36*conv_2026*N$7</f>
        <v>1483867.8331357937</v>
      </c>
      <c r="O72" s="31">
        <f>Option5!O$36*conv_2026*O$7</f>
        <v>1346189.3743912354</v>
      </c>
      <c r="P72" s="31">
        <f>Option5!P$36*conv_2026*P$7</f>
        <v>1208510.9156466774</v>
      </c>
      <c r="Q72" s="31">
        <f>Option5!Q$36*conv_2026*Q$7</f>
        <v>1070832.4569021193</v>
      </c>
      <c r="R72" s="31">
        <f>Option5!R$36*conv_2026*R$7</f>
        <v>933153.99815756106</v>
      </c>
      <c r="S72" s="31">
        <f>Option5!S$36*conv_2026*S$7</f>
        <v>795475.5394130029</v>
      </c>
      <c r="T72" s="31">
        <f>Option5!T$36*conv_2026*T$7</f>
        <v>657797.08066844475</v>
      </c>
      <c r="U72" s="31">
        <f>Option5!U$36*conv_2026*U$7</f>
        <v>520118.62192388647</v>
      </c>
      <c r="V72" s="31">
        <f>Option5!V$36*conv_2026*V$7</f>
        <v>382440.16317932832</v>
      </c>
      <c r="W72" s="31">
        <f>Option5!W$36*conv_2026*W$7</f>
        <v>244761.70443477013</v>
      </c>
      <c r="X72" s="31">
        <f>Option5!X$36*conv_2026*X$7</f>
        <v>107083.24569021192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ht="13.8" x14ac:dyDescent="0.3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.8" x14ac:dyDescent="0.3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-1781912.9442315635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-15186.931168994086</v>
      </c>
      <c r="K74" s="31">
        <f>Option5!K$82*conv_2026*K$7</f>
        <v>-30373.862337988172</v>
      </c>
      <c r="L74" s="31">
        <f>Option5!L$82*conv_2026*L$7</f>
        <v>-45560.793506982249</v>
      </c>
      <c r="M74" s="31">
        <f>Option5!M$82*conv_2026*M$7</f>
        <v>-60747.724675976344</v>
      </c>
      <c r="N74" s="31">
        <f>Option5!N$82*conv_2026*N$7</f>
        <v>-75934.655844970432</v>
      </c>
      <c r="O74" s="31">
        <f>Option5!O$82*conv_2026*O$7</f>
        <v>-91121.587013964498</v>
      </c>
      <c r="P74" s="31">
        <f>Option5!P$82*conv_2026*P$7</f>
        <v>-106308.51818295861</v>
      </c>
      <c r="Q74" s="31">
        <f>Option5!Q$82*conv_2026*Q$7</f>
        <v>-121495.44935195269</v>
      </c>
      <c r="R74" s="31">
        <f>Option5!R$82*conv_2026*R$7</f>
        <v>-136682.38052094675</v>
      </c>
      <c r="S74" s="31">
        <f>Option5!S$82*conv_2026*S$7</f>
        <v>-151869.31168994086</v>
      </c>
      <c r="T74" s="31">
        <f>Option5!T$82*conv_2026*T$7</f>
        <v>-167056.24285893491</v>
      </c>
      <c r="U74" s="31">
        <f>Option5!U$82*conv_2026*U$7</f>
        <v>-182243.174027929</v>
      </c>
      <c r="V74" s="31">
        <f>Option5!V$82*conv_2026*V$7</f>
        <v>-197430.1051969231</v>
      </c>
      <c r="W74" s="31">
        <f>Option5!W$82*conv_2026*W$7</f>
        <v>-212617.03636591721</v>
      </c>
      <c r="X74" s="31">
        <f>Option5!X$82*conv_2026*X$7</f>
        <v>-227803.96753491129</v>
      </c>
      <c r="Y74" s="31">
        <f>Option5!Y$82*conv_2026*Y$7</f>
        <v>-239616.02511079557</v>
      </c>
      <c r="Z74" s="31">
        <f>Option5!Z$82*conv_2026*Z$7</f>
        <v>-239616.02511079557</v>
      </c>
      <c r="AA74" s="31">
        <f>Option5!AA$82*conv_2026*AA$7</f>
        <v>-239616.02511079557</v>
      </c>
      <c r="AB74" s="31">
        <f>Option5!AB$82*conv_2026*AB$7</f>
        <v>-239616.02511079557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ht="13.8" x14ac:dyDescent="0.3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ht="13.8" x14ac:dyDescent="0.3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16154088.344039628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137678.4587445583</v>
      </c>
      <c r="K76" s="31">
        <f>Option5!K$84*conv_2026*K$7</f>
        <v>275356.9174891166</v>
      </c>
      <c r="L76" s="31">
        <f>Option5!L$84*conv_2026*L$7</f>
        <v>413035.37623367441</v>
      </c>
      <c r="M76" s="31">
        <f>Option5!M$84*conv_2026*M$7</f>
        <v>550713.83497823274</v>
      </c>
      <c r="N76" s="31">
        <f>Option5!N$84*conv_2026*N$7</f>
        <v>688392.29372279102</v>
      </c>
      <c r="O76" s="31">
        <f>Option5!O$84*conv_2026*O$7</f>
        <v>826070.75246734929</v>
      </c>
      <c r="P76" s="31">
        <f>Option5!P$84*conv_2026*P$7</f>
        <v>963749.21121190733</v>
      </c>
      <c r="Q76" s="31">
        <f>Option5!Q$84*conv_2026*Q$7</f>
        <v>1101427.6699564655</v>
      </c>
      <c r="R76" s="31">
        <f>Option5!R$84*conv_2026*R$7</f>
        <v>1239106.1287010238</v>
      </c>
      <c r="S76" s="31">
        <f>Option5!S$84*conv_2026*S$7</f>
        <v>1376784.587445582</v>
      </c>
      <c r="T76" s="31">
        <f>Option5!T$84*conv_2026*T$7</f>
        <v>1514463.0461901401</v>
      </c>
      <c r="U76" s="31">
        <f>Option5!U$84*conv_2026*U$7</f>
        <v>1652141.5049346983</v>
      </c>
      <c r="V76" s="31">
        <f>Option5!V$84*conv_2026*V$7</f>
        <v>1789819.9636792564</v>
      </c>
      <c r="W76" s="31">
        <f>Option5!W$84*conv_2026*W$7</f>
        <v>1927498.4224238147</v>
      </c>
      <c r="X76" s="31">
        <f>Option5!X$84*conv_2026*X$7</f>
        <v>2065176.8811683727</v>
      </c>
      <c r="Y76" s="31">
        <f>Option5!Y$84*conv_2026*Y$7</f>
        <v>2172260.1268585846</v>
      </c>
      <c r="Z76" s="31">
        <f>Option5!Z$84*conv_2026*Z$7</f>
        <v>2172260.1268585846</v>
      </c>
      <c r="AA76" s="31">
        <f>Option5!AA$84*conv_2026*AA$7</f>
        <v>2172260.1268585846</v>
      </c>
      <c r="AB76" s="31">
        <f>Option5!AB$84*conv_2026*AB$7</f>
        <v>2172260.1268585846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ht="13.8" x14ac:dyDescent="0.3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ht="13.8" x14ac:dyDescent="0.3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122491.52757556422</v>
      </c>
      <c r="K78" s="52">
        <f t="shared" si="21"/>
        <v>244983.05515112844</v>
      </c>
      <c r="L78" s="52">
        <f t="shared" si="21"/>
        <v>367474.58272669214</v>
      </c>
      <c r="M78" s="52">
        <f t="shared" si="21"/>
        <v>489966.11030225642</v>
      </c>
      <c r="N78" s="52">
        <f t="shared" si="21"/>
        <v>612457.63787782053</v>
      </c>
      <c r="O78" s="52">
        <f t="shared" si="21"/>
        <v>734949.16545338475</v>
      </c>
      <c r="P78" s="52">
        <f t="shared" si="21"/>
        <v>857440.69302894874</v>
      </c>
      <c r="Q78" s="52">
        <f t="shared" si="21"/>
        <v>979932.22060451284</v>
      </c>
      <c r="R78" s="52">
        <f t="shared" si="21"/>
        <v>1102423.7481800769</v>
      </c>
      <c r="S78" s="52">
        <f t="shared" si="21"/>
        <v>1224915.2757556411</v>
      </c>
      <c r="T78" s="52">
        <f t="shared" si="21"/>
        <v>1347406.8033312052</v>
      </c>
      <c r="U78" s="52">
        <f t="shared" si="21"/>
        <v>1469898.3309067693</v>
      </c>
      <c r="V78" s="52">
        <f t="shared" si="21"/>
        <v>1592389.8584823334</v>
      </c>
      <c r="W78" s="52">
        <f t="shared" si="21"/>
        <v>1714881.3860578975</v>
      </c>
      <c r="X78" s="52">
        <f t="shared" si="21"/>
        <v>1837372.9136334613</v>
      </c>
      <c r="Y78" s="52">
        <f t="shared" si="21"/>
        <v>1932644.101747789</v>
      </c>
      <c r="Z78" s="52">
        <f t="shared" si="21"/>
        <v>1932644.101747789</v>
      </c>
      <c r="AA78" s="52">
        <f t="shared" si="21"/>
        <v>1932644.101747789</v>
      </c>
      <c r="AB78" s="52">
        <f t="shared" si="21"/>
        <v>1932644.101747789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.8" x14ac:dyDescent="0.3">
      <c r="A79" s="135" t="str">
        <f t="shared" si="19"/>
        <v>Option 5</v>
      </c>
      <c r="B79" s="135"/>
      <c r="C79" s="8" t="s">
        <v>117</v>
      </c>
      <c r="D79" s="38" t="str">
        <f t="shared" si="18"/>
        <v>Option 5NPV</v>
      </c>
      <c r="E79" s="1"/>
      <c r="F79" s="108" cm="1">
        <f t="array" ref="F79">SUMPRODUCT(($H78:$AG78)*($H$5:$AG$5)*($H$7:$AG$7))</f>
        <v>14372175.399808068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.8" x14ac:dyDescent="0.3">
      <c r="A80" s="135" t="str">
        <f t="shared" si="19"/>
        <v>Option 5</v>
      </c>
      <c r="B80" s="135"/>
      <c r="C80" s="8" t="s">
        <v>183</v>
      </c>
      <c r="D80" s="38" t="str">
        <f t="shared" si="18"/>
        <v>Option 5PV of costs</v>
      </c>
      <c r="E80" s="1"/>
      <c r="F80" s="108">
        <f>SUM(F74:F75)</f>
        <v>-1781912.9442315635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.8" x14ac:dyDescent="0.3">
      <c r="A81" s="135" t="str">
        <f t="shared" si="19"/>
        <v>Option 5</v>
      </c>
      <c r="B81" s="135"/>
      <c r="C81" s="8" t="s">
        <v>184</v>
      </c>
      <c r="D81" s="38" t="str">
        <f t="shared" si="18"/>
        <v>Option 5PV of benefits</v>
      </c>
      <c r="E81" s="1"/>
      <c r="F81" s="108">
        <f>SUM(F76:F77)</f>
        <v>16154088.344039628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.8" x14ac:dyDescent="0.3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5">
      <c r="E83" s="84"/>
      <c r="G83" s="229"/>
    </row>
    <row r="84" spans="1:33" ht="12" x14ac:dyDescent="0.25">
      <c r="E84" s="84"/>
      <c r="G84" s="229"/>
    </row>
    <row r="85" spans="1:33" ht="12" x14ac:dyDescent="0.25">
      <c r="E85" s="84"/>
      <c r="G85" s="229"/>
    </row>
    <row r="86" spans="1:33" ht="12" x14ac:dyDescent="0.25">
      <c r="E86" s="84"/>
      <c r="G86" s="229"/>
    </row>
    <row r="87" spans="1:33" ht="12" x14ac:dyDescent="0.25">
      <c r="E87" s="10"/>
      <c r="G87" s="229"/>
    </row>
    <row r="88" spans="1:33" ht="14.4" x14ac:dyDescent="0.3">
      <c r="A88" s="202" t="s">
        <v>196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5">
      <c r="E89" s="84"/>
      <c r="G89" s="229"/>
    </row>
    <row r="90" spans="1:33" ht="12" x14ac:dyDescent="0.25">
      <c r="E90" s="84"/>
    </row>
    <row r="91" spans="1:33" ht="13.8" x14ac:dyDescent="0.3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0.23961602511079558</v>
      </c>
      <c r="J91" s="297" cm="1">
        <f t="array" ref="J91">MAX($D91*INDEX(J$15:X$81, MATCH($A91&amp;$C91, $D$15:$D$81,0),))/mill_conv</f>
        <v>0.23961602511079558</v>
      </c>
      <c r="K91" s="297" cm="1">
        <f t="array" ref="K91">MAX($D91*INDEX(K$15:Y$81, MATCH($A91&amp;$C91, $D$15:$D$81,0),))/mill_conv</f>
        <v>0.23961602511079558</v>
      </c>
      <c r="L91" s="297" cm="1">
        <f t="array" ref="L91">MAX($D91*INDEX(L$15:Z$81, MATCH($A91&amp;$C91, $D$15:$D$81,0),))/mill_conv</f>
        <v>0.23961602511079558</v>
      </c>
      <c r="M91" s="297" cm="1">
        <f t="array" ref="M91">MAX($D91*INDEX(M$15:AA$81, MATCH($A91&amp;$C91, $D$15:$D$81,0),))/mill_conv</f>
        <v>0.23961602511079558</v>
      </c>
      <c r="N91" s="297" cm="1">
        <f t="array" ref="N91">MAX($D91*INDEX(N$15:AB$81, MATCH($A91&amp;$C91, $D$15:$D$81,0),))/mill_conv</f>
        <v>0.23961602511079558</v>
      </c>
      <c r="O91" s="297" cm="1">
        <f t="array" ref="O91">MAX($D91*INDEX(O$15:AC$81, MATCH($A91&amp;$C91, $D$15:$D$81,0),))/mill_conv</f>
        <v>0.23961602511079558</v>
      </c>
      <c r="P91" s="297" cm="1">
        <f t="array" ref="P91">MAX($D91*INDEX(P$15:AD$81, MATCH($A91&amp;$C91, $D$15:$D$81,0),))/mill_conv</f>
        <v>0.23961602511079558</v>
      </c>
      <c r="Q91" s="297" cm="1">
        <f t="array" ref="Q91">MAX($D91*INDEX(Q$15:AE$81, MATCH($A91&amp;$C91, $D$15:$D$81,0),))/mill_conv</f>
        <v>0.23961602511079558</v>
      </c>
      <c r="R91" s="297" cm="1">
        <f t="array" ref="R91">MAX($D91*INDEX(R$15:AF$81, MATCH($A91&amp;$C91, $D$15:$D$81,0),))/mill_conv</f>
        <v>0.23961602511079558</v>
      </c>
      <c r="S91" s="297" cm="1">
        <f t="array" ref="S91">MAX($D91*INDEX(S$15:AG$81, MATCH($A91&amp;$C91, $D$15:$D$81,0),))/mill_conv</f>
        <v>0.23961602511079558</v>
      </c>
      <c r="T91" s="297" cm="1">
        <f t="array" ref="T91">MAX($D91*INDEX(T$15:AH$81, MATCH($A91&amp;$C91, $D$15:$D$81,0),))/mill_conv</f>
        <v>0.23961602511079558</v>
      </c>
      <c r="U91" s="297" cm="1">
        <f t="array" ref="U91">MAX($D91*INDEX(U$15:AI$81, MATCH($A91&amp;$C91, $D$15:$D$81,0),))/mill_conv</f>
        <v>0.23961602511079558</v>
      </c>
      <c r="V91" s="297" cm="1">
        <f t="array" ref="V91">MAX($D91*INDEX(V$15:AJ$81, MATCH($A91&amp;$C91, $D$15:$D$81,0),))/mill_conv</f>
        <v>0.23961602511079558</v>
      </c>
      <c r="W91" s="297" cm="1">
        <f t="array" ref="W91">MAX($D91*INDEX(W$15:AK$81, MATCH($A91&amp;$C91, $D$15:$D$81,0),))/mill_conv</f>
        <v>0.23961602511079558</v>
      </c>
      <c r="X91" s="297" cm="1">
        <f t="array" ref="X91">MAX($D91*INDEX(X$15:AL$81, MATCH($A91&amp;$C91, $D$15:$D$81,0),))/mill_conv</f>
        <v>0.23961602511079558</v>
      </c>
      <c r="Y91" s="297" cm="1">
        <f t="array" ref="Y91">MAX($D91*INDEX(Y$15:AM$81, MATCH($A91&amp;$C91, $D$15:$D$81,0),))/mill_conv</f>
        <v>0.23961602511079558</v>
      </c>
      <c r="Z91" s="297" cm="1">
        <f t="array" ref="Z91">MAX($D91*INDEX(Z$15:AN$81, MATCH($A91&amp;$C91, $D$15:$D$81,0),))/mill_conv</f>
        <v>0.23961602511079558</v>
      </c>
      <c r="AA91" s="297" cm="1">
        <f t="array" ref="AA91">MAX($D91*INDEX(AA$15:AO$81, MATCH($A91&amp;$C91, $D$15:$D$81,0),))/mill_conv</f>
        <v>0.23961602511079558</v>
      </c>
      <c r="AB91" s="297" cm="1">
        <f t="array" ref="AB91">MAX($D91*INDEX(AB$15:AP$81, MATCH($A91&amp;$C91, $D$15:$D$81,0),))/mill_conv</f>
        <v>0.23961602511079558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ht="13.8" x14ac:dyDescent="0.3">
      <c r="A92" s="197" t="str">
        <f>A16</f>
        <v>Option 1 (base case)</v>
      </c>
      <c r="B92" s="139"/>
      <c r="C92" s="197" t="s">
        <v>167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2.1722601268585846</v>
      </c>
      <c r="J92" s="297">
        <f t="shared" si="23"/>
        <v>2.1722601268585846</v>
      </c>
      <c r="K92" s="297">
        <f t="shared" si="23"/>
        <v>2.1722601268585846</v>
      </c>
      <c r="L92" s="297">
        <f t="shared" si="23"/>
        <v>2.1722601268585846</v>
      </c>
      <c r="M92" s="297">
        <f t="shared" si="23"/>
        <v>2.1722601268585846</v>
      </c>
      <c r="N92" s="297">
        <f t="shared" si="23"/>
        <v>2.1722601268585846</v>
      </c>
      <c r="O92" s="297">
        <f t="shared" si="23"/>
        <v>2.1722601268585846</v>
      </c>
      <c r="P92" s="297">
        <f t="shared" si="23"/>
        <v>2.1722601268585846</v>
      </c>
      <c r="Q92" s="297">
        <f t="shared" si="23"/>
        <v>2.1722601268585846</v>
      </c>
      <c r="R92" s="297">
        <f t="shared" si="23"/>
        <v>2.1722601268585846</v>
      </c>
      <c r="S92" s="297">
        <f t="shared" ref="S92:AG92" si="24">$D92*INDEX(S$15:S$81, MATCH($A92&amp;$C92, $D$15:$D$81,0))/mill_conv</f>
        <v>2.1722601268585846</v>
      </c>
      <c r="T92" s="297">
        <f t="shared" si="24"/>
        <v>2.1722601268585846</v>
      </c>
      <c r="U92" s="297">
        <f t="shared" si="24"/>
        <v>2.1722601268585846</v>
      </c>
      <c r="V92" s="297">
        <f t="shared" si="24"/>
        <v>2.1722601268585846</v>
      </c>
      <c r="W92" s="297">
        <f t="shared" si="24"/>
        <v>2.1722601268585846</v>
      </c>
      <c r="X92" s="297">
        <f t="shared" si="24"/>
        <v>2.1722601268585846</v>
      </c>
      <c r="Y92" s="297">
        <f t="shared" si="24"/>
        <v>2.1722601268585846</v>
      </c>
      <c r="Z92" s="297">
        <f t="shared" si="24"/>
        <v>2.1722601268585846</v>
      </c>
      <c r="AA92" s="297">
        <f t="shared" si="24"/>
        <v>2.1722601268585846</v>
      </c>
      <c r="AB92" s="297">
        <f t="shared" si="24"/>
        <v>2.1722601268585846</v>
      </c>
      <c r="AC92" s="297">
        <f t="shared" si="24"/>
        <v>2.1722601268585846</v>
      </c>
      <c r="AD92" s="297">
        <f t="shared" si="24"/>
        <v>2.1722601268585846</v>
      </c>
      <c r="AE92" s="297">
        <f t="shared" si="24"/>
        <v>2.1722601268585846</v>
      </c>
      <c r="AF92" s="297">
        <f t="shared" si="24"/>
        <v>2.1722601268585846</v>
      </c>
      <c r="AG92" s="297">
        <f t="shared" si="24"/>
        <v>0</v>
      </c>
    </row>
    <row r="93" spans="1:33" ht="12" x14ac:dyDescent="0.25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5">
      <c r="E94" s="84"/>
    </row>
    <row r="95" spans="1:33" ht="12" x14ac:dyDescent="0.25">
      <c r="E95" s="84"/>
    </row>
    <row r="96" spans="1:33" ht="12" x14ac:dyDescent="0.25">
      <c r="E96" s="84"/>
    </row>
    <row r="97" spans="1:33" ht="12" x14ac:dyDescent="0.25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ht="13.8" x14ac:dyDescent="0.3">
      <c r="A98" s="198" t="s">
        <v>229</v>
      </c>
      <c r="B98" s="139"/>
      <c r="C98" s="196" t="s">
        <v>121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ht="13.8" x14ac:dyDescent="0.3">
      <c r="A99" s="197" t="str">
        <f>A23</f>
        <v>Option 1 (base case)</v>
      </c>
      <c r="B99" s="139"/>
      <c r="C99" s="197" t="s">
        <v>122</v>
      </c>
      <c r="D99" s="190">
        <f>MAX(H99:AG99)</f>
        <v>1.9518693887187999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1.9518693887187999</v>
      </c>
      <c r="J99" s="119">
        <f>INDEX('Option1 (base case)'!J$14:J$87, MATCH($C99, 'Option1 (base case)'!$C$14:$C$87,0))/10^6</f>
        <v>1.9518693887187999</v>
      </c>
      <c r="K99" s="119">
        <f>INDEX('Option1 (base case)'!K$14:K$87, MATCH($C99, 'Option1 (base case)'!$C$14:$C$87,0))/10^6</f>
        <v>1.9518693887187999</v>
      </c>
      <c r="L99" s="119">
        <f>INDEX('Option1 (base case)'!L$14:L$87, MATCH($C99, 'Option1 (base case)'!$C$14:$C$87,0))/10^6</f>
        <v>1.9518693887187999</v>
      </c>
      <c r="M99" s="119">
        <f>INDEX('Option1 (base case)'!M$14:M$87, MATCH($C99, 'Option1 (base case)'!$C$14:$C$87,0))/10^6</f>
        <v>1.9518693887187999</v>
      </c>
      <c r="N99" s="119">
        <f>INDEX('Option1 (base case)'!N$14:N$87, MATCH($C99, 'Option1 (base case)'!$C$14:$C$87,0))/10^6</f>
        <v>1.9518693887187999</v>
      </c>
      <c r="O99" s="119">
        <f>INDEX('Option1 (base case)'!O$14:O$87, MATCH($C99, 'Option1 (base case)'!$C$14:$C$87,0))/10^6</f>
        <v>1.9518693887187999</v>
      </c>
      <c r="P99" s="119">
        <f>INDEX('Option1 (base case)'!P$14:P$87, MATCH($C99, 'Option1 (base case)'!$C$14:$C$87,0))/10^6</f>
        <v>1.9518693887187999</v>
      </c>
      <c r="Q99" s="119">
        <f>INDEX('Option1 (base case)'!Q$14:Q$87, MATCH($C99, 'Option1 (base case)'!$C$14:$C$87,0))/10^6</f>
        <v>1.9518693887187999</v>
      </c>
      <c r="R99" s="119">
        <f>INDEX('Option1 (base case)'!R$14:R$87, MATCH($C99, 'Option1 (base case)'!$C$14:$C$87,0))/10^6</f>
        <v>1.9518693887187999</v>
      </c>
      <c r="S99" s="119">
        <f>INDEX('Option1 (base case)'!S$14:S$87, MATCH($C99, 'Option1 (base case)'!$C$14:$C$87,0))/10^6</f>
        <v>1.9518693887187999</v>
      </c>
      <c r="T99" s="119">
        <f>INDEX('Option1 (base case)'!T$14:T$87, MATCH($C99, 'Option1 (base case)'!$C$14:$C$87,0))/10^6</f>
        <v>1.9518693887187999</v>
      </c>
      <c r="U99" s="119">
        <f>INDEX('Option1 (base case)'!U$14:U$87, MATCH($C99, 'Option1 (base case)'!$C$14:$C$87,0))/10^6</f>
        <v>1.9518693887187999</v>
      </c>
      <c r="V99" s="119">
        <f>INDEX('Option1 (base case)'!V$14:V$87, MATCH($C99, 'Option1 (base case)'!$C$14:$C$87,0))/10^6</f>
        <v>1.9518693887187999</v>
      </c>
      <c r="W99" s="119">
        <f>INDEX('Option1 (base case)'!W$14:W$87, MATCH($C99, 'Option1 (base case)'!$C$14:$C$87,0))/10^6</f>
        <v>1.9518693887187999</v>
      </c>
      <c r="X99" s="119">
        <f>INDEX('Option1 (base case)'!X$14:X$87, MATCH($C99, 'Option1 (base case)'!$C$14:$C$87,0))/10^6</f>
        <v>1.9518693887187999</v>
      </c>
      <c r="Y99" s="119">
        <f>INDEX('Option1 (base case)'!Y$14:Y$87, MATCH($C99, 'Option1 (base case)'!$C$14:$C$87,0))/10^6</f>
        <v>1.9518693887187999</v>
      </c>
      <c r="Z99" s="119">
        <f>INDEX('Option1 (base case)'!Z$14:Z$87, MATCH($C99, 'Option1 (base case)'!$C$14:$C$87,0))/10^6</f>
        <v>1.9518693887187999</v>
      </c>
      <c r="AA99" s="119">
        <f>INDEX('Option1 (base case)'!AA$14:AA$87, MATCH($C99, 'Option1 (base case)'!$C$14:$C$87,0))/10^6</f>
        <v>1.9518693887187999</v>
      </c>
      <c r="AB99" s="119">
        <f>INDEX('Option1 (base case)'!AB$14:AB$87, MATCH($C99, 'Option1 (base case)'!$C$14:$C$87,0))/10^6</f>
        <v>1.9518693887187999</v>
      </c>
      <c r="AC99" s="119">
        <f>INDEX('Option1 (base case)'!AC$14:AC$87, MATCH($C99, 'Option1 (base case)'!$C$14:$C$87,0))/10^6</f>
        <v>1.9518693887187999</v>
      </c>
      <c r="AD99" s="119">
        <f>INDEX('Option1 (base case)'!AD$14:AD$87, MATCH($C99, 'Option1 (base case)'!$C$14:$C$87,0))/10^6</f>
        <v>1.9518693887187999</v>
      </c>
      <c r="AE99" s="119">
        <f>INDEX('Option1 (base case)'!AE$14:AE$87, MATCH($C99, 'Option1 (base case)'!$C$14:$C$87,0))/10^6</f>
        <v>1.9518693887187999</v>
      </c>
      <c r="AF99" s="119">
        <f>INDEX('Option1 (base case)'!AF$14:AF$87, MATCH($C99, 'Option1 (base case)'!$C$14:$C$87,0))/10^6</f>
        <v>1.9518693887187999</v>
      </c>
      <c r="AG99" s="119">
        <f>INDEX('Option1 (base case)'!AG$14:AG$87, MATCH($C99, 'Option1 (base case)'!$C$14:$C$87,0))/10^6</f>
        <v>0</v>
      </c>
    </row>
    <row r="100" spans="1:33" ht="12" x14ac:dyDescent="0.25">
      <c r="E100" s="10"/>
    </row>
    <row r="101" spans="1:33" s="295" customFormat="1" ht="12" x14ac:dyDescent="0.25"/>
    <row r="102" spans="1:33" ht="12" x14ac:dyDescent="0.25">
      <c r="E102" s="10"/>
    </row>
    <row r="103" spans="1:33" ht="12" x14ac:dyDescent="0.25">
      <c r="E103" s="10"/>
      <c r="I103" s="295"/>
    </row>
    <row r="104" spans="1:33" ht="12" x14ac:dyDescent="0.25">
      <c r="E104" s="10"/>
      <c r="H104" s="150"/>
    </row>
    <row r="105" spans="1:33" ht="12" x14ac:dyDescent="0.25">
      <c r="E105" s="10"/>
      <c r="H105" s="150"/>
    </row>
    <row r="106" spans="1:33" ht="12" x14ac:dyDescent="0.25">
      <c r="D106" s="190"/>
      <c r="E106" s="10"/>
    </row>
    <row r="107" spans="1:33" ht="12" x14ac:dyDescent="0.25">
      <c r="D107" s="190"/>
      <c r="E107" s="10"/>
    </row>
    <row r="108" spans="1:33" ht="12" x14ac:dyDescent="0.25">
      <c r="D108" s="190"/>
      <c r="E108" s="84"/>
    </row>
    <row r="109" spans="1:33" ht="12" x14ac:dyDescent="0.25">
      <c r="C109" s="124"/>
      <c r="D109" s="190"/>
      <c r="E109" s="190"/>
    </row>
    <row r="110" spans="1:33" ht="12" x14ac:dyDescent="0.25">
      <c r="D110" s="190"/>
      <c r="E110" s="84"/>
    </row>
    <row r="111" spans="1:33" ht="12" x14ac:dyDescent="0.25">
      <c r="D111" s="190"/>
      <c r="E111" s="84"/>
    </row>
    <row r="112" spans="1:33" ht="12" x14ac:dyDescent="0.25">
      <c r="D112" s="190"/>
      <c r="E112" s="84"/>
    </row>
    <row r="113" spans="4:5" ht="12" x14ac:dyDescent="0.25">
      <c r="D113" s="190"/>
      <c r="E113" s="84"/>
    </row>
    <row r="114" spans="4:5" ht="12" x14ac:dyDescent="0.25">
      <c r="D114" s="190"/>
      <c r="E114" s="84"/>
    </row>
    <row r="115" spans="4:5" ht="12" x14ac:dyDescent="0.25">
      <c r="D115" s="190"/>
      <c r="E115" s="84"/>
    </row>
    <row r="116" spans="4:5" ht="12" x14ac:dyDescent="0.25">
      <c r="D116" s="190"/>
      <c r="E116" s="84"/>
    </row>
    <row r="117" spans="4:5" ht="12" x14ac:dyDescent="0.25">
      <c r="D117" s="190"/>
      <c r="E117" s="84"/>
    </row>
    <row r="118" spans="4:5" ht="12" x14ac:dyDescent="0.25">
      <c r="D118" s="190"/>
      <c r="E118" s="84"/>
    </row>
    <row r="119" spans="4:5" ht="12" x14ac:dyDescent="0.25">
      <c r="D119" s="190"/>
      <c r="E119" s="84"/>
    </row>
    <row r="120" spans="4:5" ht="12" x14ac:dyDescent="0.25">
      <c r="D120" s="190"/>
      <c r="E120" s="84"/>
    </row>
    <row r="121" spans="4:5" ht="12" x14ac:dyDescent="0.25">
      <c r="D121" s="190"/>
      <c r="E121" s="84"/>
    </row>
    <row r="122" spans="4:5" ht="12" x14ac:dyDescent="0.25">
      <c r="D122" s="190"/>
      <c r="E122" s="84"/>
    </row>
    <row r="123" spans="4:5" ht="12" x14ac:dyDescent="0.25">
      <c r="D123" s="190"/>
      <c r="E123" s="84"/>
    </row>
    <row r="124" spans="4:5" ht="12" x14ac:dyDescent="0.25">
      <c r="D124" s="190"/>
      <c r="E124" s="84"/>
    </row>
    <row r="125" spans="4:5" ht="12" x14ac:dyDescent="0.25">
      <c r="D125" s="190"/>
      <c r="E125" s="84"/>
    </row>
    <row r="126" spans="4:5" ht="12" x14ac:dyDescent="0.25">
      <c r="D126" s="190"/>
      <c r="E126" s="84"/>
    </row>
    <row r="127" spans="4:5" ht="12" x14ac:dyDescent="0.25">
      <c r="D127" s="190"/>
      <c r="E127" s="84"/>
    </row>
    <row r="128" spans="4:5" ht="12" x14ac:dyDescent="0.25">
      <c r="D128" s="190"/>
      <c r="E128" s="84"/>
    </row>
    <row r="129" spans="4:5" ht="12" x14ac:dyDescent="0.25">
      <c r="D129" s="190"/>
      <c r="E129" s="84"/>
    </row>
    <row r="130" spans="4:5" ht="12" x14ac:dyDescent="0.25">
      <c r="D130" s="190"/>
      <c r="E130" s="84"/>
    </row>
    <row r="131" spans="4:5" ht="12" x14ac:dyDescent="0.25">
      <c r="D131" s="190"/>
      <c r="E131" s="84"/>
    </row>
    <row r="132" spans="4:5" ht="12" x14ac:dyDescent="0.25">
      <c r="D132" s="190"/>
      <c r="E132" s="84"/>
    </row>
    <row r="133" spans="4:5" ht="12" x14ac:dyDescent="0.25">
      <c r="D133" s="190"/>
      <c r="E133" s="84"/>
    </row>
    <row r="134" spans="4:5" ht="12" x14ac:dyDescent="0.25">
      <c r="D134" s="190"/>
      <c r="E134" s="84"/>
    </row>
    <row r="135" spans="4:5" ht="12" x14ac:dyDescent="0.25">
      <c r="D135" s="190"/>
      <c r="E135" s="84"/>
    </row>
    <row r="136" spans="4:5" ht="12" x14ac:dyDescent="0.25">
      <c r="D136" s="190"/>
      <c r="E136" s="84"/>
    </row>
    <row r="137" spans="4:5" ht="12" x14ac:dyDescent="0.25">
      <c r="D137" s="190"/>
      <c r="E137" s="84"/>
    </row>
    <row r="138" spans="4:5" ht="12" x14ac:dyDescent="0.25">
      <c r="E138" s="84"/>
    </row>
    <row r="139" spans="4:5" ht="12" x14ac:dyDescent="0.25">
      <c r="E139" s="84"/>
    </row>
    <row r="140" spans="4:5" ht="12" x14ac:dyDescent="0.25">
      <c r="E140" s="84"/>
    </row>
    <row r="141" spans="4:5" ht="12" x14ac:dyDescent="0.25">
      <c r="E141" s="84"/>
    </row>
    <row r="142" spans="4:5" ht="12" x14ac:dyDescent="0.25">
      <c r="E142" s="84"/>
    </row>
    <row r="143" spans="4:5" ht="12" x14ac:dyDescent="0.25">
      <c r="E143" s="84"/>
    </row>
    <row r="144" spans="4:5" ht="12" x14ac:dyDescent="0.25">
      <c r="E144" s="84"/>
    </row>
    <row r="145" spans="5:5" ht="12" x14ac:dyDescent="0.25">
      <c r="E145" s="84"/>
    </row>
    <row r="146" spans="5:5" ht="12" x14ac:dyDescent="0.25">
      <c r="E146" s="84"/>
    </row>
    <row r="147" spans="5:5" ht="12" x14ac:dyDescent="0.25">
      <c r="E147" s="84"/>
    </row>
    <row r="148" spans="5:5" ht="12" x14ac:dyDescent="0.25">
      <c r="E148" s="84"/>
    </row>
    <row r="149" spans="5:5" ht="12" x14ac:dyDescent="0.25">
      <c r="E149" s="84"/>
    </row>
    <row r="150" spans="5:5" ht="12" x14ac:dyDescent="0.25">
      <c r="E150" s="84"/>
    </row>
    <row r="151" spans="5:5" ht="12" x14ac:dyDescent="0.25">
      <c r="E151" s="84"/>
    </row>
    <row r="152" spans="5:5" ht="12" x14ac:dyDescent="0.25">
      <c r="E152" s="84"/>
    </row>
    <row r="153" spans="5:5" ht="12" x14ac:dyDescent="0.25">
      <c r="E153" s="84"/>
    </row>
    <row r="154" spans="5:5" ht="12" x14ac:dyDescent="0.25">
      <c r="E154" s="84"/>
    </row>
    <row r="155" spans="5:5" ht="12" x14ac:dyDescent="0.25">
      <c r="E155" s="84"/>
    </row>
    <row r="156" spans="5:5" ht="12" x14ac:dyDescent="0.25">
      <c r="E156" s="84"/>
    </row>
    <row r="157" spans="5:5" ht="12" x14ac:dyDescent="0.25">
      <c r="E157" s="84"/>
    </row>
    <row r="158" spans="5:5" ht="12" x14ac:dyDescent="0.25">
      <c r="E158" s="84"/>
    </row>
    <row r="159" spans="5:5" ht="12" x14ac:dyDescent="0.25">
      <c r="E159" s="84"/>
    </row>
    <row r="160" spans="5:5" ht="12" x14ac:dyDescent="0.25">
      <c r="E160" s="84"/>
    </row>
    <row r="161" spans="5:5" ht="12" x14ac:dyDescent="0.25">
      <c r="E161" s="84"/>
    </row>
    <row r="162" spans="5:5" ht="12" x14ac:dyDescent="0.25">
      <c r="E162" s="84"/>
    </row>
    <row r="163" spans="5:5" ht="12" x14ac:dyDescent="0.25">
      <c r="E163" s="84"/>
    </row>
    <row r="164" spans="5:5" ht="12" x14ac:dyDescent="0.25">
      <c r="E164" s="84"/>
    </row>
    <row r="165" spans="5:5" ht="12" x14ac:dyDescent="0.25">
      <c r="E165" s="84"/>
    </row>
    <row r="166" spans="5:5" ht="12" x14ac:dyDescent="0.25">
      <c r="E166" s="84"/>
    </row>
    <row r="167" spans="5:5" ht="12" x14ac:dyDescent="0.25">
      <c r="E167" s="84"/>
    </row>
    <row r="168" spans="5:5" ht="12" x14ac:dyDescent="0.25">
      <c r="E168" s="84"/>
    </row>
    <row r="169" spans="5:5" ht="12" x14ac:dyDescent="0.25">
      <c r="E169" s="84"/>
    </row>
    <row r="170" spans="5:5" ht="12" x14ac:dyDescent="0.25">
      <c r="E170" s="84"/>
    </row>
    <row r="171" spans="5:5" ht="12" x14ac:dyDescent="0.25">
      <c r="E171" s="84"/>
    </row>
    <row r="172" spans="5:5" ht="12" x14ac:dyDescent="0.25">
      <c r="E172" s="84"/>
    </row>
    <row r="173" spans="5:5" ht="12" x14ac:dyDescent="0.25">
      <c r="E173" s="84"/>
    </row>
    <row r="174" spans="5:5" ht="12" x14ac:dyDescent="0.25">
      <c r="E174" s="84"/>
    </row>
    <row r="175" spans="5:5" ht="12" x14ac:dyDescent="0.25">
      <c r="E175" s="84"/>
    </row>
    <row r="176" spans="5:5" ht="12" x14ac:dyDescent="0.25">
      <c r="E176" s="84"/>
    </row>
    <row r="177" spans="5:5" ht="12" x14ac:dyDescent="0.25">
      <c r="E177" s="84"/>
    </row>
    <row r="178" spans="5:5" ht="12" x14ac:dyDescent="0.25">
      <c r="E178" s="84"/>
    </row>
    <row r="179" spans="5:5" ht="12" x14ac:dyDescent="0.25">
      <c r="E179" s="84"/>
    </row>
    <row r="180" spans="5:5" ht="12" x14ac:dyDescent="0.25">
      <c r="E180" s="84"/>
    </row>
    <row r="181" spans="5:5" ht="12" x14ac:dyDescent="0.25">
      <c r="E181" s="84"/>
    </row>
    <row r="182" spans="5:5" ht="12" x14ac:dyDescent="0.25">
      <c r="E182" s="84"/>
    </row>
    <row r="183" spans="5:5" ht="12" x14ac:dyDescent="0.25">
      <c r="E183" s="84"/>
    </row>
    <row r="184" spans="5:5" ht="12" x14ac:dyDescent="0.25">
      <c r="E184" s="84"/>
    </row>
    <row r="185" spans="5:5" ht="12" x14ac:dyDescent="0.25">
      <c r="E185" s="84"/>
    </row>
    <row r="186" spans="5:5" ht="12" x14ac:dyDescent="0.25">
      <c r="E186" s="84"/>
    </row>
    <row r="187" spans="5:5" ht="12" x14ac:dyDescent="0.25">
      <c r="E187" s="84"/>
    </row>
    <row r="188" spans="5:5" ht="12" x14ac:dyDescent="0.25">
      <c r="E188" s="84"/>
    </row>
    <row r="189" spans="5:5" ht="12" x14ac:dyDescent="0.25">
      <c r="E189" s="84"/>
    </row>
    <row r="190" spans="5:5" ht="12" x14ac:dyDescent="0.25">
      <c r="E190" s="84"/>
    </row>
    <row r="191" spans="5:5" ht="12" x14ac:dyDescent="0.25">
      <c r="E191" s="84"/>
    </row>
    <row r="192" spans="5:5" ht="12" x14ac:dyDescent="0.25">
      <c r="E192" s="84"/>
    </row>
    <row r="193" spans="5:5" ht="12" x14ac:dyDescent="0.25">
      <c r="E193" s="84"/>
    </row>
    <row r="194" spans="5:5" ht="12" x14ac:dyDescent="0.25">
      <c r="E194" s="84"/>
    </row>
    <row r="195" spans="5:5" ht="12" x14ac:dyDescent="0.25">
      <c r="E195" s="84"/>
    </row>
    <row r="196" spans="5:5" ht="12" x14ac:dyDescent="0.25">
      <c r="E196" s="84"/>
    </row>
    <row r="197" spans="5:5" ht="12" x14ac:dyDescent="0.25">
      <c r="E197" s="84"/>
    </row>
    <row r="198" spans="5:5" ht="12" x14ac:dyDescent="0.25">
      <c r="E198" s="84"/>
    </row>
    <row r="199" spans="5:5" ht="12" x14ac:dyDescent="0.25">
      <c r="E199" s="84"/>
    </row>
    <row r="200" spans="5:5" ht="12" x14ac:dyDescent="0.25">
      <c r="E200" s="84"/>
    </row>
    <row r="201" spans="5:5" ht="12" x14ac:dyDescent="0.25">
      <c r="E201" s="84"/>
    </row>
    <row r="202" spans="5:5" ht="12" x14ac:dyDescent="0.25">
      <c r="E202" s="84"/>
    </row>
    <row r="203" spans="5:5" ht="12" x14ac:dyDescent="0.25">
      <c r="E203" s="84"/>
    </row>
    <row r="204" spans="5:5" ht="12" x14ac:dyDescent="0.25">
      <c r="E204" s="84"/>
    </row>
    <row r="205" spans="5:5" ht="12" x14ac:dyDescent="0.25">
      <c r="E205" s="84"/>
    </row>
    <row r="206" spans="5:5" ht="12" x14ac:dyDescent="0.25">
      <c r="E206" s="84"/>
    </row>
    <row r="207" spans="5:5" ht="12" x14ac:dyDescent="0.25">
      <c r="E207" s="84"/>
    </row>
    <row r="208" spans="5:5" ht="12" x14ac:dyDescent="0.25">
      <c r="E208" s="84"/>
    </row>
    <row r="209" spans="5:5" ht="12" x14ac:dyDescent="0.25">
      <c r="E209" s="84"/>
    </row>
    <row r="210" spans="5:5" ht="12" x14ac:dyDescent="0.25">
      <c r="E210" s="84"/>
    </row>
    <row r="211" spans="5:5" ht="12" x14ac:dyDescent="0.25">
      <c r="E211" s="84"/>
    </row>
    <row r="212" spans="5:5" ht="12" x14ac:dyDescent="0.25">
      <c r="E212" s="84"/>
    </row>
    <row r="213" spans="5:5" ht="12" x14ac:dyDescent="0.25">
      <c r="E213" s="84"/>
    </row>
    <row r="214" spans="5:5" ht="12" x14ac:dyDescent="0.25">
      <c r="E214" s="84"/>
    </row>
    <row r="215" spans="5:5" ht="12" x14ac:dyDescent="0.25">
      <c r="E215" s="84"/>
    </row>
    <row r="216" spans="5:5" ht="12" x14ac:dyDescent="0.25">
      <c r="E216" s="84"/>
    </row>
    <row r="217" spans="5:5" ht="12" x14ac:dyDescent="0.25">
      <c r="E217" s="84"/>
    </row>
    <row r="218" spans="5:5" ht="12" x14ac:dyDescent="0.25">
      <c r="E218" s="84"/>
    </row>
    <row r="219" spans="5:5" ht="12" x14ac:dyDescent="0.25">
      <c r="E219" s="84"/>
    </row>
    <row r="220" spans="5:5" ht="12" x14ac:dyDescent="0.25">
      <c r="E220" s="84"/>
    </row>
    <row r="221" spans="5:5" ht="12" x14ac:dyDescent="0.25">
      <c r="E221" s="84"/>
    </row>
    <row r="222" spans="5:5" ht="12" x14ac:dyDescent="0.25">
      <c r="E222" s="84"/>
    </row>
    <row r="223" spans="5:5" ht="12" x14ac:dyDescent="0.25">
      <c r="E223" s="84"/>
    </row>
    <row r="224" spans="5:5" ht="12" x14ac:dyDescent="0.25">
      <c r="E224" s="84"/>
    </row>
    <row r="225" spans="5:5" ht="12" x14ac:dyDescent="0.25">
      <c r="E225" s="84"/>
    </row>
    <row r="226" spans="5:5" ht="12" x14ac:dyDescent="0.25">
      <c r="E226" s="84"/>
    </row>
    <row r="227" spans="5:5" ht="12" x14ac:dyDescent="0.25">
      <c r="E227" s="84"/>
    </row>
    <row r="228" spans="5:5" ht="12" x14ac:dyDescent="0.25">
      <c r="E228" s="84"/>
    </row>
    <row r="229" spans="5:5" ht="12" x14ac:dyDescent="0.25">
      <c r="E229" s="84"/>
    </row>
    <row r="230" spans="5:5" ht="12" x14ac:dyDescent="0.25">
      <c r="E230" s="84"/>
    </row>
    <row r="231" spans="5:5" ht="12" x14ac:dyDescent="0.25">
      <c r="E231" s="84"/>
    </row>
    <row r="232" spans="5:5" ht="12" x14ac:dyDescent="0.25">
      <c r="E232" s="84"/>
    </row>
    <row r="233" spans="5:5" ht="12" x14ac:dyDescent="0.25">
      <c r="E233" s="84"/>
    </row>
    <row r="234" spans="5:5" ht="12" x14ac:dyDescent="0.25">
      <c r="E234" s="84"/>
    </row>
    <row r="235" spans="5:5" ht="12" x14ac:dyDescent="0.25">
      <c r="E235" s="84"/>
    </row>
    <row r="236" spans="5:5" ht="12" x14ac:dyDescent="0.25">
      <c r="E236" s="84"/>
    </row>
    <row r="237" spans="5:5" ht="12" x14ac:dyDescent="0.25">
      <c r="E237" s="84"/>
    </row>
    <row r="238" spans="5:5" ht="12" x14ac:dyDescent="0.25">
      <c r="E238" s="84"/>
    </row>
    <row r="239" spans="5:5" ht="12" x14ac:dyDescent="0.25">
      <c r="E239" s="84"/>
    </row>
    <row r="240" spans="5:5" ht="12" x14ac:dyDescent="0.25">
      <c r="E240" s="84"/>
    </row>
    <row r="241" spans="5:5" ht="12" x14ac:dyDescent="0.25">
      <c r="E241" s="84"/>
    </row>
    <row r="242" spans="5:5" ht="12" x14ac:dyDescent="0.25">
      <c r="E242" s="84"/>
    </row>
    <row r="243" spans="5:5" ht="12" x14ac:dyDescent="0.25">
      <c r="E243" s="84"/>
    </row>
    <row r="244" spans="5:5" ht="12" x14ac:dyDescent="0.25">
      <c r="E244" s="84"/>
    </row>
    <row r="245" spans="5:5" ht="12" x14ac:dyDescent="0.25">
      <c r="E245" s="84"/>
    </row>
    <row r="246" spans="5:5" ht="12" x14ac:dyDescent="0.25">
      <c r="E246" s="84"/>
    </row>
    <row r="247" spans="5:5" ht="12" x14ac:dyDescent="0.25">
      <c r="E247" s="84"/>
    </row>
    <row r="248" spans="5:5" ht="12" x14ac:dyDescent="0.25">
      <c r="E248" s="84"/>
    </row>
    <row r="249" spans="5:5" ht="12" x14ac:dyDescent="0.25">
      <c r="E249" s="84"/>
    </row>
    <row r="250" spans="5:5" ht="12" x14ac:dyDescent="0.25">
      <c r="E250" s="84"/>
    </row>
    <row r="251" spans="5:5" ht="12" x14ac:dyDescent="0.25">
      <c r="E251" s="84"/>
    </row>
    <row r="252" spans="5:5" x14ac:dyDescent="0.25"/>
    <row r="253" spans="5:5" x14ac:dyDescent="0.25"/>
    <row r="254" spans="5:5" x14ac:dyDescent="0.25"/>
    <row r="255" spans="5:5" x14ac:dyDescent="0.25"/>
    <row r="256" spans="5:5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2" zeroHeight="1" outlineLevelRow="1" x14ac:dyDescent="0.25"/>
  <cols>
    <col min="1" max="1" width="8.08984375" style="10" customWidth="1"/>
    <col min="2" max="2" width="20.7265625" style="10" customWidth="1"/>
    <col min="3" max="3" width="20.453125" style="10" customWidth="1"/>
    <col min="4" max="4" width="16.90625" style="10" bestFit="1" customWidth="1"/>
    <col min="5" max="5" width="12.36328125" style="10" customWidth="1"/>
    <col min="6" max="6" width="14.26953125" customWidth="1"/>
    <col min="7" max="7" width="11.6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" x14ac:dyDescent="0.35">
      <c r="A2" s="56" t="str">
        <f>proj</f>
        <v>Recplacement of CRO inoperable RMUs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" x14ac:dyDescent="0.35">
      <c r="A3" s="203" t="s">
        <v>218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3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.8" hidden="1" outlineLevel="1" x14ac:dyDescent="0.3">
      <c r="A5" s="116" t="s">
        <v>188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t="13.8" hidden="1" outlineLevel="1" x14ac:dyDescent="0.3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t="13.8" hidden="1" outlineLevel="1" x14ac:dyDescent="0.3">
      <c r="A7" s="116" t="s">
        <v>189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3"/>
    <row r="9" spans="1:33" s="2" customFormat="1" ht="14.4" x14ac:dyDescent="0.3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.8" x14ac:dyDescent="0.3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4.4" x14ac:dyDescent="0.3">
      <c r="A11" s="120"/>
      <c r="B11" s="120"/>
      <c r="C11" s="120"/>
      <c r="D11" s="121"/>
      <c r="E11" s="121"/>
      <c r="F11" s="70" t="s">
        <v>150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ht="13.8" x14ac:dyDescent="0.3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1932644.101747789</v>
      </c>
      <c r="AA12" s="31">
        <f>Consol!AB36</f>
        <v>1932644.101747789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ht="13.8" x14ac:dyDescent="0.3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ht="13.8" x14ac:dyDescent="0.3">
      <c r="A14" s="253" t="s">
        <v>139</v>
      </c>
      <c r="B14" s="253" t="s">
        <v>117</v>
      </c>
      <c r="C14" s="253" t="s">
        <v>182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ht="13.8" x14ac:dyDescent="0.3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.8" x14ac:dyDescent="0.3">
      <c r="A16" s="253" t="s">
        <v>139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ht="13.8" x14ac:dyDescent="0.3">
      <c r="A17" s="253" t="s">
        <v>139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ht="13.8" x14ac:dyDescent="0.3">
      <c r="A18" s="253" t="s">
        <v>139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ht="13.8" x14ac:dyDescent="0.3">
      <c r="A19" s="253" t="s">
        <v>139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ht="13.8" x14ac:dyDescent="0.3">
      <c r="A20" s="253" t="s">
        <v>139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ht="13.8" x14ac:dyDescent="0.3">
      <c r="A21" s="253" t="s">
        <v>139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ht="13.8" x14ac:dyDescent="0.3">
      <c r="A22" s="253" t="s">
        <v>139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ht="13.8" x14ac:dyDescent="0.3">
      <c r="A23" s="253" t="s">
        <v>139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ht="13.8" x14ac:dyDescent="0.3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.8" x14ac:dyDescent="0.3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.8" x14ac:dyDescent="0.3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.8" x14ac:dyDescent="0.3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.8" x14ac:dyDescent="0.3">
      <c r="A28" s="253" t="s">
        <v>129</v>
      </c>
      <c r="B28" s="253" t="s">
        <v>117</v>
      </c>
      <c r="C28" s="253" t="s">
        <v>182</v>
      </c>
      <c r="D28" s="253" t="str">
        <f>A28&amp;B28</f>
        <v>Option 2NPV</v>
      </c>
      <c r="E28" s="254"/>
      <c r="F28" s="31">
        <f>SUMPRODUCT($H28:$AG28, $H$5:$AG$5)</f>
        <v>28179594.740135457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2172260.1268585846</v>
      </c>
      <c r="J28" s="31">
        <f>(INDEX(Option2!J$106:J$117, MATCH($D28, Option2!$G$106:$G$117,0)))*conv_2026*J$7</f>
        <v>1932644.1017477892</v>
      </c>
      <c r="K28" s="31">
        <f>(INDEX(Option2!K$106:K$117, MATCH($D28, Option2!$G$106:$G$117,0)))*conv_2026*K$7</f>
        <v>1932644.1017477892</v>
      </c>
      <c r="L28" s="31">
        <f>(INDEX(Option2!L$106:L$117, MATCH($D28, Option2!$G$106:$G$117,0)))*conv_2026*L$7</f>
        <v>1932644.1017477892</v>
      </c>
      <c r="M28" s="31">
        <f>(INDEX(Option2!M$106:M$117, MATCH($D28, Option2!$G$106:$G$117,0)))*conv_2026*M$7</f>
        <v>1932644.1017477892</v>
      </c>
      <c r="N28" s="31">
        <f>(INDEX(Option2!N$106:N$117, MATCH($D28, Option2!$G$106:$G$117,0)))*conv_2026*N$7</f>
        <v>1932644.1017477892</v>
      </c>
      <c r="O28" s="31">
        <f>(INDEX(Option2!O$106:O$117, MATCH($D28, Option2!$G$106:$G$117,0)))*conv_2026*O$7</f>
        <v>1932644.1017477892</v>
      </c>
      <c r="P28" s="31">
        <f>(INDEX(Option2!P$106:P$117, MATCH($D28, Option2!$G$106:$G$117,0)))*conv_2026*P$7</f>
        <v>1932644.1017477892</v>
      </c>
      <c r="Q28" s="31">
        <f>(INDEX(Option2!Q$106:Q$117, MATCH($D28, Option2!$G$106:$G$117,0)))*conv_2026*Q$7</f>
        <v>1932644.1017477892</v>
      </c>
      <c r="R28" s="31">
        <f>(INDEX(Option2!R$106:R$117, MATCH($D28, Option2!$G$106:$G$117,0)))*conv_2026*R$7</f>
        <v>1932644.1017477892</v>
      </c>
      <c r="S28" s="31">
        <f>(INDEX(Option2!S$106:S$117, MATCH($D28, Option2!$G$106:$G$117,0)))*conv_2026*S$7</f>
        <v>1932644.1017477892</v>
      </c>
      <c r="T28" s="31">
        <f>(INDEX(Option2!T$106:T$117, MATCH($D28, Option2!$G$106:$G$117,0)))*conv_2026*T$7</f>
        <v>1932644.1017477892</v>
      </c>
      <c r="U28" s="31">
        <f>(INDEX(Option2!U$106:U$117, MATCH($D28, Option2!$G$106:$G$117,0)))*conv_2026*U$7</f>
        <v>1932644.1017477892</v>
      </c>
      <c r="V28" s="31">
        <f>(INDEX(Option2!V$106:V$117, MATCH($D28, Option2!$G$106:$G$117,0)))*conv_2026*V$7</f>
        <v>1932644.1017477892</v>
      </c>
      <c r="W28" s="31">
        <f>(INDEX(Option2!W$106:W$117, MATCH($D28, Option2!$G$106:$G$117,0)))*conv_2026*W$7</f>
        <v>1932644.1017477892</v>
      </c>
      <c r="X28" s="31">
        <f>(INDEX(Option2!X$106:X$117, MATCH($D28, Option2!$G$106:$G$117,0)))*conv_2026*X$7</f>
        <v>1932644.1017477892</v>
      </c>
      <c r="Y28" s="31">
        <f>(INDEX(Option2!Y$106:Y$117, MATCH($D28, Option2!$G$106:$G$117,0)))*conv_2026*Y$7</f>
        <v>1932644.1017477892</v>
      </c>
      <c r="Z28" s="31">
        <f>(INDEX(Option2!Z$106:Z$117, MATCH($D28, Option2!$G$106:$G$117,0)))*conv_2026*Z$7</f>
        <v>1932644.1017477892</v>
      </c>
      <c r="AA28" s="31">
        <f>(INDEX(Option2!AA$106:AA$117, MATCH($D28, Option2!$G$106:$G$117,0)))*conv_2026*AA$7</f>
        <v>1932644.1017477892</v>
      </c>
      <c r="AB28" s="31">
        <f>(INDEX(Option2!AB$106:AB$117, MATCH($D28, Option2!$G$106:$G$117,0)))*conv_2026*AB$7</f>
        <v>1932644.1017477892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ht="13.8" x14ac:dyDescent="0.3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ht="13.8" x14ac:dyDescent="0.3">
      <c r="A30" s="253" t="s">
        <v>129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27856687.346454617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2172260.1268585846</v>
      </c>
      <c r="J30" s="31">
        <f>IF($B30=0,0, (INDEX(Option2!J$106:J$117, MATCH($D30, Option2!$G$106:$G$117,0)))*conv_2026*J$7)</f>
        <v>1908682.4992367094</v>
      </c>
      <c r="K30" s="31">
        <f>IF($B30=0,0, (INDEX(Option2!K$106:K$117, MATCH($D30, Option2!$G$106:$G$117,0)))*conv_2026*K$7)</f>
        <v>1908682.4992367094</v>
      </c>
      <c r="L30" s="31">
        <f>IF($B30=0,0, (INDEX(Option2!L$106:L$117, MATCH($D30, Option2!$G$106:$G$117,0)))*conv_2026*L$7)</f>
        <v>1908682.4992367094</v>
      </c>
      <c r="M30" s="31">
        <f>IF($B30=0,0, (INDEX(Option2!M$106:M$117, MATCH($D30, Option2!$G$106:$G$117,0)))*conv_2026*M$7)</f>
        <v>1908682.4992367094</v>
      </c>
      <c r="N30" s="31">
        <f>IF($B30=0,0, (INDEX(Option2!N$106:N$117, MATCH($D30, Option2!$G$106:$G$117,0)))*conv_2026*N$7)</f>
        <v>1908682.4992367094</v>
      </c>
      <c r="O30" s="31">
        <f>IF($B30=0,0, (INDEX(Option2!O$106:O$117, MATCH($D30, Option2!$G$106:$G$117,0)))*conv_2026*O$7)</f>
        <v>1908682.4992367094</v>
      </c>
      <c r="P30" s="31">
        <f>IF($B30=0,0, (INDEX(Option2!P$106:P$117, MATCH($D30, Option2!$G$106:$G$117,0)))*conv_2026*P$7)</f>
        <v>1908682.4992367094</v>
      </c>
      <c r="Q30" s="31">
        <f>IF($B30=0,0, (INDEX(Option2!Q$106:Q$117, MATCH($D30, Option2!$G$106:$G$117,0)))*conv_2026*Q$7)</f>
        <v>1908682.4992367094</v>
      </c>
      <c r="R30" s="31">
        <f>IF($B30=0,0, (INDEX(Option2!R$106:R$117, MATCH($D30, Option2!$G$106:$G$117,0)))*conv_2026*R$7)</f>
        <v>1908682.4992367094</v>
      </c>
      <c r="S30" s="31">
        <f>IF($B30=0,0, (INDEX(Option2!S$106:S$117, MATCH($D30, Option2!$G$106:$G$117,0)))*conv_2026*S$7)</f>
        <v>1908682.4992367094</v>
      </c>
      <c r="T30" s="31">
        <f>IF($B30=0,0, (INDEX(Option2!T$106:T$117, MATCH($D30, Option2!$G$106:$G$117,0)))*conv_2026*T$7)</f>
        <v>1908682.4992367094</v>
      </c>
      <c r="U30" s="31">
        <f>IF($B30=0,0, (INDEX(Option2!U$106:U$117, MATCH($D30, Option2!$G$106:$G$117,0)))*conv_2026*U$7)</f>
        <v>1908682.4992367094</v>
      </c>
      <c r="V30" s="31">
        <f>IF($B30=0,0, (INDEX(Option2!V$106:V$117, MATCH($D30, Option2!$G$106:$G$117,0)))*conv_2026*V$7)</f>
        <v>1908682.4992367094</v>
      </c>
      <c r="W30" s="31">
        <f>IF($B30=0,0, (INDEX(Option2!W$106:W$117, MATCH($D30, Option2!$G$106:$G$117,0)))*conv_2026*W$7)</f>
        <v>1908682.4992367094</v>
      </c>
      <c r="X30" s="31">
        <f>IF($B30=0,0, (INDEX(Option2!X$106:X$117, MATCH($D30, Option2!$G$106:$G$117,0)))*conv_2026*X$7)</f>
        <v>1908682.4992367094</v>
      </c>
      <c r="Y30" s="31">
        <f>IF($B30=0,0, (INDEX(Option2!Y$106:Y$117, MATCH($D30, Option2!$G$106:$G$117,0)))*conv_2026*Y$7)</f>
        <v>1908682.4992367094</v>
      </c>
      <c r="Z30" s="31">
        <f>IF($B30=0,0, (INDEX(Option2!Z$106:Z$117, MATCH($D30, Option2!$G$106:$G$117,0)))*conv_2026*Z$7)</f>
        <v>1908682.4992367094</v>
      </c>
      <c r="AA30" s="31">
        <f>IF($B30=0,0, (INDEX(Option2!AA$106:AA$117, MATCH($D30, Option2!$G$106:$G$117,0)))*conv_2026*AA$7)</f>
        <v>1908682.4992367094</v>
      </c>
      <c r="AB30" s="31">
        <f>IF($B30=0,0, (INDEX(Option2!AB$106:AB$117, MATCH($D30, Option2!$G$106:$G$117,0)))*conv_2026*AB$7)</f>
        <v>1908682.4992367094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ht="13.8" x14ac:dyDescent="0.3">
      <c r="A31" s="253" t="s">
        <v>129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28502502.133816298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2172260.1268585846</v>
      </c>
      <c r="J31" s="31">
        <f>IF($B31=0,0, (INDEX(Option2!J$106:J$117, MATCH($D31, Option2!$G$106:$G$117,0)))*conv_2026*J$7)</f>
        <v>1956605.7042588689</v>
      </c>
      <c r="K31" s="31">
        <f>IF($B31=0,0, (INDEX(Option2!K$106:K$117, MATCH($D31, Option2!$G$106:$G$117,0)))*conv_2026*K$7)</f>
        <v>1956605.7042588689</v>
      </c>
      <c r="L31" s="31">
        <f>IF($B31=0,0, (INDEX(Option2!L$106:L$117, MATCH($D31, Option2!$G$106:$G$117,0)))*conv_2026*L$7)</f>
        <v>1956605.7042588689</v>
      </c>
      <c r="M31" s="31">
        <f>IF($B31=0,0, (INDEX(Option2!M$106:M$117, MATCH($D31, Option2!$G$106:$G$117,0)))*conv_2026*M$7)</f>
        <v>1956605.7042588689</v>
      </c>
      <c r="N31" s="31">
        <f>IF($B31=0,0, (INDEX(Option2!N$106:N$117, MATCH($D31, Option2!$G$106:$G$117,0)))*conv_2026*N$7)</f>
        <v>1956605.7042588689</v>
      </c>
      <c r="O31" s="31">
        <f>IF($B31=0,0, (INDEX(Option2!O$106:O$117, MATCH($D31, Option2!$G$106:$G$117,0)))*conv_2026*O$7)</f>
        <v>1956605.7042588689</v>
      </c>
      <c r="P31" s="31">
        <f>IF($B31=0,0, (INDEX(Option2!P$106:P$117, MATCH($D31, Option2!$G$106:$G$117,0)))*conv_2026*P$7)</f>
        <v>1956605.7042588689</v>
      </c>
      <c r="Q31" s="31">
        <f>IF($B31=0,0, (INDEX(Option2!Q$106:Q$117, MATCH($D31, Option2!$G$106:$G$117,0)))*conv_2026*Q$7)</f>
        <v>1956605.7042588689</v>
      </c>
      <c r="R31" s="31">
        <f>IF($B31=0,0, (INDEX(Option2!R$106:R$117, MATCH($D31, Option2!$G$106:$G$117,0)))*conv_2026*R$7)</f>
        <v>1956605.7042588689</v>
      </c>
      <c r="S31" s="31">
        <f>IF($B31=0,0, (INDEX(Option2!S$106:S$117, MATCH($D31, Option2!$G$106:$G$117,0)))*conv_2026*S$7)</f>
        <v>1956605.7042588689</v>
      </c>
      <c r="T31" s="31">
        <f>IF($B31=0,0, (INDEX(Option2!T$106:T$117, MATCH($D31, Option2!$G$106:$G$117,0)))*conv_2026*T$7)</f>
        <v>1956605.7042588689</v>
      </c>
      <c r="U31" s="31">
        <f>IF($B31=0,0, (INDEX(Option2!U$106:U$117, MATCH($D31, Option2!$G$106:$G$117,0)))*conv_2026*U$7)</f>
        <v>1956605.7042588689</v>
      </c>
      <c r="V31" s="31">
        <f>IF($B31=0,0, (INDEX(Option2!V$106:V$117, MATCH($D31, Option2!$G$106:$G$117,0)))*conv_2026*V$7)</f>
        <v>1956605.7042588689</v>
      </c>
      <c r="W31" s="31">
        <f>IF($B31=0,0, (INDEX(Option2!W$106:W$117, MATCH($D31, Option2!$G$106:$G$117,0)))*conv_2026*W$7)</f>
        <v>1956605.7042588689</v>
      </c>
      <c r="X31" s="31">
        <f>IF($B31=0,0, (INDEX(Option2!X$106:X$117, MATCH($D31, Option2!$G$106:$G$117,0)))*conv_2026*X$7)</f>
        <v>1956605.7042588689</v>
      </c>
      <c r="Y31" s="31">
        <f>IF($B31=0,0, (INDEX(Option2!Y$106:Y$117, MATCH($D31, Option2!$G$106:$G$117,0)))*conv_2026*Y$7)</f>
        <v>1956605.7042588689</v>
      </c>
      <c r="Z31" s="31">
        <f>IF($B31=0,0, (INDEX(Option2!Z$106:Z$117, MATCH($D31, Option2!$G$106:$G$117,0)))*conv_2026*Z$7)</f>
        <v>1956605.7042588689</v>
      </c>
      <c r="AA31" s="31">
        <f>IF($B31=0,0, (INDEX(Option2!AA$106:AA$117, MATCH($D31, Option2!$G$106:$G$117,0)))*conv_2026*AA$7)</f>
        <v>1956605.7042588689</v>
      </c>
      <c r="AB31" s="31">
        <f>IF($B31=0,0, (INDEX(Option2!AB$106:AB$117, MATCH($D31, Option2!$G$106:$G$117,0)))*conv_2026*AB$7)</f>
        <v>1956605.7042588689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ht="13.8" x14ac:dyDescent="0.3">
      <c r="A32" s="253" t="s">
        <v>129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31320461.607829846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2389486.1395444432</v>
      </c>
      <c r="J32" s="31">
        <f>IF($B32=0,0, (INDEX(Option2!J$106:J$117, MATCH($D32, Option2!$G$106:$G$117,0)))*conv_2026*J$7)</f>
        <v>2149870.1144336476</v>
      </c>
      <c r="K32" s="31">
        <f>IF($B32=0,0, (INDEX(Option2!K$106:K$117, MATCH($D32, Option2!$G$106:$G$117,0)))*conv_2026*K$7)</f>
        <v>2149870.1144336476</v>
      </c>
      <c r="L32" s="31">
        <f>IF($B32=0,0, (INDEX(Option2!L$106:L$117, MATCH($D32, Option2!$G$106:$G$117,0)))*conv_2026*L$7)</f>
        <v>2149870.1144336476</v>
      </c>
      <c r="M32" s="31">
        <f>IF($B32=0,0, (INDEX(Option2!M$106:M$117, MATCH($D32, Option2!$G$106:$G$117,0)))*conv_2026*M$7)</f>
        <v>2149870.1144336476</v>
      </c>
      <c r="N32" s="31">
        <f>IF($B32=0,0, (INDEX(Option2!N$106:N$117, MATCH($D32, Option2!$G$106:$G$117,0)))*conv_2026*N$7)</f>
        <v>2149870.1144336476</v>
      </c>
      <c r="O32" s="31">
        <f>IF($B32=0,0, (INDEX(Option2!O$106:O$117, MATCH($D32, Option2!$G$106:$G$117,0)))*conv_2026*O$7)</f>
        <v>2149870.1144336476</v>
      </c>
      <c r="P32" s="31">
        <f>IF($B32=0,0, (INDEX(Option2!P$106:P$117, MATCH($D32, Option2!$G$106:$G$117,0)))*conv_2026*P$7)</f>
        <v>2149870.1144336476</v>
      </c>
      <c r="Q32" s="31">
        <f>IF($B32=0,0, (INDEX(Option2!Q$106:Q$117, MATCH($D32, Option2!$G$106:$G$117,0)))*conv_2026*Q$7)</f>
        <v>2149870.1144336476</v>
      </c>
      <c r="R32" s="31">
        <f>IF($B32=0,0, (INDEX(Option2!R$106:R$117, MATCH($D32, Option2!$G$106:$G$117,0)))*conv_2026*R$7)</f>
        <v>2149870.1144336476</v>
      </c>
      <c r="S32" s="31">
        <f>IF($B32=0,0, (INDEX(Option2!S$106:S$117, MATCH($D32, Option2!$G$106:$G$117,0)))*conv_2026*S$7)</f>
        <v>2149870.1144336476</v>
      </c>
      <c r="T32" s="31">
        <f>IF($B32=0,0, (INDEX(Option2!T$106:T$117, MATCH($D32, Option2!$G$106:$G$117,0)))*conv_2026*T$7)</f>
        <v>2149870.1144336476</v>
      </c>
      <c r="U32" s="31">
        <f>IF($B32=0,0, (INDEX(Option2!U$106:U$117, MATCH($D32, Option2!$G$106:$G$117,0)))*conv_2026*U$7)</f>
        <v>2149870.1144336476</v>
      </c>
      <c r="V32" s="31">
        <f>IF($B32=0,0, (INDEX(Option2!V$106:V$117, MATCH($D32, Option2!$G$106:$G$117,0)))*conv_2026*V$7)</f>
        <v>2149870.1144336476</v>
      </c>
      <c r="W32" s="31">
        <f>IF($B32=0,0, (INDEX(Option2!W$106:W$117, MATCH($D32, Option2!$G$106:$G$117,0)))*conv_2026*W$7)</f>
        <v>2149870.1144336476</v>
      </c>
      <c r="X32" s="31">
        <f>IF($B32=0,0, (INDEX(Option2!X$106:X$117, MATCH($D32, Option2!$G$106:$G$117,0)))*conv_2026*X$7)</f>
        <v>2149870.1144336476</v>
      </c>
      <c r="Y32" s="31">
        <f>IF($B32=0,0, (INDEX(Option2!Y$106:Y$117, MATCH($D32, Option2!$G$106:$G$117,0)))*conv_2026*Y$7)</f>
        <v>2149870.1144336476</v>
      </c>
      <c r="Z32" s="31">
        <f>IF($B32=0,0, (INDEX(Option2!Z$106:Z$117, MATCH($D32, Option2!$G$106:$G$117,0)))*conv_2026*Z$7)</f>
        <v>2149870.1144336476</v>
      </c>
      <c r="AA32" s="31">
        <f>IF($B32=0,0, (INDEX(Option2!AA$106:AA$117, MATCH($D32, Option2!$G$106:$G$117,0)))*conv_2026*AA$7)</f>
        <v>2149870.1144336476</v>
      </c>
      <c r="AB32" s="31">
        <f>IF($B32=0,0, (INDEX(Option2!AB$106:AB$117, MATCH($D32, Option2!$G$106:$G$117,0)))*conv_2026*AB$7)</f>
        <v>2149870.1144336476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ht="13.8" x14ac:dyDescent="0.3">
      <c r="A33" s="253" t="s">
        <v>129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25038727.872441076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1955034.1141727262</v>
      </c>
      <c r="J33" s="31">
        <f>IF($B33=0,0, (INDEX(Option2!J$106:J$117, MATCH($D33, Option2!$G$106:$G$117,0)))*conv_2026*J$7)</f>
        <v>1715418.0890619305</v>
      </c>
      <c r="K33" s="31">
        <f>IF($B33=0,0, (INDEX(Option2!K$106:K$117, MATCH($D33, Option2!$G$106:$G$117,0)))*conv_2026*K$7)</f>
        <v>1715418.0890619305</v>
      </c>
      <c r="L33" s="31">
        <f>IF($B33=0,0, (INDEX(Option2!L$106:L$117, MATCH($D33, Option2!$G$106:$G$117,0)))*conv_2026*L$7)</f>
        <v>1715418.0890619305</v>
      </c>
      <c r="M33" s="31">
        <f>IF($B33=0,0, (INDEX(Option2!M$106:M$117, MATCH($D33, Option2!$G$106:$G$117,0)))*conv_2026*M$7)</f>
        <v>1715418.0890619305</v>
      </c>
      <c r="N33" s="31">
        <f>IF($B33=0,0, (INDEX(Option2!N$106:N$117, MATCH($D33, Option2!$G$106:$G$117,0)))*conv_2026*N$7)</f>
        <v>1715418.0890619305</v>
      </c>
      <c r="O33" s="31">
        <f>IF($B33=0,0, (INDEX(Option2!O$106:O$117, MATCH($D33, Option2!$G$106:$G$117,0)))*conv_2026*O$7)</f>
        <v>1715418.0890619305</v>
      </c>
      <c r="P33" s="31">
        <f>IF($B33=0,0, (INDEX(Option2!P$106:P$117, MATCH($D33, Option2!$G$106:$G$117,0)))*conv_2026*P$7)</f>
        <v>1715418.0890619305</v>
      </c>
      <c r="Q33" s="31">
        <f>IF($B33=0,0, (INDEX(Option2!Q$106:Q$117, MATCH($D33, Option2!$G$106:$G$117,0)))*conv_2026*Q$7)</f>
        <v>1715418.0890619305</v>
      </c>
      <c r="R33" s="31">
        <f>IF($B33=0,0, (INDEX(Option2!R$106:R$117, MATCH($D33, Option2!$G$106:$G$117,0)))*conv_2026*R$7)</f>
        <v>1715418.0890619305</v>
      </c>
      <c r="S33" s="31">
        <f>IF($B33=0,0, (INDEX(Option2!S$106:S$117, MATCH($D33, Option2!$G$106:$G$117,0)))*conv_2026*S$7)</f>
        <v>1715418.0890619305</v>
      </c>
      <c r="T33" s="31">
        <f>IF($B33=0,0, (INDEX(Option2!T$106:T$117, MATCH($D33, Option2!$G$106:$G$117,0)))*conv_2026*T$7)</f>
        <v>1715418.0890619305</v>
      </c>
      <c r="U33" s="31">
        <f>IF($B33=0,0, (INDEX(Option2!U$106:U$117, MATCH($D33, Option2!$G$106:$G$117,0)))*conv_2026*U$7)</f>
        <v>1715418.0890619305</v>
      </c>
      <c r="V33" s="31">
        <f>IF($B33=0,0, (INDEX(Option2!V$106:V$117, MATCH($D33, Option2!$G$106:$G$117,0)))*conv_2026*V$7)</f>
        <v>1715418.0890619305</v>
      </c>
      <c r="W33" s="31">
        <f>IF($B33=0,0, (INDEX(Option2!W$106:W$117, MATCH($D33, Option2!$G$106:$G$117,0)))*conv_2026*W$7)</f>
        <v>1715418.0890619305</v>
      </c>
      <c r="X33" s="31">
        <f>IF($B33=0,0, (INDEX(Option2!X$106:X$117, MATCH($D33, Option2!$G$106:$G$117,0)))*conv_2026*X$7)</f>
        <v>1715418.0890619305</v>
      </c>
      <c r="Y33" s="31">
        <f>IF($B33=0,0, (INDEX(Option2!Y$106:Y$117, MATCH($D33, Option2!$G$106:$G$117,0)))*conv_2026*Y$7)</f>
        <v>1715418.0890619305</v>
      </c>
      <c r="Z33" s="31">
        <f>IF($B33=0,0, (INDEX(Option2!Z$106:Z$117, MATCH($D33, Option2!$G$106:$G$117,0)))*conv_2026*Z$7)</f>
        <v>1715418.0890619305</v>
      </c>
      <c r="AA33" s="31">
        <f>IF($B33=0,0, (INDEX(Option2!AA$106:AA$117, MATCH($D33, Option2!$G$106:$G$117,0)))*conv_2026*AA$7)</f>
        <v>1715418.0890619305</v>
      </c>
      <c r="AB33" s="31">
        <f>IF($B33=0,0, (INDEX(Option2!AB$106:AB$117, MATCH($D33, Option2!$G$106:$G$117,0)))*conv_2026*AB$7)</f>
        <v>1715418.0890619305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ht="13.8" x14ac:dyDescent="0.3">
      <c r="A34" s="253" t="s">
        <v>129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24715820.478760239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1955034.1141727262</v>
      </c>
      <c r="J34" s="31">
        <f>IF($B34=0,0, (INDEX(Option2!J$106:J$117, MATCH($D34, Option2!$G$106:$G$117,0)))*conv_2026*J$7)</f>
        <v>1691456.4865508513</v>
      </c>
      <c r="K34" s="31">
        <f>IF($B34=0,0, (INDEX(Option2!K$106:K$117, MATCH($D34, Option2!$G$106:$G$117,0)))*conv_2026*K$7)</f>
        <v>1691456.4865508513</v>
      </c>
      <c r="L34" s="31">
        <f>IF($B34=0,0, (INDEX(Option2!L$106:L$117, MATCH($D34, Option2!$G$106:$G$117,0)))*conv_2026*L$7)</f>
        <v>1691456.4865508513</v>
      </c>
      <c r="M34" s="31">
        <f>IF($B34=0,0, (INDEX(Option2!M$106:M$117, MATCH($D34, Option2!$G$106:$G$117,0)))*conv_2026*M$7)</f>
        <v>1691456.4865508513</v>
      </c>
      <c r="N34" s="31">
        <f>IF($B34=0,0, (INDEX(Option2!N$106:N$117, MATCH($D34, Option2!$G$106:$G$117,0)))*conv_2026*N$7)</f>
        <v>1691456.4865508513</v>
      </c>
      <c r="O34" s="31">
        <f>IF($B34=0,0, (INDEX(Option2!O$106:O$117, MATCH($D34, Option2!$G$106:$G$117,0)))*conv_2026*O$7)</f>
        <v>1691456.4865508513</v>
      </c>
      <c r="P34" s="31">
        <f>IF($B34=0,0, (INDEX(Option2!P$106:P$117, MATCH($D34, Option2!$G$106:$G$117,0)))*conv_2026*P$7)</f>
        <v>1691456.4865508513</v>
      </c>
      <c r="Q34" s="31">
        <f>IF($B34=0,0, (INDEX(Option2!Q$106:Q$117, MATCH($D34, Option2!$G$106:$G$117,0)))*conv_2026*Q$7)</f>
        <v>1691456.4865508513</v>
      </c>
      <c r="R34" s="31">
        <f>IF($B34=0,0, (INDEX(Option2!R$106:R$117, MATCH($D34, Option2!$G$106:$G$117,0)))*conv_2026*R$7)</f>
        <v>1691456.4865508513</v>
      </c>
      <c r="S34" s="31">
        <f>IF($B34=0,0, (INDEX(Option2!S$106:S$117, MATCH($D34, Option2!$G$106:$G$117,0)))*conv_2026*S$7)</f>
        <v>1691456.4865508513</v>
      </c>
      <c r="T34" s="31">
        <f>IF($B34=0,0, (INDEX(Option2!T$106:T$117, MATCH($D34, Option2!$G$106:$G$117,0)))*conv_2026*T$7)</f>
        <v>1691456.4865508513</v>
      </c>
      <c r="U34" s="31">
        <f>IF($B34=0,0, (INDEX(Option2!U$106:U$117, MATCH($D34, Option2!$G$106:$G$117,0)))*conv_2026*U$7)</f>
        <v>1691456.4865508513</v>
      </c>
      <c r="V34" s="31">
        <f>IF($B34=0,0, (INDEX(Option2!V$106:V$117, MATCH($D34, Option2!$G$106:$G$117,0)))*conv_2026*V$7)</f>
        <v>1691456.4865508513</v>
      </c>
      <c r="W34" s="31">
        <f>IF($B34=0,0, (INDEX(Option2!W$106:W$117, MATCH($D34, Option2!$G$106:$G$117,0)))*conv_2026*W$7)</f>
        <v>1691456.4865508513</v>
      </c>
      <c r="X34" s="31">
        <f>IF($B34=0,0, (INDEX(Option2!X$106:X$117, MATCH($D34, Option2!$G$106:$G$117,0)))*conv_2026*X$7)</f>
        <v>1691456.4865508513</v>
      </c>
      <c r="Y34" s="31">
        <f>IF($B34=0,0, (INDEX(Option2!Y$106:Y$117, MATCH($D34, Option2!$G$106:$G$117,0)))*conv_2026*Y$7)</f>
        <v>1691456.4865508513</v>
      </c>
      <c r="Z34" s="31">
        <f>IF($B34=0,0, (INDEX(Option2!Z$106:Z$117, MATCH($D34, Option2!$G$106:$G$117,0)))*conv_2026*Z$7)</f>
        <v>1691456.4865508513</v>
      </c>
      <c r="AA34" s="31">
        <f>IF($B34=0,0, (INDEX(Option2!AA$106:AA$117, MATCH($D34, Option2!$G$106:$G$117,0)))*conv_2026*AA$7)</f>
        <v>1691456.4865508513</v>
      </c>
      <c r="AB34" s="31">
        <f>IF($B34=0,0, (INDEX(Option2!AB$106:AB$117, MATCH($D34, Option2!$G$106:$G$117,0)))*conv_2026*AB$7)</f>
        <v>1691456.4865508513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ht="13.8" x14ac:dyDescent="0.3">
      <c r="A35" s="253" t="s">
        <v>129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28179594.740135457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2172260.1268585846</v>
      </c>
      <c r="J35" s="31">
        <f>IF($B35=0,0, (INDEX(Option2!J$106:J$117, MATCH($D35, Option2!$G$106:$G$117,0)))*conv_2026*J$7)</f>
        <v>1932644.1017477892</v>
      </c>
      <c r="K35" s="31">
        <f>IF($B35=0,0, (INDEX(Option2!K$106:K$117, MATCH($D35, Option2!$G$106:$G$117,0)))*conv_2026*K$7)</f>
        <v>1932644.1017477892</v>
      </c>
      <c r="L35" s="31">
        <f>IF($B35=0,0, (INDEX(Option2!L$106:L$117, MATCH($D35, Option2!$G$106:$G$117,0)))*conv_2026*L$7)</f>
        <v>1932644.1017477892</v>
      </c>
      <c r="M35" s="31">
        <f>IF($B35=0,0, (INDEX(Option2!M$106:M$117, MATCH($D35, Option2!$G$106:$G$117,0)))*conv_2026*M$7)</f>
        <v>1932644.1017477892</v>
      </c>
      <c r="N35" s="31">
        <f>IF($B35=0,0, (INDEX(Option2!N$106:N$117, MATCH($D35, Option2!$G$106:$G$117,0)))*conv_2026*N$7)</f>
        <v>1932644.1017477892</v>
      </c>
      <c r="O35" s="31">
        <f>IF($B35=0,0, (INDEX(Option2!O$106:O$117, MATCH($D35, Option2!$G$106:$G$117,0)))*conv_2026*O$7)</f>
        <v>1932644.1017477892</v>
      </c>
      <c r="P35" s="31">
        <f>IF($B35=0,0, (INDEX(Option2!P$106:P$117, MATCH($D35, Option2!$G$106:$G$117,0)))*conv_2026*P$7)</f>
        <v>1932644.1017477892</v>
      </c>
      <c r="Q35" s="31">
        <f>IF($B35=0,0, (INDEX(Option2!Q$106:Q$117, MATCH($D35, Option2!$G$106:$G$117,0)))*conv_2026*Q$7)</f>
        <v>1932644.1017477892</v>
      </c>
      <c r="R35" s="31">
        <f>IF($B35=0,0, (INDEX(Option2!R$106:R$117, MATCH($D35, Option2!$G$106:$G$117,0)))*conv_2026*R$7)</f>
        <v>1932644.1017477892</v>
      </c>
      <c r="S35" s="31">
        <f>IF($B35=0,0, (INDEX(Option2!S$106:S$117, MATCH($D35, Option2!$G$106:$G$117,0)))*conv_2026*S$7)</f>
        <v>1932644.1017477892</v>
      </c>
      <c r="T35" s="31">
        <f>IF($B35=0,0, (INDEX(Option2!T$106:T$117, MATCH($D35, Option2!$G$106:$G$117,0)))*conv_2026*T$7)</f>
        <v>1932644.1017477892</v>
      </c>
      <c r="U35" s="31">
        <f>IF($B35=0,0, (INDEX(Option2!U$106:U$117, MATCH($D35, Option2!$G$106:$G$117,0)))*conv_2026*U$7)</f>
        <v>1932644.1017477892</v>
      </c>
      <c r="V35" s="31">
        <f>IF($B35=0,0, (INDEX(Option2!V$106:V$117, MATCH($D35, Option2!$G$106:$G$117,0)))*conv_2026*V$7)</f>
        <v>1932644.1017477892</v>
      </c>
      <c r="W35" s="31">
        <f>IF($B35=0,0, (INDEX(Option2!W$106:W$117, MATCH($D35, Option2!$G$106:$G$117,0)))*conv_2026*W$7)</f>
        <v>1932644.1017477892</v>
      </c>
      <c r="X35" s="31">
        <f>IF($B35=0,0, (INDEX(Option2!X$106:X$117, MATCH($D35, Option2!$G$106:$G$117,0)))*conv_2026*X$7)</f>
        <v>1932644.1017477892</v>
      </c>
      <c r="Y35" s="31">
        <f>IF($B35=0,0, (INDEX(Option2!Y$106:Y$117, MATCH($D35, Option2!$G$106:$G$117,0)))*conv_2026*Y$7)</f>
        <v>1932644.1017477892</v>
      </c>
      <c r="Z35" s="31">
        <f>IF($B35=0,0, (INDEX(Option2!Z$106:Z$117, MATCH($D35, Option2!$G$106:$G$117,0)))*conv_2026*Z$7)</f>
        <v>1932644.1017477892</v>
      </c>
      <c r="AA35" s="31">
        <f>IF($B35=0,0, (INDEX(Option2!AA$106:AA$117, MATCH($D35, Option2!$G$106:$G$117,0)))*conv_2026*AA$7)</f>
        <v>1932644.1017477892</v>
      </c>
      <c r="AB35" s="31">
        <f>IF($B35=0,0, (INDEX(Option2!AB$106:AB$117, MATCH($D35, Option2!$G$106:$G$117,0)))*conv_2026*AB$7)</f>
        <v>1932644.1017477892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ht="13.8" x14ac:dyDescent="0.3">
      <c r="A36" s="253" t="s">
        <v>129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28179594.740135457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2172260.1268585846</v>
      </c>
      <c r="J36" s="31">
        <f>IF($B36=0,0, (INDEX(Option2!J$106:J$117, MATCH($D36, Option2!$G$106:$G$117,0)))*conv_2026*J$7)</f>
        <v>1932644.1017477892</v>
      </c>
      <c r="K36" s="31">
        <f>IF($B36=0,0, (INDEX(Option2!K$106:K$117, MATCH($D36, Option2!$G$106:$G$117,0)))*conv_2026*K$7)</f>
        <v>1932644.1017477892</v>
      </c>
      <c r="L36" s="31">
        <f>IF($B36=0,0, (INDEX(Option2!L$106:L$117, MATCH($D36, Option2!$G$106:$G$117,0)))*conv_2026*L$7)</f>
        <v>1932644.1017477892</v>
      </c>
      <c r="M36" s="31">
        <f>IF($B36=0,0, (INDEX(Option2!M$106:M$117, MATCH($D36, Option2!$G$106:$G$117,0)))*conv_2026*M$7)</f>
        <v>1932644.1017477892</v>
      </c>
      <c r="N36" s="31">
        <f>IF($B36=0,0, (INDEX(Option2!N$106:N$117, MATCH($D36, Option2!$G$106:$G$117,0)))*conv_2026*N$7)</f>
        <v>1932644.1017477892</v>
      </c>
      <c r="O36" s="31">
        <f>IF($B36=0,0, (INDEX(Option2!O$106:O$117, MATCH($D36, Option2!$G$106:$G$117,0)))*conv_2026*O$7)</f>
        <v>1932644.1017477892</v>
      </c>
      <c r="P36" s="31">
        <f>IF($B36=0,0, (INDEX(Option2!P$106:P$117, MATCH($D36, Option2!$G$106:$G$117,0)))*conv_2026*P$7)</f>
        <v>1932644.1017477892</v>
      </c>
      <c r="Q36" s="31">
        <f>IF($B36=0,0, (INDEX(Option2!Q$106:Q$117, MATCH($D36, Option2!$G$106:$G$117,0)))*conv_2026*Q$7)</f>
        <v>1932644.1017477892</v>
      </c>
      <c r="R36" s="31">
        <f>IF($B36=0,0, (INDEX(Option2!R$106:R$117, MATCH($D36, Option2!$G$106:$G$117,0)))*conv_2026*R$7)</f>
        <v>1932644.1017477892</v>
      </c>
      <c r="S36" s="31">
        <f>IF($B36=0,0, (INDEX(Option2!S$106:S$117, MATCH($D36, Option2!$G$106:$G$117,0)))*conv_2026*S$7)</f>
        <v>1932644.1017477892</v>
      </c>
      <c r="T36" s="31">
        <f>IF($B36=0,0, (INDEX(Option2!T$106:T$117, MATCH($D36, Option2!$G$106:$G$117,0)))*conv_2026*T$7)</f>
        <v>1932644.1017477892</v>
      </c>
      <c r="U36" s="31">
        <f>IF($B36=0,0, (INDEX(Option2!U$106:U$117, MATCH($D36, Option2!$G$106:$G$117,0)))*conv_2026*U$7)</f>
        <v>1932644.1017477892</v>
      </c>
      <c r="V36" s="31">
        <f>IF($B36=0,0, (INDEX(Option2!V$106:V$117, MATCH($D36, Option2!$G$106:$G$117,0)))*conv_2026*V$7)</f>
        <v>1932644.1017477892</v>
      </c>
      <c r="W36" s="31">
        <f>IF($B36=0,0, (INDEX(Option2!W$106:W$117, MATCH($D36, Option2!$G$106:$G$117,0)))*conv_2026*W$7)</f>
        <v>1932644.1017477892</v>
      </c>
      <c r="X36" s="31">
        <f>IF($B36=0,0, (INDEX(Option2!X$106:X$117, MATCH($D36, Option2!$G$106:$G$117,0)))*conv_2026*X$7)</f>
        <v>1932644.1017477892</v>
      </c>
      <c r="Y36" s="31">
        <f>IF($B36=0,0, (INDEX(Option2!Y$106:Y$117, MATCH($D36, Option2!$G$106:$G$117,0)))*conv_2026*Y$7)</f>
        <v>1932644.1017477892</v>
      </c>
      <c r="Z36" s="31">
        <f>IF($B36=0,0, (INDEX(Option2!Z$106:Z$117, MATCH($D36, Option2!$G$106:$G$117,0)))*conv_2026*Z$7)</f>
        <v>1932644.1017477892</v>
      </c>
      <c r="AA36" s="31">
        <f>IF($B36=0,0, (INDEX(Option2!AA$106:AA$117, MATCH($D36, Option2!$G$106:$G$117,0)))*conv_2026*AA$7)</f>
        <v>1932644.1017477892</v>
      </c>
      <c r="AB36" s="31">
        <f>IF($B36=0,0, (INDEX(Option2!AB$106:AB$117, MATCH($D36, Option2!$G$106:$G$117,0)))*conv_2026*AB$7)</f>
        <v>1932644.1017477892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ht="13.8" x14ac:dyDescent="0.3">
      <c r="A37" s="253" t="s">
        <v>129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28179594.740135457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2172260.1268585846</v>
      </c>
      <c r="J37" s="31">
        <f>IF($B37=0,0, (INDEX(Option2!J$106:J$117, MATCH($D37, Option2!$G$106:$G$117,0)))*conv_2026*J$7)</f>
        <v>1932644.1017477892</v>
      </c>
      <c r="K37" s="31">
        <f>IF($B37=0,0, (INDEX(Option2!K$106:K$117, MATCH($D37, Option2!$G$106:$G$117,0)))*conv_2026*K$7)</f>
        <v>1932644.1017477892</v>
      </c>
      <c r="L37" s="31">
        <f>IF($B37=0,0, (INDEX(Option2!L$106:L$117, MATCH($D37, Option2!$G$106:$G$117,0)))*conv_2026*L$7)</f>
        <v>1932644.1017477892</v>
      </c>
      <c r="M37" s="31">
        <f>IF($B37=0,0, (INDEX(Option2!M$106:M$117, MATCH($D37, Option2!$G$106:$G$117,0)))*conv_2026*M$7)</f>
        <v>1932644.1017477892</v>
      </c>
      <c r="N37" s="31">
        <f>IF($B37=0,0, (INDEX(Option2!N$106:N$117, MATCH($D37, Option2!$G$106:$G$117,0)))*conv_2026*N$7)</f>
        <v>1932644.1017477892</v>
      </c>
      <c r="O37" s="31">
        <f>IF($B37=0,0, (INDEX(Option2!O$106:O$117, MATCH($D37, Option2!$G$106:$G$117,0)))*conv_2026*O$7)</f>
        <v>1932644.1017477892</v>
      </c>
      <c r="P37" s="31">
        <f>IF($B37=0,0, (INDEX(Option2!P$106:P$117, MATCH($D37, Option2!$G$106:$G$117,0)))*conv_2026*P$7)</f>
        <v>1932644.1017477892</v>
      </c>
      <c r="Q37" s="31">
        <f>IF($B37=0,0, (INDEX(Option2!Q$106:Q$117, MATCH($D37, Option2!$G$106:$G$117,0)))*conv_2026*Q$7)</f>
        <v>1932644.1017477892</v>
      </c>
      <c r="R37" s="31">
        <f>IF($B37=0,0, (INDEX(Option2!R$106:R$117, MATCH($D37, Option2!$G$106:$G$117,0)))*conv_2026*R$7)</f>
        <v>1932644.1017477892</v>
      </c>
      <c r="S37" s="31">
        <f>IF($B37=0,0, (INDEX(Option2!S$106:S$117, MATCH($D37, Option2!$G$106:$G$117,0)))*conv_2026*S$7)</f>
        <v>1932644.1017477892</v>
      </c>
      <c r="T37" s="31">
        <f>IF($B37=0,0, (INDEX(Option2!T$106:T$117, MATCH($D37, Option2!$G$106:$G$117,0)))*conv_2026*T$7)</f>
        <v>1932644.1017477892</v>
      </c>
      <c r="U37" s="31">
        <f>IF($B37=0,0, (INDEX(Option2!U$106:U$117, MATCH($D37, Option2!$G$106:$G$117,0)))*conv_2026*U$7)</f>
        <v>1932644.1017477892</v>
      </c>
      <c r="V37" s="31">
        <f>IF($B37=0,0, (INDEX(Option2!V$106:V$117, MATCH($D37, Option2!$G$106:$G$117,0)))*conv_2026*V$7)</f>
        <v>1932644.1017477892</v>
      </c>
      <c r="W37" s="31">
        <f>IF($B37=0,0, (INDEX(Option2!W$106:W$117, MATCH($D37, Option2!$G$106:$G$117,0)))*conv_2026*W$7)</f>
        <v>1932644.1017477892</v>
      </c>
      <c r="X37" s="31">
        <f>IF($B37=0,0, (INDEX(Option2!X$106:X$117, MATCH($D37, Option2!$G$106:$G$117,0)))*conv_2026*X$7)</f>
        <v>1932644.1017477892</v>
      </c>
      <c r="Y37" s="31">
        <f>IF($B37=0,0, (INDEX(Option2!Y$106:Y$117, MATCH($D37, Option2!$G$106:$G$117,0)))*conv_2026*Y$7)</f>
        <v>1932644.1017477892</v>
      </c>
      <c r="Z37" s="31">
        <f>IF($B37=0,0, (INDEX(Option2!Z$106:Z$117, MATCH($D37, Option2!$G$106:$G$117,0)))*conv_2026*Z$7)</f>
        <v>1932644.1017477892</v>
      </c>
      <c r="AA37" s="31">
        <f>IF($B37=0,0, (INDEX(Option2!AA$106:AA$117, MATCH($D37, Option2!$G$106:$G$117,0)))*conv_2026*AA$7)</f>
        <v>1932644.1017477892</v>
      </c>
      <c r="AB37" s="31">
        <f>IF($B37=0,0, (INDEX(Option2!AB$106:AB$117, MATCH($D37, Option2!$G$106:$G$117,0)))*conv_2026*AB$7)</f>
        <v>1932644.1017477892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ht="13.8" x14ac:dyDescent="0.3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ht="13.8" x14ac:dyDescent="0.3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ht="13.8" x14ac:dyDescent="0.3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428332.98276084778</v>
      </c>
      <c r="J40" s="31">
        <f>Consol!J50</f>
        <v>809417.73521815846</v>
      </c>
      <c r="K40" s="31">
        <f>Consol!K50</f>
        <v>1190502.4876754689</v>
      </c>
      <c r="L40" s="31">
        <f>Consol!L50</f>
        <v>1571587.2401327791</v>
      </c>
      <c r="M40" s="31">
        <f>Consol!M50</f>
        <v>1952671.99259009</v>
      </c>
      <c r="N40" s="31">
        <f>Consol!N50</f>
        <v>1936018.9753408988</v>
      </c>
      <c r="O40" s="31">
        <f>Consol!O50</f>
        <v>1932644.101747789</v>
      </c>
      <c r="P40" s="31">
        <f>Consol!P50</f>
        <v>1932644.101747789</v>
      </c>
      <c r="Q40" s="31">
        <f>Consol!Q50</f>
        <v>1932644.101747789</v>
      </c>
      <c r="R40" s="31">
        <f>Consol!R50</f>
        <v>1932644.101747789</v>
      </c>
      <c r="S40" s="31">
        <f>Consol!S50</f>
        <v>1932644.101747789</v>
      </c>
      <c r="T40" s="31">
        <f>Consol!T50</f>
        <v>1932644.101747789</v>
      </c>
      <c r="U40" s="31">
        <f>Consol!U50</f>
        <v>1932644.101747789</v>
      </c>
      <c r="V40" s="31">
        <f>Consol!V50</f>
        <v>1932644.101747789</v>
      </c>
      <c r="W40" s="31">
        <f>Consol!W50</f>
        <v>1932644.101747789</v>
      </c>
      <c r="X40" s="31">
        <f>Consol!X50</f>
        <v>1932644.101747789</v>
      </c>
      <c r="Y40" s="31">
        <f>Consol!Y50</f>
        <v>1932644.101747789</v>
      </c>
      <c r="Z40" s="31">
        <f>Consol!Z50</f>
        <v>1932644.101747789</v>
      </c>
      <c r="AA40" s="31">
        <f>Consol!AA50</f>
        <v>1932644.101747789</v>
      </c>
      <c r="AB40" s="31">
        <f>Consol!AB50</f>
        <v>1932644.101747789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.8" x14ac:dyDescent="0.3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ht="13.8" x14ac:dyDescent="0.3">
      <c r="A42" s="253" t="s">
        <v>130</v>
      </c>
      <c r="B42" s="253" t="s">
        <v>117</v>
      </c>
      <c r="C42" s="253" t="s">
        <v>182</v>
      </c>
      <c r="D42" s="253" t="str">
        <f>A42&amp;B42</f>
        <v>Option 3NPV</v>
      </c>
      <c r="E42" s="254"/>
      <c r="F42" s="31">
        <f t="shared" ref="F42:F51" si="4">SUMPRODUCT($H42:$AG42, $H$5:$AG$5)</f>
        <v>24417539.460605081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428332.98276084778</v>
      </c>
      <c r="J42" s="31">
        <f>(INDEX(Option3!J$106:J$117, MATCH($D42, Option3!$G$106:$G$117,0)))*conv_2026*J$7</f>
        <v>809417.73521815846</v>
      </c>
      <c r="K42" s="31">
        <f>(INDEX(Option3!K$106:K$117, MATCH($D42, Option3!$G$106:$G$117,0)))*conv_2026*K$7</f>
        <v>1190502.4876754689</v>
      </c>
      <c r="L42" s="31">
        <f>(INDEX(Option3!L$106:L$117, MATCH($D42, Option3!$G$106:$G$117,0)))*conv_2026*L$7</f>
        <v>1571587.2401327791</v>
      </c>
      <c r="M42" s="31">
        <f>(INDEX(Option3!M$106:M$117, MATCH($D42, Option3!$G$106:$G$117,0)))*conv_2026*M$7</f>
        <v>1952671.9925900898</v>
      </c>
      <c r="N42" s="31">
        <f>(INDEX(Option3!N$106:N$117, MATCH($D42, Option3!$G$106:$G$117,0)))*conv_2026*N$7</f>
        <v>1936018.9753408991</v>
      </c>
      <c r="O42" s="31">
        <f>(INDEX(Option3!O$106:O$117, MATCH($D42, Option3!$G$106:$G$117,0)))*conv_2026*O$7</f>
        <v>1932644.1017477892</v>
      </c>
      <c r="P42" s="31">
        <f>(INDEX(Option3!P$106:P$117, MATCH($D42, Option3!$G$106:$G$117,0)))*conv_2026*P$7</f>
        <v>1932644.1017477892</v>
      </c>
      <c r="Q42" s="31">
        <f>(INDEX(Option3!Q$106:Q$117, MATCH($D42, Option3!$G$106:$G$117,0)))*conv_2026*Q$7</f>
        <v>1932644.1017477892</v>
      </c>
      <c r="R42" s="31">
        <f>(INDEX(Option3!R$106:R$117, MATCH($D42, Option3!$G$106:$G$117,0)))*conv_2026*R$7</f>
        <v>1932644.1017477892</v>
      </c>
      <c r="S42" s="31">
        <f>(INDEX(Option3!S$106:S$117, MATCH($D42, Option3!$G$106:$G$117,0)))*conv_2026*S$7</f>
        <v>1932644.1017477892</v>
      </c>
      <c r="T42" s="31">
        <f>(INDEX(Option3!T$106:T$117, MATCH($D42, Option3!$G$106:$G$117,0)))*conv_2026*T$7</f>
        <v>1932644.1017477892</v>
      </c>
      <c r="U42" s="31">
        <f>(INDEX(Option3!U$106:U$117, MATCH($D42, Option3!$G$106:$G$117,0)))*conv_2026*U$7</f>
        <v>1932644.1017477892</v>
      </c>
      <c r="V42" s="31">
        <f>(INDEX(Option3!V$106:V$117, MATCH($D42, Option3!$G$106:$G$117,0)))*conv_2026*V$7</f>
        <v>1932644.1017477892</v>
      </c>
      <c r="W42" s="31">
        <f>(INDEX(Option3!W$106:W$117, MATCH($D42, Option3!$G$106:$G$117,0)))*conv_2026*W$7</f>
        <v>1932644.1017477892</v>
      </c>
      <c r="X42" s="31">
        <f>(INDEX(Option3!X$106:X$117, MATCH($D42, Option3!$G$106:$G$117,0)))*conv_2026*X$7</f>
        <v>1932644.1017477892</v>
      </c>
      <c r="Y42" s="31">
        <f>(INDEX(Option3!Y$106:Y$117, MATCH($D42, Option3!$G$106:$G$117,0)))*conv_2026*Y$7</f>
        <v>1932644.1017477892</v>
      </c>
      <c r="Z42" s="31">
        <f>(INDEX(Option3!Z$106:Z$117, MATCH($D42, Option3!$G$106:$G$117,0)))*conv_2026*Z$7</f>
        <v>1932644.1017477892</v>
      </c>
      <c r="AA42" s="31">
        <f>(INDEX(Option3!AA$106:AA$117, MATCH($D42, Option3!$G$106:$G$117,0)))*conv_2026*AA$7</f>
        <v>1932644.1017477892</v>
      </c>
      <c r="AB42" s="31">
        <f>(INDEX(Option3!AB$106:AB$117, MATCH($D42, Option3!$G$106:$G$117,0)))*conv_2026*AB$7</f>
        <v>1932644.1017477892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ht="13.8" x14ac:dyDescent="0.3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ht="13.8" x14ac:dyDescent="0.3">
      <c r="A44" s="253" t="s">
        <v>130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24139509.886250518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428332.98276084778</v>
      </c>
      <c r="J44" s="31">
        <f>(INDEX(Option3!J$106:J$117, MATCH($D44, Option3!$G$106:$G$117,0)))*conv_2026*J$7</f>
        <v>804692.91218780482</v>
      </c>
      <c r="K44" s="31">
        <f>(INDEX(Option3!K$106:K$117, MATCH($D44, Option3!$G$106:$G$117,0)))*conv_2026*K$7</f>
        <v>1181052.8416147616</v>
      </c>
      <c r="L44" s="31">
        <f>(INDEX(Option3!L$106:L$117, MATCH($D44, Option3!$G$106:$G$117,0)))*conv_2026*L$7</f>
        <v>1557412.7710417181</v>
      </c>
      <c r="M44" s="31">
        <f>(INDEX(Option3!M$106:M$117, MATCH($D44, Option3!$G$106:$G$117,0)))*conv_2026*M$7</f>
        <v>1933772.700468675</v>
      </c>
      <c r="N44" s="31">
        <f>(INDEX(Option3!N$106:N$117, MATCH($D44, Option3!$G$106:$G$117,0)))*conv_2026*N$7</f>
        <v>1912394.8601891303</v>
      </c>
      <c r="O44" s="31">
        <f>(INDEX(Option3!O$106:O$117, MATCH($D44, Option3!$G$106:$G$117,0)))*conv_2026*O$7</f>
        <v>1908682.4992367094</v>
      </c>
      <c r="P44" s="31">
        <f>(INDEX(Option3!P$106:P$117, MATCH($D44, Option3!$G$106:$G$117,0)))*conv_2026*P$7</f>
        <v>1908682.4992367094</v>
      </c>
      <c r="Q44" s="31">
        <f>(INDEX(Option3!Q$106:Q$117, MATCH($D44, Option3!$G$106:$G$117,0)))*conv_2026*Q$7</f>
        <v>1908682.4992367094</v>
      </c>
      <c r="R44" s="31">
        <f>(INDEX(Option3!R$106:R$117, MATCH($D44, Option3!$G$106:$G$117,0)))*conv_2026*R$7</f>
        <v>1908682.4992367094</v>
      </c>
      <c r="S44" s="31">
        <f>(INDEX(Option3!S$106:S$117, MATCH($D44, Option3!$G$106:$G$117,0)))*conv_2026*S$7</f>
        <v>1908682.4992367094</v>
      </c>
      <c r="T44" s="31">
        <f>(INDEX(Option3!T$106:T$117, MATCH($D44, Option3!$G$106:$G$117,0)))*conv_2026*T$7</f>
        <v>1908682.4992367094</v>
      </c>
      <c r="U44" s="31">
        <f>(INDEX(Option3!U$106:U$117, MATCH($D44, Option3!$G$106:$G$117,0)))*conv_2026*U$7</f>
        <v>1908682.4992367094</v>
      </c>
      <c r="V44" s="31">
        <f>(INDEX(Option3!V$106:V$117, MATCH($D44, Option3!$G$106:$G$117,0)))*conv_2026*V$7</f>
        <v>1908682.4992367094</v>
      </c>
      <c r="W44" s="31">
        <f>(INDEX(Option3!W$106:W$117, MATCH($D44, Option3!$G$106:$G$117,0)))*conv_2026*W$7</f>
        <v>1908682.4992367094</v>
      </c>
      <c r="X44" s="31">
        <f>(INDEX(Option3!X$106:X$117, MATCH($D44, Option3!$G$106:$G$117,0)))*conv_2026*X$7</f>
        <v>1908682.4992367094</v>
      </c>
      <c r="Y44" s="31">
        <f>(INDEX(Option3!Y$106:Y$117, MATCH($D44, Option3!$G$106:$G$117,0)))*conv_2026*Y$7</f>
        <v>1908682.4992367094</v>
      </c>
      <c r="Z44" s="31">
        <f>(INDEX(Option3!Z$106:Z$117, MATCH($D44, Option3!$G$106:$G$117,0)))*conv_2026*Z$7</f>
        <v>1908682.4992367094</v>
      </c>
      <c r="AA44" s="31">
        <f>(INDEX(Option3!AA$106:AA$117, MATCH($D44, Option3!$G$106:$G$117,0)))*conv_2026*AA$7</f>
        <v>1908682.4992367094</v>
      </c>
      <c r="AB44" s="31">
        <f>(INDEX(Option3!AB$106:AB$117, MATCH($D44, Option3!$G$106:$G$117,0)))*conv_2026*AB$7</f>
        <v>1908682.4992367094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ht="13.8" x14ac:dyDescent="0.3">
      <c r="A45" s="253" t="s">
        <v>130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24695569.034959652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428332.98276084778</v>
      </c>
      <c r="J45" s="31">
        <f>(INDEX(Option3!J$106:J$117, MATCH($D45, Option3!$G$106:$G$117,0)))*conv_2026*J$7</f>
        <v>814142.55824851221</v>
      </c>
      <c r="K45" s="31">
        <f>(INDEX(Option3!K$106:K$117, MATCH($D45, Option3!$G$106:$G$117,0)))*conv_2026*K$7</f>
        <v>1199952.1337361762</v>
      </c>
      <c r="L45" s="31">
        <f>(INDEX(Option3!L$106:L$117, MATCH($D45, Option3!$G$106:$G$117,0)))*conv_2026*L$7</f>
        <v>1585761.7092238402</v>
      </c>
      <c r="M45" s="31">
        <f>(INDEX(Option3!M$106:M$117, MATCH($D45, Option3!$G$106:$G$117,0)))*conv_2026*M$7</f>
        <v>1971571.2847115048</v>
      </c>
      <c r="N45" s="31">
        <f>(INDEX(Option3!N$106:N$117, MATCH($D45, Option3!$G$106:$G$117,0)))*conv_2026*N$7</f>
        <v>1959643.0904926676</v>
      </c>
      <c r="O45" s="31">
        <f>(INDEX(Option3!O$106:O$117, MATCH($D45, Option3!$G$106:$G$117,0)))*conv_2026*O$7</f>
        <v>1956605.7042588689</v>
      </c>
      <c r="P45" s="31">
        <f>(INDEX(Option3!P$106:P$117, MATCH($D45, Option3!$G$106:$G$117,0)))*conv_2026*P$7</f>
        <v>1956605.7042588689</v>
      </c>
      <c r="Q45" s="31">
        <f>(INDEX(Option3!Q$106:Q$117, MATCH($D45, Option3!$G$106:$G$117,0)))*conv_2026*Q$7</f>
        <v>1956605.7042588689</v>
      </c>
      <c r="R45" s="31">
        <f>(INDEX(Option3!R$106:R$117, MATCH($D45, Option3!$G$106:$G$117,0)))*conv_2026*R$7</f>
        <v>1956605.7042588689</v>
      </c>
      <c r="S45" s="31">
        <f>(INDEX(Option3!S$106:S$117, MATCH($D45, Option3!$G$106:$G$117,0)))*conv_2026*S$7</f>
        <v>1956605.7042588689</v>
      </c>
      <c r="T45" s="31">
        <f>(INDEX(Option3!T$106:T$117, MATCH($D45, Option3!$G$106:$G$117,0)))*conv_2026*T$7</f>
        <v>1956605.7042588689</v>
      </c>
      <c r="U45" s="31">
        <f>(INDEX(Option3!U$106:U$117, MATCH($D45, Option3!$G$106:$G$117,0)))*conv_2026*U$7</f>
        <v>1956605.7042588689</v>
      </c>
      <c r="V45" s="31">
        <f>(INDEX(Option3!V$106:V$117, MATCH($D45, Option3!$G$106:$G$117,0)))*conv_2026*V$7</f>
        <v>1956605.7042588689</v>
      </c>
      <c r="W45" s="31">
        <f>(INDEX(Option3!W$106:W$117, MATCH($D45, Option3!$G$106:$G$117,0)))*conv_2026*W$7</f>
        <v>1956605.7042588689</v>
      </c>
      <c r="X45" s="31">
        <f>(INDEX(Option3!X$106:X$117, MATCH($D45, Option3!$G$106:$G$117,0)))*conv_2026*X$7</f>
        <v>1956605.7042588689</v>
      </c>
      <c r="Y45" s="31">
        <f>(INDEX(Option3!Y$106:Y$117, MATCH($D45, Option3!$G$106:$G$117,0)))*conv_2026*Y$7</f>
        <v>1956605.7042588689</v>
      </c>
      <c r="Z45" s="31">
        <f>(INDEX(Option3!Z$106:Z$117, MATCH($D45, Option3!$G$106:$G$117,0)))*conv_2026*Z$7</f>
        <v>1956605.7042588689</v>
      </c>
      <c r="AA45" s="31">
        <f>(INDEX(Option3!AA$106:AA$117, MATCH($D45, Option3!$G$106:$G$117,0)))*conv_2026*AA$7</f>
        <v>1956605.7042588689</v>
      </c>
      <c r="AB45" s="31">
        <f>(INDEX(Option3!AB$106:AB$117, MATCH($D45, Option3!$G$106:$G$117,0)))*conv_2026*AB$7</f>
        <v>1956605.7042588689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ht="13.8" x14ac:dyDescent="0.3">
      <c r="A46" s="253" t="s">
        <v>130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27137322.98102016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471166.2810369326</v>
      </c>
      <c r="J46" s="31">
        <f>(INDEX(Option3!J$106:J$117, MATCH($D46, Option3!$G$106:$G$117,0)))*conv_2026*J$7</f>
        <v>895084.33177032811</v>
      </c>
      <c r="K46" s="31">
        <f>(INDEX(Option3!K$106:K$117, MATCH($D46, Option3!$G$106:$G$117,0)))*conv_2026*K$7</f>
        <v>1319002.3825037233</v>
      </c>
      <c r="L46" s="31">
        <f>(INDEX(Option3!L$106:L$117, MATCH($D46, Option3!$G$106:$G$117,0)))*conv_2026*L$7</f>
        <v>1742920.4332371182</v>
      </c>
      <c r="M46" s="31">
        <f>(INDEX(Option3!M$106:M$117, MATCH($D46, Option3!$G$106:$G$117,0)))*conv_2026*M$7</f>
        <v>2166838.4839705136</v>
      </c>
      <c r="N46" s="31">
        <f>(INDEX(Option3!N$106:N$117, MATCH($D46, Option3!$G$106:$G$117,0)))*conv_2026*N$7</f>
        <v>2153244.9880267577</v>
      </c>
      <c r="O46" s="31">
        <f>(INDEX(Option3!O$106:O$117, MATCH($D46, Option3!$G$106:$G$117,0)))*conv_2026*O$7</f>
        <v>2149870.1144336476</v>
      </c>
      <c r="P46" s="31">
        <f>(INDEX(Option3!P$106:P$117, MATCH($D46, Option3!$G$106:$G$117,0)))*conv_2026*P$7</f>
        <v>2149870.1144336476</v>
      </c>
      <c r="Q46" s="31">
        <f>(INDEX(Option3!Q$106:Q$117, MATCH($D46, Option3!$G$106:$G$117,0)))*conv_2026*Q$7</f>
        <v>2149870.1144336476</v>
      </c>
      <c r="R46" s="31">
        <f>(INDEX(Option3!R$106:R$117, MATCH($D46, Option3!$G$106:$G$117,0)))*conv_2026*R$7</f>
        <v>2149870.1144336476</v>
      </c>
      <c r="S46" s="31">
        <f>(INDEX(Option3!S$106:S$117, MATCH($D46, Option3!$G$106:$G$117,0)))*conv_2026*S$7</f>
        <v>2149870.1144336476</v>
      </c>
      <c r="T46" s="31">
        <f>(INDEX(Option3!T$106:T$117, MATCH($D46, Option3!$G$106:$G$117,0)))*conv_2026*T$7</f>
        <v>2149870.1144336476</v>
      </c>
      <c r="U46" s="31">
        <f>(INDEX(Option3!U$106:U$117, MATCH($D46, Option3!$G$106:$G$117,0)))*conv_2026*U$7</f>
        <v>2149870.1144336476</v>
      </c>
      <c r="V46" s="31">
        <f>(INDEX(Option3!V$106:V$117, MATCH($D46, Option3!$G$106:$G$117,0)))*conv_2026*V$7</f>
        <v>2149870.1144336476</v>
      </c>
      <c r="W46" s="31">
        <f>(INDEX(Option3!W$106:W$117, MATCH($D46, Option3!$G$106:$G$117,0)))*conv_2026*W$7</f>
        <v>2149870.1144336476</v>
      </c>
      <c r="X46" s="31">
        <f>(INDEX(Option3!X$106:X$117, MATCH($D46, Option3!$G$106:$G$117,0)))*conv_2026*X$7</f>
        <v>2149870.1144336476</v>
      </c>
      <c r="Y46" s="31">
        <f>(INDEX(Option3!Y$106:Y$117, MATCH($D46, Option3!$G$106:$G$117,0)))*conv_2026*Y$7</f>
        <v>2149870.1144336476</v>
      </c>
      <c r="Z46" s="31">
        <f>(INDEX(Option3!Z$106:Z$117, MATCH($D46, Option3!$G$106:$G$117,0)))*conv_2026*Z$7</f>
        <v>2149870.1144336476</v>
      </c>
      <c r="AA46" s="31">
        <f>(INDEX(Option3!AA$106:AA$117, MATCH($D46, Option3!$G$106:$G$117,0)))*conv_2026*AA$7</f>
        <v>2149870.1144336476</v>
      </c>
      <c r="AB46" s="31">
        <f>(INDEX(Option3!AB$106:AB$117, MATCH($D46, Option3!$G$106:$G$117,0)))*conv_2026*AB$7</f>
        <v>2149870.1144336476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ht="13.8" x14ac:dyDescent="0.3">
      <c r="A47" s="253" t="s">
        <v>130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21697755.940190006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385499.68448476301</v>
      </c>
      <c r="J47" s="31">
        <f>(INDEX(Option3!J$106:J$117, MATCH($D47, Option3!$G$106:$G$117,0)))*conv_2026*J$7</f>
        <v>723751.13866598892</v>
      </c>
      <c r="K47" s="31">
        <f>(INDEX(Option3!K$106:K$117, MATCH($D47, Option3!$G$106:$G$117,0)))*conv_2026*K$7</f>
        <v>1062002.5928472145</v>
      </c>
      <c r="L47" s="31">
        <f>(INDEX(Option3!L$106:L$117, MATCH($D47, Option3!$G$106:$G$117,0)))*conv_2026*L$7</f>
        <v>1400254.0470284401</v>
      </c>
      <c r="M47" s="31">
        <f>(INDEX(Option3!M$106:M$117, MATCH($D47, Option3!$G$106:$G$117,0)))*conv_2026*M$7</f>
        <v>1738505.501209666</v>
      </c>
      <c r="N47" s="31">
        <f>(INDEX(Option3!N$106:N$117, MATCH($D47, Option3!$G$106:$G$117,0)))*conv_2026*N$7</f>
        <v>1718792.9626550404</v>
      </c>
      <c r="O47" s="31">
        <f>(INDEX(Option3!O$106:O$117, MATCH($D47, Option3!$G$106:$G$117,0)))*conv_2026*O$7</f>
        <v>1715418.0890619305</v>
      </c>
      <c r="P47" s="31">
        <f>(INDEX(Option3!P$106:P$117, MATCH($D47, Option3!$G$106:$G$117,0)))*conv_2026*P$7</f>
        <v>1715418.0890619305</v>
      </c>
      <c r="Q47" s="31">
        <f>(INDEX(Option3!Q$106:Q$117, MATCH($D47, Option3!$G$106:$G$117,0)))*conv_2026*Q$7</f>
        <v>1715418.0890619305</v>
      </c>
      <c r="R47" s="31">
        <f>(INDEX(Option3!R$106:R$117, MATCH($D47, Option3!$G$106:$G$117,0)))*conv_2026*R$7</f>
        <v>1715418.0890619305</v>
      </c>
      <c r="S47" s="31">
        <f>(INDEX(Option3!S$106:S$117, MATCH($D47, Option3!$G$106:$G$117,0)))*conv_2026*S$7</f>
        <v>1715418.0890619305</v>
      </c>
      <c r="T47" s="31">
        <f>(INDEX(Option3!T$106:T$117, MATCH($D47, Option3!$G$106:$G$117,0)))*conv_2026*T$7</f>
        <v>1715418.0890619305</v>
      </c>
      <c r="U47" s="31">
        <f>(INDEX(Option3!U$106:U$117, MATCH($D47, Option3!$G$106:$G$117,0)))*conv_2026*U$7</f>
        <v>1715418.0890619305</v>
      </c>
      <c r="V47" s="31">
        <f>(INDEX(Option3!V$106:V$117, MATCH($D47, Option3!$G$106:$G$117,0)))*conv_2026*V$7</f>
        <v>1715418.0890619305</v>
      </c>
      <c r="W47" s="31">
        <f>(INDEX(Option3!W$106:W$117, MATCH($D47, Option3!$G$106:$G$117,0)))*conv_2026*W$7</f>
        <v>1715418.0890619305</v>
      </c>
      <c r="X47" s="31">
        <f>(INDEX(Option3!X$106:X$117, MATCH($D47, Option3!$G$106:$G$117,0)))*conv_2026*X$7</f>
        <v>1715418.0890619305</v>
      </c>
      <c r="Y47" s="31">
        <f>(INDEX(Option3!Y$106:Y$117, MATCH($D47, Option3!$G$106:$G$117,0)))*conv_2026*Y$7</f>
        <v>1715418.0890619305</v>
      </c>
      <c r="Z47" s="31">
        <f>(INDEX(Option3!Z$106:Z$117, MATCH($D47, Option3!$G$106:$G$117,0)))*conv_2026*Z$7</f>
        <v>1715418.0890619305</v>
      </c>
      <c r="AA47" s="31">
        <f>(INDEX(Option3!AA$106:AA$117, MATCH($D47, Option3!$G$106:$G$117,0)))*conv_2026*AA$7</f>
        <v>1715418.0890619305</v>
      </c>
      <c r="AB47" s="31">
        <f>(INDEX(Option3!AB$106:AB$117, MATCH($D47, Option3!$G$106:$G$117,0)))*conv_2026*AB$7</f>
        <v>1715418.0890619305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ht="13.8" x14ac:dyDescent="0.3">
      <c r="A48" s="253" t="s">
        <v>130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21419726.365835436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385499.68448476301</v>
      </c>
      <c r="J48" s="31">
        <f>(INDEX(Option3!J$106:J$117, MATCH($D48, Option3!$G$106:$G$117,0)))*conv_2026*J$7</f>
        <v>719026.31563563517</v>
      </c>
      <c r="K48" s="31">
        <f>(INDEX(Option3!K$106:K$117, MATCH($D48, Option3!$G$106:$G$117,0)))*conv_2026*K$7</f>
        <v>1052552.9467865073</v>
      </c>
      <c r="L48" s="31">
        <f>(INDEX(Option3!L$106:L$117, MATCH($D48, Option3!$G$106:$G$117,0)))*conv_2026*L$7</f>
        <v>1386079.577937379</v>
      </c>
      <c r="M48" s="31">
        <f>(INDEX(Option3!M$106:M$117, MATCH($D48, Option3!$G$106:$G$117,0)))*conv_2026*M$7</f>
        <v>1719606.2090882512</v>
      </c>
      <c r="N48" s="31">
        <f>(INDEX(Option3!N$106:N$117, MATCH($D48, Option3!$G$106:$G$117,0)))*conv_2026*N$7</f>
        <v>1695168.8475032721</v>
      </c>
      <c r="O48" s="31">
        <f>(INDEX(Option3!O$106:O$117, MATCH($D48, Option3!$G$106:$G$117,0)))*conv_2026*O$7</f>
        <v>1691456.4865508513</v>
      </c>
      <c r="P48" s="31">
        <f>(INDEX(Option3!P$106:P$117, MATCH($D48, Option3!$G$106:$G$117,0)))*conv_2026*P$7</f>
        <v>1691456.4865508513</v>
      </c>
      <c r="Q48" s="31">
        <f>(INDEX(Option3!Q$106:Q$117, MATCH($D48, Option3!$G$106:$G$117,0)))*conv_2026*Q$7</f>
        <v>1691456.4865508513</v>
      </c>
      <c r="R48" s="31">
        <f>(INDEX(Option3!R$106:R$117, MATCH($D48, Option3!$G$106:$G$117,0)))*conv_2026*R$7</f>
        <v>1691456.4865508513</v>
      </c>
      <c r="S48" s="31">
        <f>(INDEX(Option3!S$106:S$117, MATCH($D48, Option3!$G$106:$G$117,0)))*conv_2026*S$7</f>
        <v>1691456.4865508513</v>
      </c>
      <c r="T48" s="31">
        <f>(INDEX(Option3!T$106:T$117, MATCH($D48, Option3!$G$106:$G$117,0)))*conv_2026*T$7</f>
        <v>1691456.4865508513</v>
      </c>
      <c r="U48" s="31">
        <f>(INDEX(Option3!U$106:U$117, MATCH($D48, Option3!$G$106:$G$117,0)))*conv_2026*U$7</f>
        <v>1691456.4865508513</v>
      </c>
      <c r="V48" s="31">
        <f>(INDEX(Option3!V$106:V$117, MATCH($D48, Option3!$G$106:$G$117,0)))*conv_2026*V$7</f>
        <v>1691456.4865508513</v>
      </c>
      <c r="W48" s="31">
        <f>(INDEX(Option3!W$106:W$117, MATCH($D48, Option3!$G$106:$G$117,0)))*conv_2026*W$7</f>
        <v>1691456.4865508513</v>
      </c>
      <c r="X48" s="31">
        <f>(INDEX(Option3!X$106:X$117, MATCH($D48, Option3!$G$106:$G$117,0)))*conv_2026*X$7</f>
        <v>1691456.4865508513</v>
      </c>
      <c r="Y48" s="31">
        <f>(INDEX(Option3!Y$106:Y$117, MATCH($D48, Option3!$G$106:$G$117,0)))*conv_2026*Y$7</f>
        <v>1691456.4865508513</v>
      </c>
      <c r="Z48" s="31">
        <f>(INDEX(Option3!Z$106:Z$117, MATCH($D48, Option3!$G$106:$G$117,0)))*conv_2026*Z$7</f>
        <v>1691456.4865508513</v>
      </c>
      <c r="AA48" s="31">
        <f>(INDEX(Option3!AA$106:AA$117, MATCH($D48, Option3!$G$106:$G$117,0)))*conv_2026*AA$7</f>
        <v>1691456.4865508513</v>
      </c>
      <c r="AB48" s="31">
        <f>(INDEX(Option3!AB$106:AB$117, MATCH($D48, Option3!$G$106:$G$117,0)))*conv_2026*AB$7</f>
        <v>1691456.4865508513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ht="13.8" x14ac:dyDescent="0.3">
      <c r="A49" s="253" t="s">
        <v>130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24417539.460605081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428332.98276084778</v>
      </c>
      <c r="J49" s="31">
        <f>(INDEX(Option3!J$106:J$117, MATCH($D49, Option3!$G$106:$G$117,0)))*conv_2026*J$7</f>
        <v>809417.73521815846</v>
      </c>
      <c r="K49" s="31">
        <f>(INDEX(Option3!K$106:K$117, MATCH($D49, Option3!$G$106:$G$117,0)))*conv_2026*K$7</f>
        <v>1190502.4876754689</v>
      </c>
      <c r="L49" s="31">
        <f>(INDEX(Option3!L$106:L$117, MATCH($D49, Option3!$G$106:$G$117,0)))*conv_2026*L$7</f>
        <v>1571587.2401327791</v>
      </c>
      <c r="M49" s="31">
        <f>(INDEX(Option3!M$106:M$117, MATCH($D49, Option3!$G$106:$G$117,0)))*conv_2026*M$7</f>
        <v>1952671.9925900898</v>
      </c>
      <c r="N49" s="31">
        <f>(INDEX(Option3!N$106:N$117, MATCH($D49, Option3!$G$106:$G$117,0)))*conv_2026*N$7</f>
        <v>1936018.9753408991</v>
      </c>
      <c r="O49" s="31">
        <f>(INDEX(Option3!O$106:O$117, MATCH($D49, Option3!$G$106:$G$117,0)))*conv_2026*O$7</f>
        <v>1932644.1017477892</v>
      </c>
      <c r="P49" s="31">
        <f>(INDEX(Option3!P$106:P$117, MATCH($D49, Option3!$G$106:$G$117,0)))*conv_2026*P$7</f>
        <v>1932644.1017477892</v>
      </c>
      <c r="Q49" s="31">
        <f>(INDEX(Option3!Q$106:Q$117, MATCH($D49, Option3!$G$106:$G$117,0)))*conv_2026*Q$7</f>
        <v>1932644.1017477892</v>
      </c>
      <c r="R49" s="31">
        <f>(INDEX(Option3!R$106:R$117, MATCH($D49, Option3!$G$106:$G$117,0)))*conv_2026*R$7</f>
        <v>1932644.1017477892</v>
      </c>
      <c r="S49" s="31">
        <f>(INDEX(Option3!S$106:S$117, MATCH($D49, Option3!$G$106:$G$117,0)))*conv_2026*S$7</f>
        <v>1932644.1017477892</v>
      </c>
      <c r="T49" s="31">
        <f>(INDEX(Option3!T$106:T$117, MATCH($D49, Option3!$G$106:$G$117,0)))*conv_2026*T$7</f>
        <v>1932644.1017477892</v>
      </c>
      <c r="U49" s="31">
        <f>(INDEX(Option3!U$106:U$117, MATCH($D49, Option3!$G$106:$G$117,0)))*conv_2026*U$7</f>
        <v>1932644.1017477892</v>
      </c>
      <c r="V49" s="31">
        <f>(INDEX(Option3!V$106:V$117, MATCH($D49, Option3!$G$106:$G$117,0)))*conv_2026*V$7</f>
        <v>1932644.1017477892</v>
      </c>
      <c r="W49" s="31">
        <f>(INDEX(Option3!W$106:W$117, MATCH($D49, Option3!$G$106:$G$117,0)))*conv_2026*W$7</f>
        <v>1932644.1017477892</v>
      </c>
      <c r="X49" s="31">
        <f>(INDEX(Option3!X$106:X$117, MATCH($D49, Option3!$G$106:$G$117,0)))*conv_2026*X$7</f>
        <v>1932644.1017477892</v>
      </c>
      <c r="Y49" s="31">
        <f>(INDEX(Option3!Y$106:Y$117, MATCH($D49, Option3!$G$106:$G$117,0)))*conv_2026*Y$7</f>
        <v>1932644.1017477892</v>
      </c>
      <c r="Z49" s="31">
        <f>(INDEX(Option3!Z$106:Z$117, MATCH($D49, Option3!$G$106:$G$117,0)))*conv_2026*Z$7</f>
        <v>1932644.1017477892</v>
      </c>
      <c r="AA49" s="31">
        <f>(INDEX(Option3!AA$106:AA$117, MATCH($D49, Option3!$G$106:$G$117,0)))*conv_2026*AA$7</f>
        <v>1932644.1017477892</v>
      </c>
      <c r="AB49" s="31">
        <f>(INDEX(Option3!AB$106:AB$117, MATCH($D49, Option3!$G$106:$G$117,0)))*conv_2026*AB$7</f>
        <v>1932644.1017477892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ht="13.8" x14ac:dyDescent="0.3">
      <c r="A50" s="253" t="s">
        <v>130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24417539.460605081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428332.98276084778</v>
      </c>
      <c r="J50" s="31">
        <f>(INDEX(Option3!J$106:J$117, MATCH($D50, Option3!$G$106:$G$117,0)))*conv_2026*J$7</f>
        <v>809417.73521815846</v>
      </c>
      <c r="K50" s="31">
        <f>(INDEX(Option3!K$106:K$117, MATCH($D50, Option3!$G$106:$G$117,0)))*conv_2026*K$7</f>
        <v>1190502.4876754689</v>
      </c>
      <c r="L50" s="31">
        <f>(INDEX(Option3!L$106:L$117, MATCH($D50, Option3!$G$106:$G$117,0)))*conv_2026*L$7</f>
        <v>1571587.2401327791</v>
      </c>
      <c r="M50" s="31">
        <f>(INDEX(Option3!M$106:M$117, MATCH($D50, Option3!$G$106:$G$117,0)))*conv_2026*M$7</f>
        <v>1952671.9925900898</v>
      </c>
      <c r="N50" s="31">
        <f>(INDEX(Option3!N$106:N$117, MATCH($D50, Option3!$G$106:$G$117,0)))*conv_2026*N$7</f>
        <v>1936018.9753408991</v>
      </c>
      <c r="O50" s="31">
        <f>(INDEX(Option3!O$106:O$117, MATCH($D50, Option3!$G$106:$G$117,0)))*conv_2026*O$7</f>
        <v>1932644.1017477892</v>
      </c>
      <c r="P50" s="31">
        <f>(INDEX(Option3!P$106:P$117, MATCH($D50, Option3!$G$106:$G$117,0)))*conv_2026*P$7</f>
        <v>1932644.1017477892</v>
      </c>
      <c r="Q50" s="31">
        <f>(INDEX(Option3!Q$106:Q$117, MATCH($D50, Option3!$G$106:$G$117,0)))*conv_2026*Q$7</f>
        <v>1932644.1017477892</v>
      </c>
      <c r="R50" s="31">
        <f>(INDEX(Option3!R$106:R$117, MATCH($D50, Option3!$G$106:$G$117,0)))*conv_2026*R$7</f>
        <v>1932644.1017477892</v>
      </c>
      <c r="S50" s="31">
        <f>(INDEX(Option3!S$106:S$117, MATCH($D50, Option3!$G$106:$G$117,0)))*conv_2026*S$7</f>
        <v>1932644.1017477892</v>
      </c>
      <c r="T50" s="31">
        <f>(INDEX(Option3!T$106:T$117, MATCH($D50, Option3!$G$106:$G$117,0)))*conv_2026*T$7</f>
        <v>1932644.1017477892</v>
      </c>
      <c r="U50" s="31">
        <f>(INDEX(Option3!U$106:U$117, MATCH($D50, Option3!$G$106:$G$117,0)))*conv_2026*U$7</f>
        <v>1932644.1017477892</v>
      </c>
      <c r="V50" s="31">
        <f>(INDEX(Option3!V$106:V$117, MATCH($D50, Option3!$G$106:$G$117,0)))*conv_2026*V$7</f>
        <v>1932644.1017477892</v>
      </c>
      <c r="W50" s="31">
        <f>(INDEX(Option3!W$106:W$117, MATCH($D50, Option3!$G$106:$G$117,0)))*conv_2026*W$7</f>
        <v>1932644.1017477892</v>
      </c>
      <c r="X50" s="31">
        <f>(INDEX(Option3!X$106:X$117, MATCH($D50, Option3!$G$106:$G$117,0)))*conv_2026*X$7</f>
        <v>1932644.1017477892</v>
      </c>
      <c r="Y50" s="31">
        <f>(INDEX(Option3!Y$106:Y$117, MATCH($D50, Option3!$G$106:$G$117,0)))*conv_2026*Y$7</f>
        <v>1932644.1017477892</v>
      </c>
      <c r="Z50" s="31">
        <f>(INDEX(Option3!Z$106:Z$117, MATCH($D50, Option3!$G$106:$G$117,0)))*conv_2026*Z$7</f>
        <v>1932644.1017477892</v>
      </c>
      <c r="AA50" s="31">
        <f>(INDEX(Option3!AA$106:AA$117, MATCH($D50, Option3!$G$106:$G$117,0)))*conv_2026*AA$7</f>
        <v>1932644.1017477892</v>
      </c>
      <c r="AB50" s="31">
        <f>(INDEX(Option3!AB$106:AB$117, MATCH($D50, Option3!$G$106:$G$117,0)))*conv_2026*AB$7</f>
        <v>1932644.1017477892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ht="13.8" x14ac:dyDescent="0.3">
      <c r="A51" s="253" t="s">
        <v>130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24417539.460605081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428332.98276084778</v>
      </c>
      <c r="J51" s="31">
        <f>(INDEX(Option3!J$106:J$117, MATCH($D51, Option3!$G$106:$G$117,0)))*conv_2026*J$7</f>
        <v>809417.73521815846</v>
      </c>
      <c r="K51" s="31">
        <f>(INDEX(Option3!K$106:K$117, MATCH($D51, Option3!$G$106:$G$117,0)))*conv_2026*K$7</f>
        <v>1190502.4876754689</v>
      </c>
      <c r="L51" s="31">
        <f>(INDEX(Option3!L$106:L$117, MATCH($D51, Option3!$G$106:$G$117,0)))*conv_2026*L$7</f>
        <v>1571587.2401327791</v>
      </c>
      <c r="M51" s="31">
        <f>(INDEX(Option3!M$106:M$117, MATCH($D51, Option3!$G$106:$G$117,0)))*conv_2026*M$7</f>
        <v>1952671.9925900898</v>
      </c>
      <c r="N51" s="31">
        <f>(INDEX(Option3!N$106:N$117, MATCH($D51, Option3!$G$106:$G$117,0)))*conv_2026*N$7</f>
        <v>1936018.9753408991</v>
      </c>
      <c r="O51" s="31">
        <f>(INDEX(Option3!O$106:O$117, MATCH($D51, Option3!$G$106:$G$117,0)))*conv_2026*O$7</f>
        <v>1932644.1017477892</v>
      </c>
      <c r="P51" s="31">
        <f>(INDEX(Option3!P$106:P$117, MATCH($D51, Option3!$G$106:$G$117,0)))*conv_2026*P$7</f>
        <v>1932644.1017477892</v>
      </c>
      <c r="Q51" s="31">
        <f>(INDEX(Option3!Q$106:Q$117, MATCH($D51, Option3!$G$106:$G$117,0)))*conv_2026*Q$7</f>
        <v>1932644.1017477892</v>
      </c>
      <c r="R51" s="31">
        <f>(INDEX(Option3!R$106:R$117, MATCH($D51, Option3!$G$106:$G$117,0)))*conv_2026*R$7</f>
        <v>1932644.1017477892</v>
      </c>
      <c r="S51" s="31">
        <f>(INDEX(Option3!S$106:S$117, MATCH($D51, Option3!$G$106:$G$117,0)))*conv_2026*S$7</f>
        <v>1932644.1017477892</v>
      </c>
      <c r="T51" s="31">
        <f>(INDEX(Option3!T$106:T$117, MATCH($D51, Option3!$G$106:$G$117,0)))*conv_2026*T$7</f>
        <v>1932644.1017477892</v>
      </c>
      <c r="U51" s="31">
        <f>(INDEX(Option3!U$106:U$117, MATCH($D51, Option3!$G$106:$G$117,0)))*conv_2026*U$7</f>
        <v>1932644.1017477892</v>
      </c>
      <c r="V51" s="31">
        <f>(INDEX(Option3!V$106:V$117, MATCH($D51, Option3!$G$106:$G$117,0)))*conv_2026*V$7</f>
        <v>1932644.1017477892</v>
      </c>
      <c r="W51" s="31">
        <f>(INDEX(Option3!W$106:W$117, MATCH($D51, Option3!$G$106:$G$117,0)))*conv_2026*W$7</f>
        <v>1932644.1017477892</v>
      </c>
      <c r="X51" s="31">
        <f>(INDEX(Option3!X$106:X$117, MATCH($D51, Option3!$G$106:$G$117,0)))*conv_2026*X$7</f>
        <v>1932644.1017477892</v>
      </c>
      <c r="Y51" s="31">
        <f>(INDEX(Option3!Y$106:Y$117, MATCH($D51, Option3!$G$106:$G$117,0)))*conv_2026*Y$7</f>
        <v>1932644.1017477892</v>
      </c>
      <c r="Z51" s="31">
        <f>(INDEX(Option3!Z$106:Z$117, MATCH($D51, Option3!$G$106:$G$117,0)))*conv_2026*Z$7</f>
        <v>1932644.1017477892</v>
      </c>
      <c r="AA51" s="31">
        <f>(INDEX(Option3!AA$106:AA$117, MATCH($D51, Option3!$G$106:$G$117,0)))*conv_2026*AA$7</f>
        <v>1932644.1017477892</v>
      </c>
      <c r="AB51" s="31">
        <f>(INDEX(Option3!AB$106:AB$117, MATCH($D51, Option3!$G$106:$G$117,0)))*conv_2026*AB$7</f>
        <v>1932644.1017477892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ht="13.8" x14ac:dyDescent="0.3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ht="13.8" x14ac:dyDescent="0.3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ht="13.8" x14ac:dyDescent="0.3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ht="13.8" x14ac:dyDescent="0.3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ht="13.8" x14ac:dyDescent="0.3">
      <c r="A56" s="253" t="s">
        <v>131</v>
      </c>
      <c r="B56" s="253" t="s">
        <v>117</v>
      </c>
      <c r="C56" s="253" t="s">
        <v>182</v>
      </c>
      <c r="D56" s="253" t="str">
        <f>A56&amp;B56</f>
        <v>Option 4NPV</v>
      </c>
      <c r="E56" s="254"/>
      <c r="F56" s="31">
        <f t="shared" ref="F56:F65" si="6">SUMPRODUCT($H56:$AG56, $H$5:$AG$5)</f>
        <v>18371274.055115547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190542.37622865519</v>
      </c>
      <c r="K56" s="31">
        <f>(INDEX(Option4!K$106:K$117, MATCH($D56, Option4!$G$106:$G$117,0)))*conv_2026*K$7</f>
        <v>381084.75245731039</v>
      </c>
      <c r="L56" s="31">
        <f>(INDEX(Option4!L$106:L$117, MATCH($D56, Option4!$G$106:$G$117,0)))*conv_2026*L$7</f>
        <v>571627.12868596578</v>
      </c>
      <c r="M56" s="31">
        <f>(INDEX(Option4!M$106:M$117, MATCH($D56, Option4!$G$106:$G$117,0)))*conv_2026*M$7</f>
        <v>762169.50491462101</v>
      </c>
      <c r="N56" s="31">
        <f>(INDEX(Option4!N$106:N$117, MATCH($D56, Option4!$G$106:$G$117,0)))*conv_2026*N$7</f>
        <v>952711.88114327635</v>
      </c>
      <c r="O56" s="31">
        <f>(INDEX(Option4!O$106:O$117, MATCH($D56, Option4!$G$106:$G$117,0)))*conv_2026*O$7</f>
        <v>1143254.2573719316</v>
      </c>
      <c r="P56" s="31">
        <f>(INDEX(Option4!P$106:P$117, MATCH($D56, Option4!$G$106:$G$117,0)))*conv_2026*P$7</f>
        <v>1333796.6336005873</v>
      </c>
      <c r="Q56" s="31">
        <f>(INDEX(Option4!Q$106:Q$117, MATCH($D56, Option4!$G$106:$G$117,0)))*conv_2026*Q$7</f>
        <v>1524339.009829242</v>
      </c>
      <c r="R56" s="31">
        <f>(INDEX(Option4!R$106:R$117, MATCH($D56, Option4!$G$106:$G$117,0)))*conv_2026*R$7</f>
        <v>1714881.3860578975</v>
      </c>
      <c r="S56" s="31">
        <f>(INDEX(Option4!S$106:S$117, MATCH($D56, Option4!$G$106:$G$117,0)))*conv_2026*S$7</f>
        <v>1905423.7622865527</v>
      </c>
      <c r="T56" s="31">
        <f>(INDEX(Option4!T$106:T$117, MATCH($D56, Option4!$G$106:$G$117,0)))*conv_2026*T$7</f>
        <v>1932644.1017477892</v>
      </c>
      <c r="U56" s="31">
        <f>(INDEX(Option4!U$106:U$117, MATCH($D56, Option4!$G$106:$G$117,0)))*conv_2026*U$7</f>
        <v>1932644.1017477892</v>
      </c>
      <c r="V56" s="31">
        <f>(INDEX(Option4!V$106:V$117, MATCH($D56, Option4!$G$106:$G$117,0)))*conv_2026*V$7</f>
        <v>1932644.1017477892</v>
      </c>
      <c r="W56" s="31">
        <f>(INDEX(Option4!W$106:W$117, MATCH($D56, Option4!$G$106:$G$117,0)))*conv_2026*W$7</f>
        <v>1932644.1017477892</v>
      </c>
      <c r="X56" s="31">
        <f>(INDEX(Option4!X$106:X$117, MATCH($D56, Option4!$G$106:$G$117,0)))*conv_2026*X$7</f>
        <v>1932644.1017477892</v>
      </c>
      <c r="Y56" s="31">
        <f>(INDEX(Option4!Y$106:Y$117, MATCH($D56, Option4!$G$106:$G$117,0)))*conv_2026*Y$7</f>
        <v>1932644.1017477892</v>
      </c>
      <c r="Z56" s="31">
        <f>(INDEX(Option4!Z$106:Z$117, MATCH($D56, Option4!$G$106:$G$117,0)))*conv_2026*Z$7</f>
        <v>1932644.1017477892</v>
      </c>
      <c r="AA56" s="31">
        <f>(INDEX(Option4!AA$106:AA$117, MATCH($D56, Option4!$G$106:$G$117,0)))*conv_2026*AA$7</f>
        <v>1932644.1017477892</v>
      </c>
      <c r="AB56" s="31">
        <f>(INDEX(Option4!AB$106:AB$117, MATCH($D56, Option4!$G$106:$G$117,0)))*conv_2026*AB$7</f>
        <v>1932644.1017477892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ht="13.8" x14ac:dyDescent="0.3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ht="13.8" x14ac:dyDescent="0.3">
      <c r="A58" s="253" t="s">
        <v>131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18143500.526542604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188179.96471347834</v>
      </c>
      <c r="K58" s="31">
        <f>(INDEX(Option4!K$106:K$117, MATCH($D58, Option4!$G$106:$G$117,0)))*conv_2026*K$7</f>
        <v>376359.92942695669</v>
      </c>
      <c r="L58" s="31">
        <f>(INDEX(Option4!L$106:L$117, MATCH($D58, Option4!$G$106:$G$117,0)))*conv_2026*L$7</f>
        <v>564539.89414043527</v>
      </c>
      <c r="M58" s="31">
        <f>(INDEX(Option4!M$106:M$117, MATCH($D58, Option4!$G$106:$G$117,0)))*conv_2026*M$7</f>
        <v>752719.85885391361</v>
      </c>
      <c r="N58" s="31">
        <f>(INDEX(Option4!N$106:N$117, MATCH($D58, Option4!$G$106:$G$117,0)))*conv_2026*N$7</f>
        <v>940899.82356739207</v>
      </c>
      <c r="O58" s="31">
        <f>(INDEX(Option4!O$106:O$117, MATCH($D58, Option4!$G$106:$G$117,0)))*conv_2026*O$7</f>
        <v>1129079.7882808705</v>
      </c>
      <c r="P58" s="31">
        <f>(INDEX(Option4!P$106:P$117, MATCH($D58, Option4!$G$106:$G$117,0)))*conv_2026*P$7</f>
        <v>1317259.7529943492</v>
      </c>
      <c r="Q58" s="31">
        <f>(INDEX(Option4!Q$106:Q$117, MATCH($D58, Option4!$G$106:$G$117,0)))*conv_2026*Q$7</f>
        <v>1505439.7177078272</v>
      </c>
      <c r="R58" s="31">
        <f>(INDEX(Option4!R$106:R$117, MATCH($D58, Option4!$G$106:$G$117,0)))*conv_2026*R$7</f>
        <v>1693619.6824213057</v>
      </c>
      <c r="S58" s="31">
        <f>(INDEX(Option4!S$106:S$117, MATCH($D58, Option4!$G$106:$G$117,0)))*conv_2026*S$7</f>
        <v>1881799.6471347841</v>
      </c>
      <c r="T58" s="31">
        <f>(INDEX(Option4!T$106:T$117, MATCH($D58, Option4!$G$106:$G$117,0)))*conv_2026*T$7</f>
        <v>1908682.4992367094</v>
      </c>
      <c r="U58" s="31">
        <f>(INDEX(Option4!U$106:U$117, MATCH($D58, Option4!$G$106:$G$117,0)))*conv_2026*U$7</f>
        <v>1908682.4992367094</v>
      </c>
      <c r="V58" s="31">
        <f>(INDEX(Option4!V$106:V$117, MATCH($D58, Option4!$G$106:$G$117,0)))*conv_2026*V$7</f>
        <v>1908682.4992367094</v>
      </c>
      <c r="W58" s="31">
        <f>(INDEX(Option4!W$106:W$117, MATCH($D58, Option4!$G$106:$G$117,0)))*conv_2026*W$7</f>
        <v>1908682.4992367094</v>
      </c>
      <c r="X58" s="31">
        <f>(INDEX(Option4!X$106:X$117, MATCH($D58, Option4!$G$106:$G$117,0)))*conv_2026*X$7</f>
        <v>1908682.4992367094</v>
      </c>
      <c r="Y58" s="31">
        <f>(INDEX(Option4!Y$106:Y$117, MATCH($D58, Option4!$G$106:$G$117,0)))*conv_2026*Y$7</f>
        <v>1908682.4992367094</v>
      </c>
      <c r="Z58" s="31">
        <f>(INDEX(Option4!Z$106:Z$117, MATCH($D58, Option4!$G$106:$G$117,0)))*conv_2026*Z$7</f>
        <v>1908682.4992367094</v>
      </c>
      <c r="AA58" s="31">
        <f>(INDEX(Option4!AA$106:AA$117, MATCH($D58, Option4!$G$106:$G$117,0)))*conv_2026*AA$7</f>
        <v>1908682.4992367094</v>
      </c>
      <c r="AB58" s="31">
        <f>(INDEX(Option4!AB$106:AB$117, MATCH($D58, Option4!$G$106:$G$117,0)))*conv_2026*AB$7</f>
        <v>1908682.4992367094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ht="13.8" x14ac:dyDescent="0.3">
      <c r="A59" s="253" t="s">
        <v>131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18599047.583688494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192904.78774383204</v>
      </c>
      <c r="K59" s="31">
        <f>(INDEX(Option4!K$106:K$117, MATCH($D59, Option4!$G$106:$G$117,0)))*conv_2026*K$7</f>
        <v>385809.57548766409</v>
      </c>
      <c r="L59" s="31">
        <f>(INDEX(Option4!L$106:L$117, MATCH($D59, Option4!$G$106:$G$117,0)))*conv_2026*L$7</f>
        <v>578714.3632314963</v>
      </c>
      <c r="M59" s="31">
        <f>(INDEX(Option4!M$106:M$117, MATCH($D59, Option4!$G$106:$G$117,0)))*conv_2026*M$7</f>
        <v>771619.15097532852</v>
      </c>
      <c r="N59" s="31">
        <f>(INDEX(Option4!N$106:N$117, MATCH($D59, Option4!$G$106:$G$117,0)))*conv_2026*N$7</f>
        <v>964523.93871916074</v>
      </c>
      <c r="O59" s="31">
        <f>(INDEX(Option4!O$106:O$117, MATCH($D59, Option4!$G$106:$G$117,0)))*conv_2026*O$7</f>
        <v>1157428.7264629926</v>
      </c>
      <c r="P59" s="31">
        <f>(INDEX(Option4!P$106:P$117, MATCH($D59, Option4!$G$106:$G$117,0)))*conv_2026*P$7</f>
        <v>1350333.5142068253</v>
      </c>
      <c r="Q59" s="31">
        <f>(INDEX(Option4!Q$106:Q$117, MATCH($D59, Option4!$G$106:$G$117,0)))*conv_2026*Q$7</f>
        <v>1543238.301950657</v>
      </c>
      <c r="R59" s="31">
        <f>(INDEX(Option4!R$106:R$117, MATCH($D59, Option4!$G$106:$G$117,0)))*conv_2026*R$7</f>
        <v>1736143.0896944893</v>
      </c>
      <c r="S59" s="31">
        <f>(INDEX(Option4!S$106:S$117, MATCH($D59, Option4!$G$106:$G$117,0)))*conv_2026*S$7</f>
        <v>1929047.8774383215</v>
      </c>
      <c r="T59" s="31">
        <f>(INDEX(Option4!T$106:T$117, MATCH($D59, Option4!$G$106:$G$117,0)))*conv_2026*T$7</f>
        <v>1956605.7042588689</v>
      </c>
      <c r="U59" s="31">
        <f>(INDEX(Option4!U$106:U$117, MATCH($D59, Option4!$G$106:$G$117,0)))*conv_2026*U$7</f>
        <v>1956605.7042588689</v>
      </c>
      <c r="V59" s="31">
        <f>(INDEX(Option4!V$106:V$117, MATCH($D59, Option4!$G$106:$G$117,0)))*conv_2026*V$7</f>
        <v>1956605.7042588689</v>
      </c>
      <c r="W59" s="31">
        <f>(INDEX(Option4!W$106:W$117, MATCH($D59, Option4!$G$106:$G$117,0)))*conv_2026*W$7</f>
        <v>1956605.7042588689</v>
      </c>
      <c r="X59" s="31">
        <f>(INDEX(Option4!X$106:X$117, MATCH($D59, Option4!$G$106:$G$117,0)))*conv_2026*X$7</f>
        <v>1956605.7042588689</v>
      </c>
      <c r="Y59" s="31">
        <f>(INDEX(Option4!Y$106:Y$117, MATCH($D59, Option4!$G$106:$G$117,0)))*conv_2026*Y$7</f>
        <v>1956605.7042588689</v>
      </c>
      <c r="Z59" s="31">
        <f>(INDEX(Option4!Z$106:Z$117, MATCH($D59, Option4!$G$106:$G$117,0)))*conv_2026*Z$7</f>
        <v>1956605.7042588689</v>
      </c>
      <c r="AA59" s="31">
        <f>(INDEX(Option4!AA$106:AA$117, MATCH($D59, Option4!$G$106:$G$117,0)))*conv_2026*AA$7</f>
        <v>1956605.7042588689</v>
      </c>
      <c r="AB59" s="31">
        <f>(INDEX(Option4!AB$106:AB$117, MATCH($D59, Option4!$G$106:$G$117,0)))*conv_2026*AB$7</f>
        <v>1956605.7042588689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ht="13.8" x14ac:dyDescent="0.3">
      <c r="A60" s="253" t="s">
        <v>131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20436174.989200048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211959.02536669758</v>
      </c>
      <c r="K60" s="31">
        <f>(INDEX(Option4!K$106:K$117, MATCH($D60, Option4!$G$106:$G$117,0)))*conv_2026*K$7</f>
        <v>423918.05073339515</v>
      </c>
      <c r="L60" s="31">
        <f>(INDEX(Option4!L$106:L$117, MATCH($D60, Option4!$G$106:$G$117,0)))*conv_2026*L$7</f>
        <v>635877.07610009296</v>
      </c>
      <c r="M60" s="31">
        <f>(INDEX(Option4!M$106:M$117, MATCH($D60, Option4!$G$106:$G$117,0)))*conv_2026*M$7</f>
        <v>847836.10146679054</v>
      </c>
      <c r="N60" s="31">
        <f>(INDEX(Option4!N$106:N$117, MATCH($D60, Option4!$G$106:$G$117,0)))*conv_2026*N$7</f>
        <v>1059795.1268334882</v>
      </c>
      <c r="O60" s="31">
        <f>(INDEX(Option4!O$106:O$117, MATCH($D60, Option4!$G$106:$G$117,0)))*conv_2026*O$7</f>
        <v>1271754.1522001859</v>
      </c>
      <c r="P60" s="31">
        <f>(INDEX(Option4!P$106:P$117, MATCH($D60, Option4!$G$106:$G$117,0)))*conv_2026*P$7</f>
        <v>1483713.1775668839</v>
      </c>
      <c r="Q60" s="31">
        <f>(INDEX(Option4!Q$106:Q$117, MATCH($D60, Option4!$G$106:$G$117,0)))*conv_2026*Q$7</f>
        <v>1695672.2029335811</v>
      </c>
      <c r="R60" s="31">
        <f>(INDEX(Option4!R$106:R$117, MATCH($D60, Option4!$G$106:$G$117,0)))*conv_2026*R$7</f>
        <v>1907631.228300279</v>
      </c>
      <c r="S60" s="31">
        <f>(INDEX(Option4!S$106:S$117, MATCH($D60, Option4!$G$106:$G$117,0)))*conv_2026*S$7</f>
        <v>2119590.2536669765</v>
      </c>
      <c r="T60" s="31">
        <f>(INDEX(Option4!T$106:T$117, MATCH($D60, Option4!$G$106:$G$117,0)))*conv_2026*T$7</f>
        <v>2149870.1144336476</v>
      </c>
      <c r="U60" s="31">
        <f>(INDEX(Option4!U$106:U$117, MATCH($D60, Option4!$G$106:$G$117,0)))*conv_2026*U$7</f>
        <v>2149870.1144336476</v>
      </c>
      <c r="V60" s="31">
        <f>(INDEX(Option4!V$106:V$117, MATCH($D60, Option4!$G$106:$G$117,0)))*conv_2026*V$7</f>
        <v>2149870.1144336476</v>
      </c>
      <c r="W60" s="31">
        <f>(INDEX(Option4!W$106:W$117, MATCH($D60, Option4!$G$106:$G$117,0)))*conv_2026*W$7</f>
        <v>2149870.1144336476</v>
      </c>
      <c r="X60" s="31">
        <f>(INDEX(Option4!X$106:X$117, MATCH($D60, Option4!$G$106:$G$117,0)))*conv_2026*X$7</f>
        <v>2149870.1144336476</v>
      </c>
      <c r="Y60" s="31">
        <f>(INDEX(Option4!Y$106:Y$117, MATCH($D60, Option4!$G$106:$G$117,0)))*conv_2026*Y$7</f>
        <v>2149870.1144336476</v>
      </c>
      <c r="Z60" s="31">
        <f>(INDEX(Option4!Z$106:Z$117, MATCH($D60, Option4!$G$106:$G$117,0)))*conv_2026*Z$7</f>
        <v>2149870.1144336476</v>
      </c>
      <c r="AA60" s="31">
        <f>(INDEX(Option4!AA$106:AA$117, MATCH($D60, Option4!$G$106:$G$117,0)))*conv_2026*AA$7</f>
        <v>2149870.1144336476</v>
      </c>
      <c r="AB60" s="31">
        <f>(INDEX(Option4!AB$106:AB$117, MATCH($D60, Option4!$G$106:$G$117,0)))*conv_2026*AB$7</f>
        <v>2149870.1144336476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ht="13.8" x14ac:dyDescent="0.3">
      <c r="A61" s="253" t="s">
        <v>131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16306373.121031048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169125.72709061281</v>
      </c>
      <c r="K61" s="31">
        <f>(INDEX(Option4!K$106:K$117, MATCH($D61, Option4!$G$106:$G$117,0)))*conv_2026*K$7</f>
        <v>338251.45418122562</v>
      </c>
      <c r="L61" s="31">
        <f>(INDEX(Option4!L$106:L$117, MATCH($D61, Option4!$G$106:$G$117,0)))*conv_2026*L$7</f>
        <v>507377.18127183861</v>
      </c>
      <c r="M61" s="31">
        <f>(INDEX(Option4!M$106:M$117, MATCH($D61, Option4!$G$106:$G$117,0)))*conv_2026*M$7</f>
        <v>676502.90836245148</v>
      </c>
      <c r="N61" s="31">
        <f>(INDEX(Option4!N$106:N$117, MATCH($D61, Option4!$G$106:$G$117,0)))*conv_2026*N$7</f>
        <v>845628.63545306446</v>
      </c>
      <c r="O61" s="31">
        <f>(INDEX(Option4!O$106:O$117, MATCH($D61, Option4!$G$106:$G$117,0)))*conv_2026*O$7</f>
        <v>1014754.3625436772</v>
      </c>
      <c r="P61" s="31">
        <f>(INDEX(Option4!P$106:P$117, MATCH($D61, Option4!$G$106:$G$117,0)))*conv_2026*P$7</f>
        <v>1183880.0896342907</v>
      </c>
      <c r="Q61" s="31">
        <f>(INDEX(Option4!Q$106:Q$117, MATCH($D61, Option4!$G$106:$G$117,0)))*conv_2026*Q$7</f>
        <v>1353005.816724903</v>
      </c>
      <c r="R61" s="31">
        <f>(INDEX(Option4!R$106:R$117, MATCH($D61, Option4!$G$106:$G$117,0)))*conv_2026*R$7</f>
        <v>1522131.5438155159</v>
      </c>
      <c r="S61" s="31">
        <f>(INDEX(Option4!S$106:S$117, MATCH($D61, Option4!$G$106:$G$117,0)))*conv_2026*S$7</f>
        <v>1691257.2709061289</v>
      </c>
      <c r="T61" s="31">
        <f>(INDEX(Option4!T$106:T$117, MATCH($D61, Option4!$G$106:$G$117,0)))*conv_2026*T$7</f>
        <v>1715418.0890619305</v>
      </c>
      <c r="U61" s="31">
        <f>(INDEX(Option4!U$106:U$117, MATCH($D61, Option4!$G$106:$G$117,0)))*conv_2026*U$7</f>
        <v>1715418.0890619305</v>
      </c>
      <c r="V61" s="31">
        <f>(INDEX(Option4!V$106:V$117, MATCH($D61, Option4!$G$106:$G$117,0)))*conv_2026*V$7</f>
        <v>1715418.0890619305</v>
      </c>
      <c r="W61" s="31">
        <f>(INDEX(Option4!W$106:W$117, MATCH($D61, Option4!$G$106:$G$117,0)))*conv_2026*W$7</f>
        <v>1715418.0890619305</v>
      </c>
      <c r="X61" s="31">
        <f>(INDEX(Option4!X$106:X$117, MATCH($D61, Option4!$G$106:$G$117,0)))*conv_2026*X$7</f>
        <v>1715418.0890619305</v>
      </c>
      <c r="Y61" s="31">
        <f>(INDEX(Option4!Y$106:Y$117, MATCH($D61, Option4!$G$106:$G$117,0)))*conv_2026*Y$7</f>
        <v>1715418.0890619305</v>
      </c>
      <c r="Z61" s="31">
        <f>(INDEX(Option4!Z$106:Z$117, MATCH($D61, Option4!$G$106:$G$117,0)))*conv_2026*Z$7</f>
        <v>1715418.0890619305</v>
      </c>
      <c r="AA61" s="31">
        <f>(INDEX(Option4!AA$106:AA$117, MATCH($D61, Option4!$G$106:$G$117,0)))*conv_2026*AA$7</f>
        <v>1715418.0890619305</v>
      </c>
      <c r="AB61" s="31">
        <f>(INDEX(Option4!AB$106:AB$117, MATCH($D61, Option4!$G$106:$G$117,0)))*conv_2026*AB$7</f>
        <v>1715418.0890619305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ht="13.8" x14ac:dyDescent="0.3">
      <c r="A62" s="253" t="s">
        <v>131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16078599.592458101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166763.31557543593</v>
      </c>
      <c r="K62" s="31">
        <f>(INDEX(Option4!K$106:K$117, MATCH($D62, Option4!$G$106:$G$117,0)))*conv_2026*K$7</f>
        <v>333526.63115087186</v>
      </c>
      <c r="L62" s="31">
        <f>(INDEX(Option4!L$106:L$117, MATCH($D62, Option4!$G$106:$G$117,0)))*conv_2026*L$7</f>
        <v>500289.94672630809</v>
      </c>
      <c r="M62" s="31">
        <f>(INDEX(Option4!M$106:M$117, MATCH($D62, Option4!$G$106:$G$117,0)))*conv_2026*M$7</f>
        <v>667053.26230174408</v>
      </c>
      <c r="N62" s="31">
        <f>(INDEX(Option4!N$106:N$117, MATCH($D62, Option4!$G$106:$G$117,0)))*conv_2026*N$7</f>
        <v>833816.57787718019</v>
      </c>
      <c r="O62" s="31">
        <f>(INDEX(Option4!O$106:O$117, MATCH($D62, Option4!$G$106:$G$117,0)))*conv_2026*O$7</f>
        <v>1000579.8934526162</v>
      </c>
      <c r="P62" s="31">
        <f>(INDEX(Option4!P$106:P$117, MATCH($D62, Option4!$G$106:$G$117,0)))*conv_2026*P$7</f>
        <v>1167343.2090280526</v>
      </c>
      <c r="Q62" s="31">
        <f>(INDEX(Option4!Q$106:Q$117, MATCH($D62, Option4!$G$106:$G$117,0)))*conv_2026*Q$7</f>
        <v>1334106.5246034882</v>
      </c>
      <c r="R62" s="31">
        <f>(INDEX(Option4!R$106:R$117, MATCH($D62, Option4!$G$106:$G$117,0)))*conv_2026*R$7</f>
        <v>1500869.8401789244</v>
      </c>
      <c r="S62" s="31">
        <f>(INDEX(Option4!S$106:S$117, MATCH($D62, Option4!$G$106:$G$117,0)))*conv_2026*S$7</f>
        <v>1667633.1557543604</v>
      </c>
      <c r="T62" s="31">
        <f>(INDEX(Option4!T$106:T$117, MATCH($D62, Option4!$G$106:$G$117,0)))*conv_2026*T$7</f>
        <v>1691456.4865508513</v>
      </c>
      <c r="U62" s="31">
        <f>(INDEX(Option4!U$106:U$117, MATCH($D62, Option4!$G$106:$G$117,0)))*conv_2026*U$7</f>
        <v>1691456.4865508513</v>
      </c>
      <c r="V62" s="31">
        <f>(INDEX(Option4!V$106:V$117, MATCH($D62, Option4!$G$106:$G$117,0)))*conv_2026*V$7</f>
        <v>1691456.4865508513</v>
      </c>
      <c r="W62" s="31">
        <f>(INDEX(Option4!W$106:W$117, MATCH($D62, Option4!$G$106:$G$117,0)))*conv_2026*W$7</f>
        <v>1691456.4865508513</v>
      </c>
      <c r="X62" s="31">
        <f>(INDEX(Option4!X$106:X$117, MATCH($D62, Option4!$G$106:$G$117,0)))*conv_2026*X$7</f>
        <v>1691456.4865508513</v>
      </c>
      <c r="Y62" s="31">
        <f>(INDEX(Option4!Y$106:Y$117, MATCH($D62, Option4!$G$106:$G$117,0)))*conv_2026*Y$7</f>
        <v>1691456.4865508513</v>
      </c>
      <c r="Z62" s="31">
        <f>(INDEX(Option4!Z$106:Z$117, MATCH($D62, Option4!$G$106:$G$117,0)))*conv_2026*Z$7</f>
        <v>1691456.4865508513</v>
      </c>
      <c r="AA62" s="31">
        <f>(INDEX(Option4!AA$106:AA$117, MATCH($D62, Option4!$G$106:$G$117,0)))*conv_2026*AA$7</f>
        <v>1691456.4865508513</v>
      </c>
      <c r="AB62" s="31">
        <f>(INDEX(Option4!AB$106:AB$117, MATCH($D62, Option4!$G$106:$G$117,0)))*conv_2026*AB$7</f>
        <v>1691456.4865508513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ht="13.8" x14ac:dyDescent="0.3">
      <c r="A63" s="253" t="s">
        <v>131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18371274.055115547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190542.37622865519</v>
      </c>
      <c r="K63" s="31">
        <f>(INDEX(Option4!K$106:K$117, MATCH($D63, Option4!$G$106:$G$117,0)))*conv_2026*K$7</f>
        <v>381084.75245731039</v>
      </c>
      <c r="L63" s="31">
        <f>(INDEX(Option4!L$106:L$117, MATCH($D63, Option4!$G$106:$G$117,0)))*conv_2026*L$7</f>
        <v>571627.12868596578</v>
      </c>
      <c r="M63" s="31">
        <f>(INDEX(Option4!M$106:M$117, MATCH($D63, Option4!$G$106:$G$117,0)))*conv_2026*M$7</f>
        <v>762169.50491462101</v>
      </c>
      <c r="N63" s="31">
        <f>(INDEX(Option4!N$106:N$117, MATCH($D63, Option4!$G$106:$G$117,0)))*conv_2026*N$7</f>
        <v>952711.88114327635</v>
      </c>
      <c r="O63" s="31">
        <f>(INDEX(Option4!O$106:O$117, MATCH($D63, Option4!$G$106:$G$117,0)))*conv_2026*O$7</f>
        <v>1143254.2573719316</v>
      </c>
      <c r="P63" s="31">
        <f>(INDEX(Option4!P$106:P$117, MATCH($D63, Option4!$G$106:$G$117,0)))*conv_2026*P$7</f>
        <v>1333796.6336005873</v>
      </c>
      <c r="Q63" s="31">
        <f>(INDEX(Option4!Q$106:Q$117, MATCH($D63, Option4!$G$106:$G$117,0)))*conv_2026*Q$7</f>
        <v>1524339.009829242</v>
      </c>
      <c r="R63" s="31">
        <f>(INDEX(Option4!R$106:R$117, MATCH($D63, Option4!$G$106:$G$117,0)))*conv_2026*R$7</f>
        <v>1714881.3860578975</v>
      </c>
      <c r="S63" s="31">
        <f>(INDEX(Option4!S$106:S$117, MATCH($D63, Option4!$G$106:$G$117,0)))*conv_2026*S$7</f>
        <v>1905423.7622865527</v>
      </c>
      <c r="T63" s="31">
        <f>(INDEX(Option4!T$106:T$117, MATCH($D63, Option4!$G$106:$G$117,0)))*conv_2026*T$7</f>
        <v>1932644.1017477892</v>
      </c>
      <c r="U63" s="31">
        <f>(INDEX(Option4!U$106:U$117, MATCH($D63, Option4!$G$106:$G$117,0)))*conv_2026*U$7</f>
        <v>1932644.1017477892</v>
      </c>
      <c r="V63" s="31">
        <f>(INDEX(Option4!V$106:V$117, MATCH($D63, Option4!$G$106:$G$117,0)))*conv_2026*V$7</f>
        <v>1932644.1017477892</v>
      </c>
      <c r="W63" s="31">
        <f>(INDEX(Option4!W$106:W$117, MATCH($D63, Option4!$G$106:$G$117,0)))*conv_2026*W$7</f>
        <v>1932644.1017477892</v>
      </c>
      <c r="X63" s="31">
        <f>(INDEX(Option4!X$106:X$117, MATCH($D63, Option4!$G$106:$G$117,0)))*conv_2026*X$7</f>
        <v>1932644.1017477892</v>
      </c>
      <c r="Y63" s="31">
        <f>(INDEX(Option4!Y$106:Y$117, MATCH($D63, Option4!$G$106:$G$117,0)))*conv_2026*Y$7</f>
        <v>1932644.1017477892</v>
      </c>
      <c r="Z63" s="31">
        <f>(INDEX(Option4!Z$106:Z$117, MATCH($D63, Option4!$G$106:$G$117,0)))*conv_2026*Z$7</f>
        <v>1932644.1017477892</v>
      </c>
      <c r="AA63" s="31">
        <f>(INDEX(Option4!AA$106:AA$117, MATCH($D63, Option4!$G$106:$G$117,0)))*conv_2026*AA$7</f>
        <v>1932644.1017477892</v>
      </c>
      <c r="AB63" s="31">
        <f>(INDEX(Option4!AB$106:AB$117, MATCH($D63, Option4!$G$106:$G$117,0)))*conv_2026*AB$7</f>
        <v>1932644.1017477892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ht="13.8" x14ac:dyDescent="0.3">
      <c r="A64" s="253" t="s">
        <v>131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18371274.055115547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190542.37622865519</v>
      </c>
      <c r="K64" s="31">
        <f>(INDEX(Option4!K$106:K$117, MATCH($D64, Option4!$G$106:$G$117,0)))*conv_2026*K$7</f>
        <v>381084.75245731039</v>
      </c>
      <c r="L64" s="31">
        <f>(INDEX(Option4!L$106:L$117, MATCH($D64, Option4!$G$106:$G$117,0)))*conv_2026*L$7</f>
        <v>571627.12868596578</v>
      </c>
      <c r="M64" s="31">
        <f>(INDEX(Option4!M$106:M$117, MATCH($D64, Option4!$G$106:$G$117,0)))*conv_2026*M$7</f>
        <v>762169.50491462101</v>
      </c>
      <c r="N64" s="31">
        <f>(INDEX(Option4!N$106:N$117, MATCH($D64, Option4!$G$106:$G$117,0)))*conv_2026*N$7</f>
        <v>952711.88114327635</v>
      </c>
      <c r="O64" s="31">
        <f>(INDEX(Option4!O$106:O$117, MATCH($D64, Option4!$G$106:$G$117,0)))*conv_2026*O$7</f>
        <v>1143254.2573719316</v>
      </c>
      <c r="P64" s="31">
        <f>(INDEX(Option4!P$106:P$117, MATCH($D64, Option4!$G$106:$G$117,0)))*conv_2026*P$7</f>
        <v>1333796.6336005873</v>
      </c>
      <c r="Q64" s="31">
        <f>(INDEX(Option4!Q$106:Q$117, MATCH($D64, Option4!$G$106:$G$117,0)))*conv_2026*Q$7</f>
        <v>1524339.009829242</v>
      </c>
      <c r="R64" s="31">
        <f>(INDEX(Option4!R$106:R$117, MATCH($D64, Option4!$G$106:$G$117,0)))*conv_2026*R$7</f>
        <v>1714881.3860578975</v>
      </c>
      <c r="S64" s="31">
        <f>(INDEX(Option4!S$106:S$117, MATCH($D64, Option4!$G$106:$G$117,0)))*conv_2026*S$7</f>
        <v>1905423.7622865527</v>
      </c>
      <c r="T64" s="31">
        <f>(INDEX(Option4!T$106:T$117, MATCH($D64, Option4!$G$106:$G$117,0)))*conv_2026*T$7</f>
        <v>1932644.1017477892</v>
      </c>
      <c r="U64" s="31">
        <f>(INDEX(Option4!U$106:U$117, MATCH($D64, Option4!$G$106:$G$117,0)))*conv_2026*U$7</f>
        <v>1932644.1017477892</v>
      </c>
      <c r="V64" s="31">
        <f>(INDEX(Option4!V$106:V$117, MATCH($D64, Option4!$G$106:$G$117,0)))*conv_2026*V$7</f>
        <v>1932644.1017477892</v>
      </c>
      <c r="W64" s="31">
        <f>(INDEX(Option4!W$106:W$117, MATCH($D64, Option4!$G$106:$G$117,0)))*conv_2026*W$7</f>
        <v>1932644.1017477892</v>
      </c>
      <c r="X64" s="31">
        <f>(INDEX(Option4!X$106:X$117, MATCH($D64, Option4!$G$106:$G$117,0)))*conv_2026*X$7</f>
        <v>1932644.1017477892</v>
      </c>
      <c r="Y64" s="31">
        <f>(INDEX(Option4!Y$106:Y$117, MATCH($D64, Option4!$G$106:$G$117,0)))*conv_2026*Y$7</f>
        <v>1932644.1017477892</v>
      </c>
      <c r="Z64" s="31">
        <f>(INDEX(Option4!Z$106:Z$117, MATCH($D64, Option4!$G$106:$G$117,0)))*conv_2026*Z$7</f>
        <v>1932644.1017477892</v>
      </c>
      <c r="AA64" s="31">
        <f>(INDEX(Option4!AA$106:AA$117, MATCH($D64, Option4!$G$106:$G$117,0)))*conv_2026*AA$7</f>
        <v>1932644.1017477892</v>
      </c>
      <c r="AB64" s="31">
        <f>(INDEX(Option4!AB$106:AB$117, MATCH($D64, Option4!$G$106:$G$117,0)))*conv_2026*AB$7</f>
        <v>1932644.1017477892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ht="13.8" x14ac:dyDescent="0.3">
      <c r="A65" s="253" t="s">
        <v>131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18371274.055115547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190542.37622865519</v>
      </c>
      <c r="K65" s="31">
        <f>(INDEX(Option4!K$106:K$117, MATCH($D65, Option4!$G$106:$G$117,0)))*conv_2026*K$7</f>
        <v>381084.75245731039</v>
      </c>
      <c r="L65" s="31">
        <f>(INDEX(Option4!L$106:L$117, MATCH($D65, Option4!$G$106:$G$117,0)))*conv_2026*L$7</f>
        <v>571627.12868596578</v>
      </c>
      <c r="M65" s="31">
        <f>(INDEX(Option4!M$106:M$117, MATCH($D65, Option4!$G$106:$G$117,0)))*conv_2026*M$7</f>
        <v>762169.50491462101</v>
      </c>
      <c r="N65" s="31">
        <f>(INDEX(Option4!N$106:N$117, MATCH($D65, Option4!$G$106:$G$117,0)))*conv_2026*N$7</f>
        <v>952711.88114327635</v>
      </c>
      <c r="O65" s="31">
        <f>(INDEX(Option4!O$106:O$117, MATCH($D65, Option4!$G$106:$G$117,0)))*conv_2026*O$7</f>
        <v>1143254.2573719316</v>
      </c>
      <c r="P65" s="31">
        <f>(INDEX(Option4!P$106:P$117, MATCH($D65, Option4!$G$106:$G$117,0)))*conv_2026*P$7</f>
        <v>1333796.6336005873</v>
      </c>
      <c r="Q65" s="31">
        <f>(INDEX(Option4!Q$106:Q$117, MATCH($D65, Option4!$G$106:$G$117,0)))*conv_2026*Q$7</f>
        <v>1524339.009829242</v>
      </c>
      <c r="R65" s="31">
        <f>(INDEX(Option4!R$106:R$117, MATCH($D65, Option4!$G$106:$G$117,0)))*conv_2026*R$7</f>
        <v>1714881.3860578975</v>
      </c>
      <c r="S65" s="31">
        <f>(INDEX(Option4!S$106:S$117, MATCH($D65, Option4!$G$106:$G$117,0)))*conv_2026*S$7</f>
        <v>1905423.7622865527</v>
      </c>
      <c r="T65" s="31">
        <f>(INDEX(Option4!T$106:T$117, MATCH($D65, Option4!$G$106:$G$117,0)))*conv_2026*T$7</f>
        <v>1932644.1017477892</v>
      </c>
      <c r="U65" s="31">
        <f>(INDEX(Option4!U$106:U$117, MATCH($D65, Option4!$G$106:$G$117,0)))*conv_2026*U$7</f>
        <v>1932644.1017477892</v>
      </c>
      <c r="V65" s="31">
        <f>(INDEX(Option4!V$106:V$117, MATCH($D65, Option4!$G$106:$G$117,0)))*conv_2026*V$7</f>
        <v>1932644.1017477892</v>
      </c>
      <c r="W65" s="31">
        <f>(INDEX(Option4!W$106:W$117, MATCH($D65, Option4!$G$106:$G$117,0)))*conv_2026*W$7</f>
        <v>1932644.1017477892</v>
      </c>
      <c r="X65" s="31">
        <f>(INDEX(Option4!X$106:X$117, MATCH($D65, Option4!$G$106:$G$117,0)))*conv_2026*X$7</f>
        <v>1932644.1017477892</v>
      </c>
      <c r="Y65" s="31">
        <f>(INDEX(Option4!Y$106:Y$117, MATCH($D65, Option4!$G$106:$G$117,0)))*conv_2026*Y$7</f>
        <v>1932644.1017477892</v>
      </c>
      <c r="Z65" s="31">
        <f>(INDEX(Option4!Z$106:Z$117, MATCH($D65, Option4!$G$106:$G$117,0)))*conv_2026*Z$7</f>
        <v>1932644.1017477892</v>
      </c>
      <c r="AA65" s="31">
        <f>(INDEX(Option4!AA$106:AA$117, MATCH($D65, Option4!$G$106:$G$117,0)))*conv_2026*AA$7</f>
        <v>1932644.1017477892</v>
      </c>
      <c r="AB65" s="31">
        <f>(INDEX(Option4!AB$106:AB$117, MATCH($D65, Option4!$G$106:$G$117,0)))*conv_2026*AB$7</f>
        <v>1932644.1017477892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ht="13.8" x14ac:dyDescent="0.3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ht="13.8" x14ac:dyDescent="0.3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ht="13.8" x14ac:dyDescent="0.3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ht="13.8" x14ac:dyDescent="0.3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ht="13.8" x14ac:dyDescent="0.3">
      <c r="A70" s="253" t="s">
        <v>151</v>
      </c>
      <c r="B70" s="253" t="s">
        <v>117</v>
      </c>
      <c r="C70" s="253" t="s">
        <v>182</v>
      </c>
      <c r="D70" s="253" t="str">
        <f>A70&amp;B70</f>
        <v>Option 5NPV</v>
      </c>
      <c r="E70" s="254"/>
      <c r="F70" s="31">
        <f t="shared" ref="F70:F79" si="8">SUMPRODUCT($H70:$AG70, $H$5:$AG$5)</f>
        <v>14372175.399808068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122491.52757556422</v>
      </c>
      <c r="K70" s="31">
        <f>(INDEX(Option5!K$106:K$117, MATCH($D70, Option5!$G$106:$G$117,0)))*conv_2026*K$7</f>
        <v>244983.05515112844</v>
      </c>
      <c r="L70" s="31">
        <f>(INDEX(Option5!L$106:L$117, MATCH($D70, Option5!$G$106:$G$117,0)))*conv_2026*L$7</f>
        <v>367474.58272669214</v>
      </c>
      <c r="M70" s="31">
        <f>(INDEX(Option5!M$106:M$117, MATCH($D70, Option5!$G$106:$G$117,0)))*conv_2026*M$7</f>
        <v>489966.11030225636</v>
      </c>
      <c r="N70" s="31">
        <f>(INDEX(Option5!N$106:N$117, MATCH($D70, Option5!$G$106:$G$117,0)))*conv_2026*N$7</f>
        <v>612457.63787782064</v>
      </c>
      <c r="O70" s="31">
        <f>(INDEX(Option5!O$106:O$117, MATCH($D70, Option5!$G$106:$G$117,0)))*conv_2026*O$7</f>
        <v>734949.16545338486</v>
      </c>
      <c r="P70" s="31">
        <f>(INDEX(Option5!P$106:P$117, MATCH($D70, Option5!$G$106:$G$117,0)))*conv_2026*P$7</f>
        <v>857440.69302894874</v>
      </c>
      <c r="Q70" s="31">
        <f>(INDEX(Option5!Q$106:Q$117, MATCH($D70, Option5!$G$106:$G$117,0)))*conv_2026*Q$7</f>
        <v>979932.22060451284</v>
      </c>
      <c r="R70" s="31">
        <f>(INDEX(Option5!R$106:R$117, MATCH($D70, Option5!$G$106:$G$117,0)))*conv_2026*R$7</f>
        <v>1102423.7481800769</v>
      </c>
      <c r="S70" s="31">
        <f>(INDEX(Option5!S$106:S$117, MATCH($D70, Option5!$G$106:$G$117,0)))*conv_2026*S$7</f>
        <v>1224915.2757556413</v>
      </c>
      <c r="T70" s="31">
        <f>(INDEX(Option5!T$106:T$117, MATCH($D70, Option5!$G$106:$G$117,0)))*conv_2026*T$7</f>
        <v>1347406.8033312052</v>
      </c>
      <c r="U70" s="31">
        <f>(INDEX(Option5!U$106:U$117, MATCH($D70, Option5!$G$106:$G$117,0)))*conv_2026*U$7</f>
        <v>1469898.3309067695</v>
      </c>
      <c r="V70" s="31">
        <f>(INDEX(Option5!V$106:V$117, MATCH($D70, Option5!$G$106:$G$117,0)))*conv_2026*V$7</f>
        <v>1592389.8584823334</v>
      </c>
      <c r="W70" s="31">
        <f>(INDEX(Option5!W$106:W$117, MATCH($D70, Option5!$G$106:$G$117,0)))*conv_2026*W$7</f>
        <v>1714881.3860578975</v>
      </c>
      <c r="X70" s="31">
        <f>(INDEX(Option5!X$106:X$117, MATCH($D70, Option5!$G$106:$G$117,0)))*conv_2026*X$7</f>
        <v>1837372.9136334613</v>
      </c>
      <c r="Y70" s="31">
        <f>(INDEX(Option5!Y$106:Y$117, MATCH($D70, Option5!$G$106:$G$117,0)))*conv_2026*Y$7</f>
        <v>1932644.1017477892</v>
      </c>
      <c r="Z70" s="31">
        <f>(INDEX(Option5!Z$106:Z$117, MATCH($D70, Option5!$G$106:$G$117,0)))*conv_2026*Z$7</f>
        <v>1932644.1017477892</v>
      </c>
      <c r="AA70" s="31">
        <f>(INDEX(Option5!AA$106:AA$117, MATCH($D70, Option5!$G$106:$G$117,0)))*conv_2026*AA$7</f>
        <v>1932644.1017477892</v>
      </c>
      <c r="AB70" s="31">
        <f>(INDEX(Option5!AB$106:AB$117, MATCH($D70, Option5!$G$106:$G$117,0)))*conv_2026*AB$7</f>
        <v>1932644.1017477892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ht="13.8" x14ac:dyDescent="0.3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ht="13.8" x14ac:dyDescent="0.3">
      <c r="A72" s="253" t="s">
        <v>151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14193984.105384909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120972.8344586648</v>
      </c>
      <c r="K72" s="31">
        <f>(INDEX(Option5!K$106:K$117, MATCH($D72, Option5!$G$106:$G$117,0)))*conv_2026*K$7</f>
        <v>241945.6689173296</v>
      </c>
      <c r="L72" s="31">
        <f>(INDEX(Option5!L$106:L$117, MATCH($D72, Option5!$G$106:$G$117,0)))*conv_2026*L$7</f>
        <v>362918.50337599393</v>
      </c>
      <c r="M72" s="31">
        <f>(INDEX(Option5!M$106:M$117, MATCH($D72, Option5!$G$106:$G$117,0)))*conv_2026*M$7</f>
        <v>483891.33783465868</v>
      </c>
      <c r="N72" s="31">
        <f>(INDEX(Option5!N$106:N$117, MATCH($D72, Option5!$G$106:$G$117,0)))*conv_2026*N$7</f>
        <v>604864.17229332356</v>
      </c>
      <c r="O72" s="31">
        <f>(INDEX(Option5!O$106:O$117, MATCH($D72, Option5!$G$106:$G$117,0)))*conv_2026*O$7</f>
        <v>725837.00675198843</v>
      </c>
      <c r="P72" s="31">
        <f>(INDEX(Option5!P$106:P$117, MATCH($D72, Option5!$G$106:$G$117,0)))*conv_2026*P$7</f>
        <v>846809.84121065284</v>
      </c>
      <c r="Q72" s="31">
        <f>(INDEX(Option5!Q$106:Q$117, MATCH($D72, Option5!$G$106:$G$117,0)))*conv_2026*Q$7</f>
        <v>967782.67566931748</v>
      </c>
      <c r="R72" s="31">
        <f>(INDEX(Option5!R$106:R$117, MATCH($D72, Option5!$G$106:$G$117,0)))*conv_2026*R$7</f>
        <v>1088755.5101279824</v>
      </c>
      <c r="S72" s="31">
        <f>(INDEX(Option5!S$106:S$117, MATCH($D72, Option5!$G$106:$G$117,0)))*conv_2026*S$7</f>
        <v>1209728.3445866471</v>
      </c>
      <c r="T72" s="31">
        <f>(INDEX(Option5!T$106:T$117, MATCH($D72, Option5!$G$106:$G$117,0)))*conv_2026*T$7</f>
        <v>1330701.1790453116</v>
      </c>
      <c r="U72" s="31">
        <f>(INDEX(Option5!U$106:U$117, MATCH($D72, Option5!$G$106:$G$117,0)))*conv_2026*U$7</f>
        <v>1451674.0135039766</v>
      </c>
      <c r="V72" s="31">
        <f>(INDEX(Option5!V$106:V$117, MATCH($D72, Option5!$G$106:$G$117,0)))*conv_2026*V$7</f>
        <v>1572646.8479626412</v>
      </c>
      <c r="W72" s="31">
        <f>(INDEX(Option5!W$106:W$117, MATCH($D72, Option5!$G$106:$G$117,0)))*conv_2026*W$7</f>
        <v>1693619.6824213057</v>
      </c>
      <c r="X72" s="31">
        <f>(INDEX(Option5!X$106:X$117, MATCH($D72, Option5!$G$106:$G$117,0)))*conv_2026*X$7</f>
        <v>1814592.5168799702</v>
      </c>
      <c r="Y72" s="31">
        <f>(INDEX(Option5!Y$106:Y$117, MATCH($D72, Option5!$G$106:$G$117,0)))*conv_2026*Y$7</f>
        <v>1908682.4992367094</v>
      </c>
      <c r="Z72" s="31">
        <f>(INDEX(Option5!Z$106:Z$117, MATCH($D72, Option5!$G$106:$G$117,0)))*conv_2026*Z$7</f>
        <v>1908682.4992367094</v>
      </c>
      <c r="AA72" s="31">
        <f>(INDEX(Option5!AA$106:AA$117, MATCH($D72, Option5!$G$106:$G$117,0)))*conv_2026*AA$7</f>
        <v>1908682.4992367094</v>
      </c>
      <c r="AB72" s="31">
        <f>(INDEX(Option5!AB$106:AB$117, MATCH($D72, Option5!$G$106:$G$117,0)))*conv_2026*AB$7</f>
        <v>1908682.4992367094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ht="13.8" x14ac:dyDescent="0.3">
      <c r="A73" s="253" t="s">
        <v>151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14550366.694231223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124010.22069246363</v>
      </c>
      <c r="K73" s="31">
        <f>(INDEX(Option5!K$106:K$117, MATCH($D73, Option5!$G$106:$G$117,0)))*conv_2026*K$7</f>
        <v>248020.44138492725</v>
      </c>
      <c r="L73" s="31">
        <f>(INDEX(Option5!L$106:L$117, MATCH($D73, Option5!$G$106:$G$117,0)))*conv_2026*L$7</f>
        <v>372030.66207739041</v>
      </c>
      <c r="M73" s="31">
        <f>(INDEX(Option5!M$106:M$117, MATCH($D73, Option5!$G$106:$G$117,0)))*conv_2026*M$7</f>
        <v>496040.88276985398</v>
      </c>
      <c r="N73" s="31">
        <f>(INDEX(Option5!N$106:N$117, MATCH($D73, Option5!$G$106:$G$117,0)))*conv_2026*N$7</f>
        <v>620051.10346231761</v>
      </c>
      <c r="O73" s="31">
        <f>(INDEX(Option5!O$106:O$117, MATCH($D73, Option5!$G$106:$G$117,0)))*conv_2026*O$7</f>
        <v>744061.32415478129</v>
      </c>
      <c r="P73" s="31">
        <f>(INDEX(Option5!P$106:P$117, MATCH($D73, Option5!$G$106:$G$117,0)))*conv_2026*P$7</f>
        <v>868071.54484724463</v>
      </c>
      <c r="Q73" s="31">
        <f>(INDEX(Option5!Q$106:Q$117, MATCH($D73, Option5!$G$106:$G$117,0)))*conv_2026*Q$7</f>
        <v>992081.7655397082</v>
      </c>
      <c r="R73" s="31">
        <f>(INDEX(Option5!R$106:R$117, MATCH($D73, Option5!$G$106:$G$117,0)))*conv_2026*R$7</f>
        <v>1116091.9862321715</v>
      </c>
      <c r="S73" s="31">
        <f>(INDEX(Option5!S$106:S$117, MATCH($D73, Option5!$G$106:$G$117,0)))*conv_2026*S$7</f>
        <v>1240102.2069246352</v>
      </c>
      <c r="T73" s="31">
        <f>(INDEX(Option5!T$106:T$117, MATCH($D73, Option5!$G$106:$G$117,0)))*conv_2026*T$7</f>
        <v>1364112.4276170987</v>
      </c>
      <c r="U73" s="31">
        <f>(INDEX(Option5!U$106:U$117, MATCH($D73, Option5!$G$106:$G$117,0)))*conv_2026*U$7</f>
        <v>1488122.6483095624</v>
      </c>
      <c r="V73" s="31">
        <f>(INDEX(Option5!V$106:V$117, MATCH($D73, Option5!$G$106:$G$117,0)))*conv_2026*V$7</f>
        <v>1612132.8690020258</v>
      </c>
      <c r="W73" s="31">
        <f>(INDEX(Option5!W$106:W$117, MATCH($D73, Option5!$G$106:$G$117,0)))*conv_2026*W$7</f>
        <v>1736143.0896944893</v>
      </c>
      <c r="X73" s="31">
        <f>(INDEX(Option5!X$106:X$117, MATCH($D73, Option5!$G$106:$G$117,0)))*conv_2026*X$7</f>
        <v>1860153.3103869527</v>
      </c>
      <c r="Y73" s="31">
        <f>(INDEX(Option5!Y$106:Y$117, MATCH($D73, Option5!$G$106:$G$117,0)))*conv_2026*Y$7</f>
        <v>1956605.7042588689</v>
      </c>
      <c r="Z73" s="31">
        <f>(INDEX(Option5!Z$106:Z$117, MATCH($D73, Option5!$G$106:$G$117,0)))*conv_2026*Z$7</f>
        <v>1956605.7042588689</v>
      </c>
      <c r="AA73" s="31">
        <f>(INDEX(Option5!AA$106:AA$117, MATCH($D73, Option5!$G$106:$G$117,0)))*conv_2026*AA$7</f>
        <v>1956605.7042588689</v>
      </c>
      <c r="AB73" s="31">
        <f>(INDEX(Option5!AB$106:AB$117, MATCH($D73, Option5!$G$106:$G$117,0)))*conv_2026*AB$7</f>
        <v>1956605.7042588689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ht="13.8" x14ac:dyDescent="0.3">
      <c r="A74" s="253" t="s">
        <v>151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15987584.23421203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136259.37345002004</v>
      </c>
      <c r="K74" s="31">
        <f>(INDEX(Option5!K$106:K$117, MATCH($D74, Option5!$G$106:$G$117,0)))*conv_2026*K$7</f>
        <v>272518.74690004007</v>
      </c>
      <c r="L74" s="31">
        <f>(INDEX(Option5!L$106:L$117, MATCH($D74, Option5!$G$106:$G$117,0)))*conv_2026*L$7</f>
        <v>408778.12035005959</v>
      </c>
      <c r="M74" s="31">
        <f>(INDEX(Option5!M$106:M$117, MATCH($D74, Option5!$G$106:$G$117,0)))*conv_2026*M$7</f>
        <v>545037.49380007957</v>
      </c>
      <c r="N74" s="31">
        <f>(INDEX(Option5!N$106:N$117, MATCH($D74, Option5!$G$106:$G$117,0)))*conv_2026*N$7</f>
        <v>681296.86725009978</v>
      </c>
      <c r="O74" s="31">
        <f>(INDEX(Option5!O$106:O$117, MATCH($D74, Option5!$G$106:$G$117,0)))*conv_2026*O$7</f>
        <v>817556.24070011976</v>
      </c>
      <c r="P74" s="31">
        <f>(INDEX(Option5!P$106:P$117, MATCH($D74, Option5!$G$106:$G$117,0)))*conv_2026*P$7</f>
        <v>953815.6141501395</v>
      </c>
      <c r="Q74" s="31">
        <f>(INDEX(Option5!Q$106:Q$117, MATCH($D74, Option5!$G$106:$G$117,0)))*conv_2026*Q$7</f>
        <v>1090074.9876001594</v>
      </c>
      <c r="R74" s="31">
        <f>(INDEX(Option5!R$106:R$117, MATCH($D74, Option5!$G$106:$G$117,0)))*conv_2026*R$7</f>
        <v>1226334.3610501795</v>
      </c>
      <c r="S74" s="31">
        <f>(INDEX(Option5!S$106:S$117, MATCH($D74, Option5!$G$106:$G$117,0)))*conv_2026*S$7</f>
        <v>1362593.7345001996</v>
      </c>
      <c r="T74" s="31">
        <f>(INDEX(Option5!T$106:T$117, MATCH($D74, Option5!$G$106:$G$117,0)))*conv_2026*T$7</f>
        <v>1498853.1079502192</v>
      </c>
      <c r="U74" s="31">
        <f>(INDEX(Option5!U$106:U$117, MATCH($D74, Option5!$G$106:$G$117,0)))*conv_2026*U$7</f>
        <v>1635112.4814002393</v>
      </c>
      <c r="V74" s="31">
        <f>(INDEX(Option5!V$106:V$117, MATCH($D74, Option5!$G$106:$G$117,0)))*conv_2026*V$7</f>
        <v>1771371.8548502591</v>
      </c>
      <c r="W74" s="31">
        <f>(INDEX(Option5!W$106:W$117, MATCH($D74, Option5!$G$106:$G$117,0)))*conv_2026*W$7</f>
        <v>1907631.228300279</v>
      </c>
      <c r="X74" s="31">
        <f>(INDEX(Option5!X$106:X$117, MATCH($D74, Option5!$G$106:$G$117,0)))*conv_2026*X$7</f>
        <v>2043890.6017502986</v>
      </c>
      <c r="Y74" s="31">
        <f>(INDEX(Option5!Y$106:Y$117, MATCH($D74, Option5!$G$106:$G$117,0)))*conv_2026*Y$7</f>
        <v>2149870.1144336476</v>
      </c>
      <c r="Z74" s="31">
        <f>(INDEX(Option5!Z$106:Z$117, MATCH($D74, Option5!$G$106:$G$117,0)))*conv_2026*Z$7</f>
        <v>2149870.1144336476</v>
      </c>
      <c r="AA74" s="31">
        <f>(INDEX(Option5!AA$106:AA$117, MATCH($D74, Option5!$G$106:$G$117,0)))*conv_2026*AA$7</f>
        <v>2149870.1144336476</v>
      </c>
      <c r="AB74" s="31">
        <f>(INDEX(Option5!AB$106:AB$117, MATCH($D74, Option5!$G$106:$G$117,0)))*conv_2026*AB$7</f>
        <v>2149870.1144336476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ht="13.8" x14ac:dyDescent="0.3">
      <c r="A75" s="253" t="s">
        <v>151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12756766.565404106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108723.68170110838</v>
      </c>
      <c r="K75" s="31">
        <f>(INDEX(Option5!K$106:K$117, MATCH($D75, Option5!$G$106:$G$117,0)))*conv_2026*K$7</f>
        <v>217447.36340221675</v>
      </c>
      <c r="L75" s="31">
        <f>(INDEX(Option5!L$106:L$117, MATCH($D75, Option5!$G$106:$G$117,0)))*conv_2026*L$7</f>
        <v>326171.04510332469</v>
      </c>
      <c r="M75" s="31">
        <f>(INDEX(Option5!M$106:M$117, MATCH($D75, Option5!$G$106:$G$117,0)))*conv_2026*M$7</f>
        <v>434894.7268044331</v>
      </c>
      <c r="N75" s="31">
        <f>(INDEX(Option5!N$106:N$117, MATCH($D75, Option5!$G$106:$G$117,0)))*conv_2026*N$7</f>
        <v>543618.40850554151</v>
      </c>
      <c r="O75" s="31">
        <f>(INDEX(Option5!O$106:O$117, MATCH($D75, Option5!$G$106:$G$117,0)))*conv_2026*O$7</f>
        <v>652342.09020664997</v>
      </c>
      <c r="P75" s="31">
        <f>(INDEX(Option5!P$106:P$117, MATCH($D75, Option5!$G$106:$G$117,0)))*conv_2026*P$7</f>
        <v>761065.77190775797</v>
      </c>
      <c r="Q75" s="31">
        <f>(INDEX(Option5!Q$106:Q$117, MATCH($D75, Option5!$G$106:$G$117,0)))*conv_2026*Q$7</f>
        <v>869789.45360886632</v>
      </c>
      <c r="R75" s="31">
        <f>(INDEX(Option5!R$106:R$117, MATCH($D75, Option5!$G$106:$G$117,0)))*conv_2026*R$7</f>
        <v>978513.13530997455</v>
      </c>
      <c r="S75" s="31">
        <f>(INDEX(Option5!S$106:S$117, MATCH($D75, Option5!$G$106:$G$117,0)))*conv_2026*S$7</f>
        <v>1087236.817011083</v>
      </c>
      <c r="T75" s="31">
        <f>(INDEX(Option5!T$106:T$117, MATCH($D75, Option5!$G$106:$G$117,0)))*conv_2026*T$7</f>
        <v>1195960.4987121914</v>
      </c>
      <c r="U75" s="31">
        <f>(INDEX(Option5!U$106:U$117, MATCH($D75, Option5!$G$106:$G$117,0)))*conv_2026*U$7</f>
        <v>1304684.1804132997</v>
      </c>
      <c r="V75" s="31">
        <f>(INDEX(Option5!V$106:V$117, MATCH($D75, Option5!$G$106:$G$117,0)))*conv_2026*V$7</f>
        <v>1413407.8621144078</v>
      </c>
      <c r="W75" s="31">
        <f>(INDEX(Option5!W$106:W$117, MATCH($D75, Option5!$G$106:$G$117,0)))*conv_2026*W$7</f>
        <v>1522131.5438155159</v>
      </c>
      <c r="X75" s="31">
        <f>(INDEX(Option5!X$106:X$117, MATCH($D75, Option5!$G$106:$G$117,0)))*conv_2026*X$7</f>
        <v>1630855.2255166243</v>
      </c>
      <c r="Y75" s="31">
        <f>(INDEX(Option5!Y$106:Y$117, MATCH($D75, Option5!$G$106:$G$117,0)))*conv_2026*Y$7</f>
        <v>1715418.0890619305</v>
      </c>
      <c r="Z75" s="31">
        <f>(INDEX(Option5!Z$106:Z$117, MATCH($D75, Option5!$G$106:$G$117,0)))*conv_2026*Z$7</f>
        <v>1715418.0890619305</v>
      </c>
      <c r="AA75" s="31">
        <f>(INDEX(Option5!AA$106:AA$117, MATCH($D75, Option5!$G$106:$G$117,0)))*conv_2026*AA$7</f>
        <v>1715418.0890619305</v>
      </c>
      <c r="AB75" s="31">
        <f>(INDEX(Option5!AB$106:AB$117, MATCH($D75, Option5!$G$106:$G$117,0)))*conv_2026*AB$7</f>
        <v>1715418.0890619305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ht="13.8" x14ac:dyDescent="0.3">
      <c r="A76" s="253" t="s">
        <v>151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12578575.270980949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107204.98858420897</v>
      </c>
      <c r="K76" s="31">
        <f>(INDEX(Option5!K$106:K$117, MATCH($D76, Option5!$G$106:$G$117,0)))*conv_2026*K$7</f>
        <v>214409.97716841794</v>
      </c>
      <c r="L76" s="31">
        <f>(INDEX(Option5!L$106:L$117, MATCH($D76, Option5!$G$106:$G$117,0)))*conv_2026*L$7</f>
        <v>321614.96575262648</v>
      </c>
      <c r="M76" s="31">
        <f>(INDEX(Option5!M$106:M$117, MATCH($D76, Option5!$G$106:$G$117,0)))*conv_2026*M$7</f>
        <v>428819.95433683542</v>
      </c>
      <c r="N76" s="31">
        <f>(INDEX(Option5!N$106:N$117, MATCH($D76, Option5!$G$106:$G$117,0)))*conv_2026*N$7</f>
        <v>536024.94292104442</v>
      </c>
      <c r="O76" s="31">
        <f>(INDEX(Option5!O$106:O$117, MATCH($D76, Option5!$G$106:$G$117,0)))*conv_2026*O$7</f>
        <v>643229.93150525354</v>
      </c>
      <c r="P76" s="31">
        <f>(INDEX(Option5!P$106:P$117, MATCH($D76, Option5!$G$106:$G$117,0)))*conv_2026*P$7</f>
        <v>750434.92008946219</v>
      </c>
      <c r="Q76" s="31">
        <f>(INDEX(Option5!Q$106:Q$117, MATCH($D76, Option5!$G$106:$G$117,0)))*conv_2026*Q$7</f>
        <v>857639.90867367096</v>
      </c>
      <c r="R76" s="31">
        <f>(INDEX(Option5!R$106:R$117, MATCH($D76, Option5!$G$106:$G$117,0)))*conv_2026*R$7</f>
        <v>964844.89725787996</v>
      </c>
      <c r="S76" s="31">
        <f>(INDEX(Option5!S$106:S$117, MATCH($D76, Option5!$G$106:$G$117,0)))*conv_2026*S$7</f>
        <v>1072049.8858420888</v>
      </c>
      <c r="T76" s="31">
        <f>(INDEX(Option5!T$106:T$117, MATCH($D76, Option5!$G$106:$G$117,0)))*conv_2026*T$7</f>
        <v>1179254.8744262978</v>
      </c>
      <c r="U76" s="31">
        <f>(INDEX(Option5!U$106:U$117, MATCH($D76, Option5!$G$106:$G$117,0)))*conv_2026*U$7</f>
        <v>1286459.8630105066</v>
      </c>
      <c r="V76" s="31">
        <f>(INDEX(Option5!V$106:V$117, MATCH($D76, Option5!$G$106:$G$117,0)))*conv_2026*V$7</f>
        <v>1393664.8515947154</v>
      </c>
      <c r="W76" s="31">
        <f>(INDEX(Option5!W$106:W$117, MATCH($D76, Option5!$G$106:$G$117,0)))*conv_2026*W$7</f>
        <v>1500869.8401789244</v>
      </c>
      <c r="X76" s="31">
        <f>(INDEX(Option5!X$106:X$117, MATCH($D76, Option5!$G$106:$G$117,0)))*conv_2026*X$7</f>
        <v>1608074.8287631329</v>
      </c>
      <c r="Y76" s="31">
        <f>(INDEX(Option5!Y$106:Y$117, MATCH($D76, Option5!$G$106:$G$117,0)))*conv_2026*Y$7</f>
        <v>1691456.4865508513</v>
      </c>
      <c r="Z76" s="31">
        <f>(INDEX(Option5!Z$106:Z$117, MATCH($D76, Option5!$G$106:$G$117,0)))*conv_2026*Z$7</f>
        <v>1691456.4865508513</v>
      </c>
      <c r="AA76" s="31">
        <f>(INDEX(Option5!AA$106:AA$117, MATCH($D76, Option5!$G$106:$G$117,0)))*conv_2026*AA$7</f>
        <v>1691456.4865508513</v>
      </c>
      <c r="AB76" s="31">
        <f>(INDEX(Option5!AB$106:AB$117, MATCH($D76, Option5!$G$106:$G$117,0)))*conv_2026*AB$7</f>
        <v>1691456.4865508513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ht="13.8" x14ac:dyDescent="0.3">
      <c r="A77" s="253" t="s">
        <v>151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14372175.399808068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122491.52757556422</v>
      </c>
      <c r="K77" s="31">
        <f>(INDEX(Option5!K$106:K$117, MATCH($D77, Option5!$G$106:$G$117,0)))*conv_2026*K$7</f>
        <v>244983.05515112844</v>
      </c>
      <c r="L77" s="31">
        <f>(INDEX(Option5!L$106:L$117, MATCH($D77, Option5!$G$106:$G$117,0)))*conv_2026*L$7</f>
        <v>367474.58272669214</v>
      </c>
      <c r="M77" s="31">
        <f>(INDEX(Option5!M$106:M$117, MATCH($D77, Option5!$G$106:$G$117,0)))*conv_2026*M$7</f>
        <v>489966.11030225636</v>
      </c>
      <c r="N77" s="31">
        <f>(INDEX(Option5!N$106:N$117, MATCH($D77, Option5!$G$106:$G$117,0)))*conv_2026*N$7</f>
        <v>612457.63787782064</v>
      </c>
      <c r="O77" s="31">
        <f>(INDEX(Option5!O$106:O$117, MATCH($D77, Option5!$G$106:$G$117,0)))*conv_2026*O$7</f>
        <v>734949.16545338486</v>
      </c>
      <c r="P77" s="31">
        <f>(INDEX(Option5!P$106:P$117, MATCH($D77, Option5!$G$106:$G$117,0)))*conv_2026*P$7</f>
        <v>857440.69302894874</v>
      </c>
      <c r="Q77" s="31">
        <f>(INDEX(Option5!Q$106:Q$117, MATCH($D77, Option5!$G$106:$G$117,0)))*conv_2026*Q$7</f>
        <v>979932.22060451284</v>
      </c>
      <c r="R77" s="31">
        <f>(INDEX(Option5!R$106:R$117, MATCH($D77, Option5!$G$106:$G$117,0)))*conv_2026*R$7</f>
        <v>1102423.7481800769</v>
      </c>
      <c r="S77" s="31">
        <f>(INDEX(Option5!S$106:S$117, MATCH($D77, Option5!$G$106:$G$117,0)))*conv_2026*S$7</f>
        <v>1224915.2757556413</v>
      </c>
      <c r="T77" s="31">
        <f>(INDEX(Option5!T$106:T$117, MATCH($D77, Option5!$G$106:$G$117,0)))*conv_2026*T$7</f>
        <v>1347406.8033312052</v>
      </c>
      <c r="U77" s="31">
        <f>(INDEX(Option5!U$106:U$117, MATCH($D77, Option5!$G$106:$G$117,0)))*conv_2026*U$7</f>
        <v>1469898.3309067695</v>
      </c>
      <c r="V77" s="31">
        <f>(INDEX(Option5!V$106:V$117, MATCH($D77, Option5!$G$106:$G$117,0)))*conv_2026*V$7</f>
        <v>1592389.8584823334</v>
      </c>
      <c r="W77" s="31">
        <f>(INDEX(Option5!W$106:W$117, MATCH($D77, Option5!$G$106:$G$117,0)))*conv_2026*W$7</f>
        <v>1714881.3860578975</v>
      </c>
      <c r="X77" s="31">
        <f>(INDEX(Option5!X$106:X$117, MATCH($D77, Option5!$G$106:$G$117,0)))*conv_2026*X$7</f>
        <v>1837372.9136334613</v>
      </c>
      <c r="Y77" s="31">
        <f>(INDEX(Option5!Y$106:Y$117, MATCH($D77, Option5!$G$106:$G$117,0)))*conv_2026*Y$7</f>
        <v>1932644.1017477892</v>
      </c>
      <c r="Z77" s="31">
        <f>(INDEX(Option5!Z$106:Z$117, MATCH($D77, Option5!$G$106:$G$117,0)))*conv_2026*Z$7</f>
        <v>1932644.1017477892</v>
      </c>
      <c r="AA77" s="31">
        <f>(INDEX(Option5!AA$106:AA$117, MATCH($D77, Option5!$G$106:$G$117,0)))*conv_2026*AA$7</f>
        <v>1932644.1017477892</v>
      </c>
      <c r="AB77" s="31">
        <f>(INDEX(Option5!AB$106:AB$117, MATCH($D77, Option5!$G$106:$G$117,0)))*conv_2026*AB$7</f>
        <v>1932644.1017477892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ht="13.8" x14ac:dyDescent="0.3">
      <c r="A78" s="253" t="s">
        <v>151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14372175.399808068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122491.52757556422</v>
      </c>
      <c r="K78" s="31">
        <f>(INDEX(Option5!K$106:K$117, MATCH($D78, Option5!$G$106:$G$117,0)))*conv_2026*K$7</f>
        <v>244983.05515112844</v>
      </c>
      <c r="L78" s="31">
        <f>(INDEX(Option5!L$106:L$117, MATCH($D78, Option5!$G$106:$G$117,0)))*conv_2026*L$7</f>
        <v>367474.58272669214</v>
      </c>
      <c r="M78" s="31">
        <f>(INDEX(Option5!M$106:M$117, MATCH($D78, Option5!$G$106:$G$117,0)))*conv_2026*M$7</f>
        <v>489966.11030225636</v>
      </c>
      <c r="N78" s="31">
        <f>(INDEX(Option5!N$106:N$117, MATCH($D78, Option5!$G$106:$G$117,0)))*conv_2026*N$7</f>
        <v>612457.63787782064</v>
      </c>
      <c r="O78" s="31">
        <f>(INDEX(Option5!O$106:O$117, MATCH($D78, Option5!$G$106:$G$117,0)))*conv_2026*O$7</f>
        <v>734949.16545338486</v>
      </c>
      <c r="P78" s="31">
        <f>(INDEX(Option5!P$106:P$117, MATCH($D78, Option5!$G$106:$G$117,0)))*conv_2026*P$7</f>
        <v>857440.69302894874</v>
      </c>
      <c r="Q78" s="31">
        <f>(INDEX(Option5!Q$106:Q$117, MATCH($D78, Option5!$G$106:$G$117,0)))*conv_2026*Q$7</f>
        <v>979932.22060451284</v>
      </c>
      <c r="R78" s="31">
        <f>(INDEX(Option5!R$106:R$117, MATCH($D78, Option5!$G$106:$G$117,0)))*conv_2026*R$7</f>
        <v>1102423.7481800769</v>
      </c>
      <c r="S78" s="31">
        <f>(INDEX(Option5!S$106:S$117, MATCH($D78, Option5!$G$106:$G$117,0)))*conv_2026*S$7</f>
        <v>1224915.2757556413</v>
      </c>
      <c r="T78" s="31">
        <f>(INDEX(Option5!T$106:T$117, MATCH($D78, Option5!$G$106:$G$117,0)))*conv_2026*T$7</f>
        <v>1347406.8033312052</v>
      </c>
      <c r="U78" s="31">
        <f>(INDEX(Option5!U$106:U$117, MATCH($D78, Option5!$G$106:$G$117,0)))*conv_2026*U$7</f>
        <v>1469898.3309067695</v>
      </c>
      <c r="V78" s="31">
        <f>(INDEX(Option5!V$106:V$117, MATCH($D78, Option5!$G$106:$G$117,0)))*conv_2026*V$7</f>
        <v>1592389.8584823334</v>
      </c>
      <c r="W78" s="31">
        <f>(INDEX(Option5!W$106:W$117, MATCH($D78, Option5!$G$106:$G$117,0)))*conv_2026*W$7</f>
        <v>1714881.3860578975</v>
      </c>
      <c r="X78" s="31">
        <f>(INDEX(Option5!X$106:X$117, MATCH($D78, Option5!$G$106:$G$117,0)))*conv_2026*X$7</f>
        <v>1837372.9136334613</v>
      </c>
      <c r="Y78" s="31">
        <f>(INDEX(Option5!Y$106:Y$117, MATCH($D78, Option5!$G$106:$G$117,0)))*conv_2026*Y$7</f>
        <v>1932644.1017477892</v>
      </c>
      <c r="Z78" s="31">
        <f>(INDEX(Option5!Z$106:Z$117, MATCH($D78, Option5!$G$106:$G$117,0)))*conv_2026*Z$7</f>
        <v>1932644.1017477892</v>
      </c>
      <c r="AA78" s="31">
        <f>(INDEX(Option5!AA$106:AA$117, MATCH($D78, Option5!$G$106:$G$117,0)))*conv_2026*AA$7</f>
        <v>1932644.1017477892</v>
      </c>
      <c r="AB78" s="31">
        <f>(INDEX(Option5!AB$106:AB$117, MATCH($D78, Option5!$G$106:$G$117,0)))*conv_2026*AB$7</f>
        <v>1932644.1017477892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ht="13.8" x14ac:dyDescent="0.3">
      <c r="A79" s="253" t="s">
        <v>151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14372175.399808068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122491.52757556422</v>
      </c>
      <c r="K79" s="31">
        <f>(INDEX(Option5!K$106:K$117, MATCH($D79, Option5!$G$106:$G$117,0)))*conv_2026*K$7</f>
        <v>244983.05515112844</v>
      </c>
      <c r="L79" s="31">
        <f>(INDEX(Option5!L$106:L$117, MATCH($D79, Option5!$G$106:$G$117,0)))*conv_2026*L$7</f>
        <v>367474.58272669214</v>
      </c>
      <c r="M79" s="31">
        <f>(INDEX(Option5!M$106:M$117, MATCH($D79, Option5!$G$106:$G$117,0)))*conv_2026*M$7</f>
        <v>489966.11030225636</v>
      </c>
      <c r="N79" s="31">
        <f>(INDEX(Option5!N$106:N$117, MATCH($D79, Option5!$G$106:$G$117,0)))*conv_2026*N$7</f>
        <v>612457.63787782064</v>
      </c>
      <c r="O79" s="31">
        <f>(INDEX(Option5!O$106:O$117, MATCH($D79, Option5!$G$106:$G$117,0)))*conv_2026*O$7</f>
        <v>734949.16545338486</v>
      </c>
      <c r="P79" s="31">
        <f>(INDEX(Option5!P$106:P$117, MATCH($D79, Option5!$G$106:$G$117,0)))*conv_2026*P$7</f>
        <v>857440.69302894874</v>
      </c>
      <c r="Q79" s="31">
        <f>(INDEX(Option5!Q$106:Q$117, MATCH($D79, Option5!$G$106:$G$117,0)))*conv_2026*Q$7</f>
        <v>979932.22060451284</v>
      </c>
      <c r="R79" s="31">
        <f>(INDEX(Option5!R$106:R$117, MATCH($D79, Option5!$G$106:$G$117,0)))*conv_2026*R$7</f>
        <v>1102423.7481800769</v>
      </c>
      <c r="S79" s="31">
        <f>(INDEX(Option5!S$106:S$117, MATCH($D79, Option5!$G$106:$G$117,0)))*conv_2026*S$7</f>
        <v>1224915.2757556413</v>
      </c>
      <c r="T79" s="31">
        <f>(INDEX(Option5!T$106:T$117, MATCH($D79, Option5!$G$106:$G$117,0)))*conv_2026*T$7</f>
        <v>1347406.8033312052</v>
      </c>
      <c r="U79" s="31">
        <f>(INDEX(Option5!U$106:U$117, MATCH($D79, Option5!$G$106:$G$117,0)))*conv_2026*U$7</f>
        <v>1469898.3309067695</v>
      </c>
      <c r="V79" s="31">
        <f>(INDEX(Option5!V$106:V$117, MATCH($D79, Option5!$G$106:$G$117,0)))*conv_2026*V$7</f>
        <v>1592389.8584823334</v>
      </c>
      <c r="W79" s="31">
        <f>(INDEX(Option5!W$106:W$117, MATCH($D79, Option5!$G$106:$G$117,0)))*conv_2026*W$7</f>
        <v>1714881.3860578975</v>
      </c>
      <c r="X79" s="31">
        <f>(INDEX(Option5!X$106:X$117, MATCH($D79, Option5!$G$106:$G$117,0)))*conv_2026*X$7</f>
        <v>1837372.9136334613</v>
      </c>
      <c r="Y79" s="31">
        <f>(INDEX(Option5!Y$106:Y$117, MATCH($D79, Option5!$G$106:$G$117,0)))*conv_2026*Y$7</f>
        <v>1932644.1017477892</v>
      </c>
      <c r="Z79" s="31">
        <f>(INDEX(Option5!Z$106:Z$117, MATCH($D79, Option5!$G$106:$G$117,0)))*conv_2026*Z$7</f>
        <v>1932644.1017477892</v>
      </c>
      <c r="AA79" s="31">
        <f>(INDEX(Option5!AA$106:AA$117, MATCH($D79, Option5!$G$106:$G$117,0)))*conv_2026*AA$7</f>
        <v>1932644.1017477892</v>
      </c>
      <c r="AB79" s="31">
        <f>(INDEX(Option5!AB$106:AB$117, MATCH($D79, Option5!$G$106:$G$117,0)))*conv_2026*AB$7</f>
        <v>1932644.1017477892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ht="13.8" x14ac:dyDescent="0.3">
      <c r="F80" s="249"/>
    </row>
    <row r="81" spans="1:34" s="8" customFormat="1" ht="13.8" x14ac:dyDescent="0.3">
      <c r="F81" s="249"/>
    </row>
    <row r="82" spans="1:34" s="8" customFormat="1" ht="13.8" x14ac:dyDescent="0.3">
      <c r="F82" s="249"/>
    </row>
    <row r="83" spans="1:34" s="8" customFormat="1" ht="13.8" x14ac:dyDescent="0.3">
      <c r="F83" s="249"/>
    </row>
    <row r="84" spans="1:34" s="8" customFormat="1" ht="14.4" x14ac:dyDescent="0.3">
      <c r="A84" s="202" t="s">
        <v>155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ht="13.8" x14ac:dyDescent="0.3">
      <c r="F85" s="249"/>
    </row>
    <row r="86" spans="1:34" s="8" customFormat="1" ht="13.8" x14ac:dyDescent="0.3">
      <c r="F86" s="249"/>
    </row>
    <row r="87" spans="1:34" s="8" customFormat="1" ht="13.8" x14ac:dyDescent="0.3">
      <c r="E87" s="249"/>
    </row>
    <row r="88" spans="1:34" s="8" customFormat="1" ht="13.8" x14ac:dyDescent="0.3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ht="13.8" x14ac:dyDescent="0.3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224</v>
      </c>
      <c r="K89" s="283" t="s">
        <v>225</v>
      </c>
    </row>
    <row r="90" spans="1:34" s="8" customFormat="1" ht="13.8" x14ac:dyDescent="0.3">
      <c r="A90" s="261" t="s">
        <v>117</v>
      </c>
      <c r="B90" s="261" t="s">
        <v>215</v>
      </c>
      <c r="C90" s="105">
        <f t="shared" ref="C90:G98" si="10">IF(OR($B90=0,C$88),"", INDEX($F$14:$F$81, MATCH(C$89&amp;$A90,$D$14:$D$81,0))/10^6)</f>
        <v>0</v>
      </c>
      <c r="D90" s="105">
        <f t="shared" si="10"/>
        <v>28.179594740135457</v>
      </c>
      <c r="E90" s="105">
        <f t="shared" si="10"/>
        <v>24.417539460605081</v>
      </c>
      <c r="F90" s="105">
        <f t="shared" si="10"/>
        <v>18.371274055115546</v>
      </c>
      <c r="G90" s="105">
        <f t="shared" si="10"/>
        <v>14.372175399808068</v>
      </c>
      <c r="H90" s="186"/>
      <c r="I90" s="105">
        <f t="shared" ref="I90:I98" si="11">_xlfn.MAXIFS(C90:G90,_xlfn.ANCHORARRAY( C$88),FALSE)</f>
        <v>28.179594740135457</v>
      </c>
      <c r="K90" s="8" t="str">
        <f t="shared" ref="K90:K98" si="12">IF(OR(B90=0,$K$88),"", INDEX(_xlfn.ANCHORARRAY($C$89), MATCH(I90, $C90:$G90,0)))</f>
        <v>Option 2</v>
      </c>
    </row>
    <row r="91" spans="1:34" s="8" customFormat="1" ht="13.8" x14ac:dyDescent="0.3">
      <c r="A91" s="261" t="str">
        <f>"sens"&amp;Assumptions!B112</f>
        <v>sens1</v>
      </c>
      <c r="B91" s="261" t="str">
        <f>Assumptions!C112</f>
        <v>Capex 10% higher</v>
      </c>
      <c r="C91" s="105">
        <f t="shared" si="10"/>
        <v>0</v>
      </c>
      <c r="D91" s="105">
        <f t="shared" si="10"/>
        <v>27.856687346454617</v>
      </c>
      <c r="E91" s="105">
        <f t="shared" si="10"/>
        <v>24.139509886250519</v>
      </c>
      <c r="F91" s="105">
        <f t="shared" si="10"/>
        <v>18.143500526542603</v>
      </c>
      <c r="G91" s="105">
        <f t="shared" si="10"/>
        <v>14.193984105384908</v>
      </c>
      <c r="H91" s="186"/>
      <c r="I91" s="105">
        <f t="shared" si="11"/>
        <v>27.856687346454617</v>
      </c>
      <c r="K91" s="8" t="str">
        <f t="shared" si="12"/>
        <v>Option 2</v>
      </c>
    </row>
    <row r="92" spans="1:34" s="8" customFormat="1" ht="13.8" x14ac:dyDescent="0.3">
      <c r="A92" s="261" t="str">
        <f>"sens"&amp;Assumptions!B113</f>
        <v>sens2</v>
      </c>
      <c r="B92" s="261" t="str">
        <f>Assumptions!C113</f>
        <v>Capex 10% lower</v>
      </c>
      <c r="C92" s="105">
        <f t="shared" si="10"/>
        <v>0</v>
      </c>
      <c r="D92" s="105">
        <f t="shared" si="10"/>
        <v>28.502502133816296</v>
      </c>
      <c r="E92" s="105">
        <f t="shared" si="10"/>
        <v>24.69556903495965</v>
      </c>
      <c r="F92" s="105">
        <f t="shared" si="10"/>
        <v>18.599047583688495</v>
      </c>
      <c r="G92" s="105">
        <f t="shared" si="10"/>
        <v>14.550366694231224</v>
      </c>
      <c r="H92" s="186"/>
      <c r="I92" s="105">
        <f t="shared" si="11"/>
        <v>28.502502133816296</v>
      </c>
      <c r="K92" s="8" t="str">
        <f t="shared" si="12"/>
        <v>Option 2</v>
      </c>
    </row>
    <row r="93" spans="1:34" s="8" customFormat="1" ht="13.8" x14ac:dyDescent="0.3">
      <c r="A93" s="261" t="str">
        <f>"sens"&amp;Assumptions!B114</f>
        <v>sens3</v>
      </c>
      <c r="B93" s="261" t="str">
        <f>Assumptions!C114</f>
        <v>Total benefits 10% higher</v>
      </c>
      <c r="C93" s="105">
        <f t="shared" si="10"/>
        <v>0</v>
      </c>
      <c r="D93" s="105">
        <f t="shared" si="10"/>
        <v>31.320461607829845</v>
      </c>
      <c r="E93" s="105">
        <f t="shared" si="10"/>
        <v>27.137322981020159</v>
      </c>
      <c r="F93" s="105">
        <f t="shared" si="10"/>
        <v>20.436174989200047</v>
      </c>
      <c r="G93" s="105">
        <f t="shared" si="10"/>
        <v>15.987584234212029</v>
      </c>
      <c r="H93" s="186"/>
      <c r="I93" s="105">
        <f t="shared" si="11"/>
        <v>31.320461607829845</v>
      </c>
      <c r="K93" s="8" t="str">
        <f t="shared" si="12"/>
        <v>Option 2</v>
      </c>
    </row>
    <row r="94" spans="1:34" s="8" customFormat="1" ht="13.8" x14ac:dyDescent="0.3">
      <c r="A94" s="261" t="str">
        <f>"sens"&amp;Assumptions!B115</f>
        <v>sens4</v>
      </c>
      <c r="B94" s="261" t="str">
        <f>Assumptions!C115</f>
        <v>Total benefits 10% lower</v>
      </c>
      <c r="C94" s="105">
        <f t="shared" si="10"/>
        <v>0</v>
      </c>
      <c r="D94" s="105">
        <f t="shared" si="10"/>
        <v>25.038727872441076</v>
      </c>
      <c r="E94" s="105">
        <f t="shared" si="10"/>
        <v>21.697755940190007</v>
      </c>
      <c r="F94" s="105">
        <f t="shared" si="10"/>
        <v>16.306373121031047</v>
      </c>
      <c r="G94" s="105">
        <f t="shared" si="10"/>
        <v>12.756766565404106</v>
      </c>
      <c r="H94" s="186"/>
      <c r="I94" s="105">
        <f t="shared" si="11"/>
        <v>25.038727872441076</v>
      </c>
      <c r="K94" s="8" t="str">
        <f t="shared" si="12"/>
        <v>Option 2</v>
      </c>
    </row>
    <row r="95" spans="1:34" s="8" customFormat="1" ht="13.8" x14ac:dyDescent="0.3">
      <c r="A95" s="261" t="str">
        <f>"sens"&amp;Assumptions!B116</f>
        <v>sens5</v>
      </c>
      <c r="B95" s="261" t="str">
        <f>Assumptions!C116</f>
        <v>Capex 10% higher &amp; Total benefits 10% lower</v>
      </c>
      <c r="C95" s="105">
        <f t="shared" si="10"/>
        <v>0</v>
      </c>
      <c r="D95" s="105">
        <f t="shared" si="10"/>
        <v>24.715820478760239</v>
      </c>
      <c r="E95" s="105">
        <f t="shared" si="10"/>
        <v>21.419726365835437</v>
      </c>
      <c r="F95" s="105">
        <f t="shared" si="10"/>
        <v>16.078599592458101</v>
      </c>
      <c r="G95" s="105">
        <f t="shared" si="10"/>
        <v>12.578575270980949</v>
      </c>
      <c r="H95" s="186"/>
      <c r="I95" s="105">
        <f t="shared" si="11"/>
        <v>24.715820478760239</v>
      </c>
      <c r="K95" s="8" t="str">
        <f t="shared" si="12"/>
        <v>Option 2</v>
      </c>
    </row>
    <row r="96" spans="1:34" s="8" customFormat="1" ht="13.8" x14ac:dyDescent="0.3">
      <c r="A96" s="261" t="str">
        <f>"sens"&amp;Assumptions!B117</f>
        <v>sens</v>
      </c>
      <c r="B96" s="261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ht="13.8" x14ac:dyDescent="0.3">
      <c r="A97" s="261" t="str">
        <f>"sens"&amp;Assumptions!B118</f>
        <v>sens</v>
      </c>
      <c r="B97" s="261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ht="13.8" x14ac:dyDescent="0.3">
      <c r="A98" s="261" t="str">
        <f>"sens"&amp;Assumptions!B119</f>
        <v>sens</v>
      </c>
      <c r="B98" s="261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ht="13.8" x14ac:dyDescent="0.25">
      <c r="C99" s="31"/>
      <c r="E99"/>
      <c r="F99" s="10"/>
    </row>
    <row r="100" spans="1:11" x14ac:dyDescent="0.25">
      <c r="E100"/>
      <c r="F100" s="10"/>
    </row>
    <row r="101" spans="1:11" x14ac:dyDescent="0.25">
      <c r="E101"/>
      <c r="F101" s="10"/>
    </row>
    <row r="102" spans="1:11" x14ac:dyDescent="0.25">
      <c r="E102"/>
      <c r="F102" s="10"/>
    </row>
    <row r="103" spans="1:11" x14ac:dyDescent="0.25">
      <c r="E103"/>
      <c r="F103" s="10"/>
    </row>
    <row r="104" spans="1:11" x14ac:dyDescent="0.25">
      <c r="E104"/>
      <c r="F104" s="10"/>
    </row>
    <row r="105" spans="1:11" x14ac:dyDescent="0.25">
      <c r="E105"/>
      <c r="F105" s="10"/>
    </row>
    <row r="106" spans="1:11" x14ac:dyDescent="0.25"/>
    <row r="107" spans="1:11" x14ac:dyDescent="0.25"/>
    <row r="108" spans="1:11" x14ac:dyDescent="0.25"/>
    <row r="109" spans="1:11" x14ac:dyDescent="0.25"/>
    <row r="110" spans="1:11" x14ac:dyDescent="0.25"/>
    <row r="111" spans="1:11" x14ac:dyDescent="0.25"/>
    <row r="112" spans="1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E84-C3DC-495D-9AE4-C893DB951057}">
  <sheetPr codeName="Sheet4">
    <tabColor rgb="FFFFFF00"/>
  </sheetPr>
  <dimension ref="A1:AK105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7" sqref="H7"/>
    </sheetView>
  </sheetViews>
  <sheetFormatPr defaultColWidth="9" defaultRowHeight="13.8" x14ac:dyDescent="0.3"/>
  <cols>
    <col min="1" max="1" width="3.6328125" style="8" customWidth="1"/>
    <col min="2" max="2" width="5.36328125" style="8" customWidth="1"/>
    <col min="3" max="16384" width="9" style="8"/>
  </cols>
  <sheetData>
    <row r="1" spans="1:34" s="1" customFormat="1" ht="18" x14ac:dyDescent="0.35">
      <c r="A1" s="15" t="str">
        <f>bus</f>
        <v>Powercor</v>
      </c>
      <c r="B1" s="15"/>
      <c r="C1" s="1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1" customFormat="1" ht="18" x14ac:dyDescent="0.35">
      <c r="A2" s="56" t="str">
        <f>proj</f>
        <v>Recplacement of CRO inoperable RMUs</v>
      </c>
      <c r="B2" s="56"/>
      <c r="C2" s="5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" customFormat="1" ht="18" x14ac:dyDescent="0.35">
      <c r="A3" s="5" t="s">
        <v>269</v>
      </c>
      <c r="B3" s="5"/>
      <c r="C3" s="5"/>
      <c r="D3" s="34"/>
      <c r="E3" s="5"/>
      <c r="F3" s="5"/>
      <c r="G3" s="5"/>
    </row>
    <row r="4" spans="1:34" s="1" customFormat="1" x14ac:dyDescent="0.3">
      <c r="L4" s="248"/>
    </row>
    <row r="5" spans="1:34" s="1" customFormat="1" x14ac:dyDescent="0.3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</row>
    <row r="6" spans="1:34" x14ac:dyDescent="0.3">
      <c r="J6"/>
    </row>
    <row r="7" spans="1:34" x14ac:dyDescent="0.3">
      <c r="A7"/>
      <c r="B7"/>
      <c r="C7" s="8" t="s">
        <v>270</v>
      </c>
      <c r="D7"/>
      <c r="E7"/>
      <c r="F7"/>
      <c r="G7"/>
      <c r="H7" s="331">
        <v>36790</v>
      </c>
      <c r="I7"/>
      <c r="J7"/>
      <c r="K7"/>
      <c r="L7"/>
      <c r="M7"/>
      <c r="N7"/>
      <c r="O7"/>
      <c r="P7"/>
      <c r="Q7"/>
    </row>
    <row r="8" spans="1:34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34" x14ac:dyDescent="0.3">
      <c r="A9"/>
      <c r="B9"/>
      <c r="C9" s="14" t="s">
        <v>229</v>
      </c>
      <c r="D9"/>
      <c r="E9"/>
      <c r="F9"/>
      <c r="G9"/>
      <c r="H9"/>
      <c r="I9"/>
      <c r="J9"/>
      <c r="K9"/>
    </row>
    <row r="10" spans="1:34" x14ac:dyDescent="0.3">
      <c r="C10" s="8" t="s">
        <v>242</v>
      </c>
      <c r="H10" s="331">
        <v>142</v>
      </c>
      <c r="I10"/>
      <c r="J10"/>
    </row>
    <row r="11" spans="1:34" x14ac:dyDescent="0.3">
      <c r="I11"/>
      <c r="J11"/>
    </row>
    <row r="12" spans="1:34" x14ac:dyDescent="0.3">
      <c r="C12" s="14" t="s">
        <v>281</v>
      </c>
      <c r="D12" s="14"/>
      <c r="E12" s="14"/>
      <c r="F12" s="14"/>
      <c r="G12" s="14"/>
      <c r="H12" s="14"/>
      <c r="J12"/>
    </row>
    <row r="13" spans="1:34" x14ac:dyDescent="0.3">
      <c r="C13" s="8" t="str" cm="1">
        <f t="array" ref="C13:C17">options</f>
        <v>Option 1 (base case)</v>
      </c>
      <c r="H13" s="331">
        <v>0</v>
      </c>
      <c r="J13"/>
    </row>
    <row r="14" spans="1:34" x14ac:dyDescent="0.3">
      <c r="C14" s="8" t="str">
        <v>Option 2</v>
      </c>
      <c r="H14" s="335">
        <v>1</v>
      </c>
      <c r="J14"/>
    </row>
    <row r="15" spans="1:34" x14ac:dyDescent="0.3">
      <c r="C15" s="8" t="str">
        <v>Option 3</v>
      </c>
      <c r="H15" s="335">
        <v>5</v>
      </c>
      <c r="J15"/>
    </row>
    <row r="16" spans="1:34" x14ac:dyDescent="0.3">
      <c r="C16" s="8" t="str">
        <v>Option 4</v>
      </c>
      <c r="H16" s="335">
        <v>10</v>
      </c>
      <c r="J16"/>
    </row>
    <row r="17" spans="1:37" x14ac:dyDescent="0.3">
      <c r="C17" s="8" t="str">
        <v>Option 5</v>
      </c>
      <c r="H17" s="335">
        <v>15</v>
      </c>
      <c r="J17"/>
    </row>
    <row r="18" spans="1:37" x14ac:dyDescent="0.3">
      <c r="J18"/>
    </row>
    <row r="19" spans="1:37" x14ac:dyDescent="0.3">
      <c r="J19"/>
    </row>
    <row r="21" spans="1:37" customFormat="1" ht="14.4" x14ac:dyDescent="0.2">
      <c r="A21" s="18" t="s">
        <v>140</v>
      </c>
      <c r="B21" s="18"/>
      <c r="C21" s="18"/>
      <c r="D21" s="18"/>
      <c r="E21" s="18"/>
      <c r="F21" s="18"/>
      <c r="G21" s="332"/>
      <c r="H21" s="142"/>
      <c r="I21" s="142"/>
      <c r="J21" s="332"/>
      <c r="K21" s="17" t="s">
        <v>19</v>
      </c>
      <c r="L21" s="17" t="s">
        <v>21</v>
      </c>
      <c r="M21" s="17" t="s">
        <v>20</v>
      </c>
      <c r="N21" s="17" t="s">
        <v>22</v>
      </c>
      <c r="O21" s="17" t="s">
        <v>93</v>
      </c>
      <c r="P21" s="17" t="s">
        <v>94</v>
      </c>
      <c r="Q21" s="17" t="s">
        <v>245</v>
      </c>
      <c r="R21" s="17" t="s">
        <v>246</v>
      </c>
      <c r="S21" s="17" t="s">
        <v>247</v>
      </c>
      <c r="T21" s="17" t="s">
        <v>248</v>
      </c>
      <c r="U21" s="17" t="s">
        <v>249</v>
      </c>
      <c r="V21" s="17" t="s">
        <v>250</v>
      </c>
      <c r="W21" s="17" t="s">
        <v>251</v>
      </c>
      <c r="X21" s="17" t="s">
        <v>252</v>
      </c>
      <c r="Y21" s="17" t="s">
        <v>253</v>
      </c>
      <c r="Z21" s="17" t="s">
        <v>254</v>
      </c>
      <c r="AA21" s="17" t="s">
        <v>255</v>
      </c>
      <c r="AB21" s="17" t="s">
        <v>256</v>
      </c>
      <c r="AC21" s="17" t="s">
        <v>257</v>
      </c>
      <c r="AD21" s="17" t="s">
        <v>258</v>
      </c>
      <c r="AE21" s="333" t="s">
        <v>259</v>
      </c>
      <c r="AF21" s="333" t="s">
        <v>260</v>
      </c>
      <c r="AG21" s="333" t="s">
        <v>261</v>
      </c>
      <c r="AH21" s="333" t="s">
        <v>262</v>
      </c>
      <c r="AI21" s="333" t="s">
        <v>263</v>
      </c>
      <c r="AJ21" s="333"/>
      <c r="AK21" s="333"/>
    </row>
    <row r="22" spans="1:37" x14ac:dyDescent="0.3">
      <c r="B22" s="347" t="str">
        <f>A21</f>
        <v>Option 1 (base case)</v>
      </c>
    </row>
    <row r="23" spans="1:37" x14ac:dyDescent="0.3">
      <c r="B23" s="347" t="str">
        <f>B22</f>
        <v>Option 1 (base case)</v>
      </c>
      <c r="D23" s="82" t="s">
        <v>271</v>
      </c>
      <c r="E23" s="82"/>
      <c r="F23" s="82"/>
      <c r="G23" s="338"/>
      <c r="H23" s="331">
        <f>INDEX($H$13:$H$17, MATCH($B23, $C$13:$C$17,0))</f>
        <v>0</v>
      </c>
      <c r="J23" s="338"/>
      <c r="K23" s="82">
        <f>IF(K$21=start,1,IF(SUM($J23:J23)&gt;=$H23,0, J23))</f>
        <v>1</v>
      </c>
      <c r="L23" s="82">
        <f>IF(L$21=start,1,IF(SUM($J23:K23)&gt;=$H23,0, K23))</f>
        <v>0</v>
      </c>
      <c r="M23" s="82">
        <f>IF(M$21=start,1,IF(SUM($J23:L23)&gt;=$H23,0, L23))</f>
        <v>0</v>
      </c>
      <c r="N23" s="82">
        <f>IF(N$21=start,1,IF(SUM($J23:M23)&gt;=$H23,0, M23))</f>
        <v>0</v>
      </c>
      <c r="O23" s="82">
        <f>IF(O$21=start,1,IF(SUM($J23:N23)&gt;=$H23,0, N23))</f>
        <v>0</v>
      </c>
      <c r="P23" s="82">
        <f>IF(P$21=start,1,IF(SUM($J23:O23)&gt;=$H23,0, O23))</f>
        <v>0</v>
      </c>
      <c r="Q23" s="82">
        <f>IF(Q$21=start,1,IF(SUM($J23:P23)&gt;=$H23,0, P23))</f>
        <v>0</v>
      </c>
      <c r="R23" s="82">
        <f>IF(R$21=start,1,IF(SUM($J23:Q23)&gt;=$H23,0, Q23))</f>
        <v>0</v>
      </c>
      <c r="S23" s="82">
        <f>IF(S$21=start,1,IF(SUM($J23:R23)&gt;=$H23,0, R23))</f>
        <v>0</v>
      </c>
      <c r="T23" s="82">
        <f>IF(T$21=start,1,IF(SUM($J23:S23)&gt;=$H23,0, S23))</f>
        <v>0</v>
      </c>
      <c r="U23" s="82">
        <f>IF(U$21=start,1,IF(SUM($J23:T23)&gt;=$H23,0, T23))</f>
        <v>0</v>
      </c>
      <c r="V23" s="82">
        <f>IF(V$21=start,1,IF(SUM($J23:U23)&gt;=$H23,0, U23))</f>
        <v>0</v>
      </c>
      <c r="W23" s="82">
        <f>IF(W$21=start,1,IF(SUM($J23:V23)&gt;=$H23,0, V23))</f>
        <v>0</v>
      </c>
      <c r="X23" s="82">
        <f>IF(X$21=start,1,IF(SUM($J23:W23)&gt;=$H23,0, W23))</f>
        <v>0</v>
      </c>
      <c r="Y23" s="82">
        <f>IF(Y$21=start,1,IF(SUM($J23:X23)&gt;=$H23,0, X23))</f>
        <v>0</v>
      </c>
      <c r="Z23" s="82">
        <f>IF(Z$21=start,1,IF(SUM($J23:Y23)&gt;=$H23,0, Y23))</f>
        <v>0</v>
      </c>
      <c r="AA23" s="82">
        <f>IF(AA$21=start,1,IF(SUM($J23:Z23)&gt;=$H23,0, Z23))</f>
        <v>0</v>
      </c>
      <c r="AB23" s="82">
        <f>IF(AB$21=start,1,IF(SUM($J23:AA23)&gt;=$H23,0, AA23))</f>
        <v>0</v>
      </c>
      <c r="AC23" s="82">
        <f>IF(AC$21=start,1,IF(SUM($J23:AB23)&gt;=$H23,0, AB23))</f>
        <v>0</v>
      </c>
      <c r="AD23" s="82">
        <f>IF(AD$21=start,1,IF(SUM($J23:AC23)&gt;=$H23,0, AC23))</f>
        <v>0</v>
      </c>
    </row>
    <row r="24" spans="1:37" x14ac:dyDescent="0.3">
      <c r="B24" s="347" t="str">
        <f>B23</f>
        <v>Option 1 (base case)</v>
      </c>
    </row>
    <row r="25" spans="1:37" x14ac:dyDescent="0.3">
      <c r="B25" s="347" t="str">
        <f>B24</f>
        <v>Option 1 (base case)</v>
      </c>
      <c r="D25" s="8" t="s">
        <v>266</v>
      </c>
      <c r="G25" s="355" t="str">
        <f>B25&amp;D25</f>
        <v>Option 1 (base case)Number of switches replaced pa</v>
      </c>
      <c r="H25" s="337">
        <v>0</v>
      </c>
      <c r="K25" s="334">
        <f>MIN($H25, J26)</f>
        <v>0</v>
      </c>
      <c r="L25" s="334">
        <f t="shared" ref="L25:AD25" si="0">MIN($H25, K26)</f>
        <v>0</v>
      </c>
      <c r="M25" s="334">
        <f t="shared" si="0"/>
        <v>0</v>
      </c>
      <c r="N25" s="334">
        <f t="shared" si="0"/>
        <v>0</v>
      </c>
      <c r="O25" s="334">
        <f t="shared" si="0"/>
        <v>0</v>
      </c>
      <c r="P25" s="334">
        <f t="shared" si="0"/>
        <v>0</v>
      </c>
      <c r="Q25" s="334">
        <f t="shared" si="0"/>
        <v>0</v>
      </c>
      <c r="R25" s="334">
        <f t="shared" si="0"/>
        <v>0</v>
      </c>
      <c r="S25" s="334">
        <f t="shared" si="0"/>
        <v>0</v>
      </c>
      <c r="T25" s="334">
        <f t="shared" si="0"/>
        <v>0</v>
      </c>
      <c r="U25" s="334">
        <f t="shared" si="0"/>
        <v>0</v>
      </c>
      <c r="V25" s="334">
        <f t="shared" si="0"/>
        <v>0</v>
      </c>
      <c r="W25" s="334">
        <f t="shared" si="0"/>
        <v>0</v>
      </c>
      <c r="X25" s="334">
        <f t="shared" si="0"/>
        <v>0</v>
      </c>
      <c r="Y25" s="334">
        <f t="shared" si="0"/>
        <v>0</v>
      </c>
      <c r="Z25" s="334">
        <f t="shared" si="0"/>
        <v>0</v>
      </c>
      <c r="AA25" s="334">
        <f t="shared" si="0"/>
        <v>0</v>
      </c>
      <c r="AB25" s="334">
        <f t="shared" si="0"/>
        <v>0</v>
      </c>
      <c r="AC25" s="334">
        <f t="shared" si="0"/>
        <v>0</v>
      </c>
      <c r="AD25" s="334">
        <f t="shared" si="0"/>
        <v>0</v>
      </c>
    </row>
    <row r="26" spans="1:37" x14ac:dyDescent="0.3">
      <c r="B26" s="347" t="str">
        <f t="shared" ref="B26:B29" si="1">B25</f>
        <v>Option 1 (base case)</v>
      </c>
      <c r="D26" s="8" t="s">
        <v>267</v>
      </c>
      <c r="J26" s="337">
        <f>$H$10</f>
        <v>142</v>
      </c>
      <c r="K26" s="334">
        <f>J26-K25</f>
        <v>142</v>
      </c>
      <c r="L26" s="334">
        <f t="shared" ref="L26:Z26" si="2">K26-L25</f>
        <v>142</v>
      </c>
      <c r="M26" s="334">
        <f t="shared" si="2"/>
        <v>142</v>
      </c>
      <c r="N26" s="334">
        <f t="shared" si="2"/>
        <v>142</v>
      </c>
      <c r="O26" s="334">
        <f t="shared" si="2"/>
        <v>142</v>
      </c>
      <c r="P26" s="334">
        <f t="shared" si="2"/>
        <v>142</v>
      </c>
      <c r="Q26" s="334">
        <f t="shared" si="2"/>
        <v>142</v>
      </c>
      <c r="R26" s="334">
        <f t="shared" si="2"/>
        <v>142</v>
      </c>
      <c r="S26" s="334">
        <f t="shared" si="2"/>
        <v>142</v>
      </c>
      <c r="T26" s="334">
        <f t="shared" si="2"/>
        <v>142</v>
      </c>
      <c r="U26" s="334">
        <f t="shared" si="2"/>
        <v>142</v>
      </c>
      <c r="V26" s="334">
        <f t="shared" si="2"/>
        <v>142</v>
      </c>
      <c r="W26" s="334">
        <f t="shared" si="2"/>
        <v>142</v>
      </c>
      <c r="X26" s="334">
        <f t="shared" si="2"/>
        <v>142</v>
      </c>
      <c r="Y26" s="334">
        <f t="shared" si="2"/>
        <v>142</v>
      </c>
      <c r="Z26" s="334">
        <f t="shared" si="2"/>
        <v>142</v>
      </c>
      <c r="AA26" s="334">
        <f t="shared" ref="AA26" si="3">Z26-AA25</f>
        <v>142</v>
      </c>
      <c r="AB26" s="334">
        <f t="shared" ref="AB26" si="4">AA26-AB25</f>
        <v>142</v>
      </c>
      <c r="AC26" s="334">
        <f t="shared" ref="AC26" si="5">AB26-AC25</f>
        <v>142</v>
      </c>
      <c r="AD26" s="334">
        <f t="shared" ref="AD26" si="6">AC26-AD25</f>
        <v>142</v>
      </c>
    </row>
    <row r="27" spans="1:37" x14ac:dyDescent="0.3">
      <c r="B27" s="347" t="str">
        <f t="shared" si="1"/>
        <v>Option 1 (base case)</v>
      </c>
    </row>
    <row r="28" spans="1:37" x14ac:dyDescent="0.3">
      <c r="B28" s="347" t="str">
        <f t="shared" si="1"/>
        <v>Option 1 (base case)</v>
      </c>
      <c r="D28" s="8" t="s">
        <v>283</v>
      </c>
      <c r="K28" s="334">
        <f t="shared" ref="K28:X28" si="7">$H$7*K25</f>
        <v>0</v>
      </c>
      <c r="L28" s="334">
        <f t="shared" si="7"/>
        <v>0</v>
      </c>
      <c r="M28" s="334">
        <f t="shared" si="7"/>
        <v>0</v>
      </c>
      <c r="N28" s="334">
        <f t="shared" si="7"/>
        <v>0</v>
      </c>
      <c r="O28" s="334">
        <f t="shared" si="7"/>
        <v>0</v>
      </c>
      <c r="P28" s="334">
        <f t="shared" si="7"/>
        <v>0</v>
      </c>
      <c r="Q28" s="334">
        <f t="shared" si="7"/>
        <v>0</v>
      </c>
      <c r="R28" s="334">
        <f t="shared" si="7"/>
        <v>0</v>
      </c>
      <c r="S28" s="334">
        <f t="shared" si="7"/>
        <v>0</v>
      </c>
      <c r="T28" s="334">
        <f t="shared" si="7"/>
        <v>0</v>
      </c>
      <c r="U28" s="334">
        <f t="shared" si="7"/>
        <v>0</v>
      </c>
      <c r="V28" s="334">
        <f t="shared" si="7"/>
        <v>0</v>
      </c>
      <c r="W28" s="334">
        <f t="shared" si="7"/>
        <v>0</v>
      </c>
      <c r="X28" s="334">
        <f t="shared" si="7"/>
        <v>0</v>
      </c>
    </row>
    <row r="29" spans="1:37" x14ac:dyDescent="0.3">
      <c r="B29" s="347" t="str">
        <f t="shared" si="1"/>
        <v>Option 1 (base case)</v>
      </c>
      <c r="D29" s="339" t="s">
        <v>17</v>
      </c>
      <c r="E29" s="336"/>
      <c r="F29" s="336"/>
      <c r="G29" s="351" t="str">
        <f>B29&amp;D29</f>
        <v>Option 1 (base case)Capex</v>
      </c>
      <c r="H29" s="336"/>
      <c r="I29" s="336"/>
      <c r="J29" s="339"/>
      <c r="K29" s="340">
        <f t="shared" ref="K29:AD29" si="8">K25*$H$7</f>
        <v>0</v>
      </c>
      <c r="L29" s="340">
        <f t="shared" si="8"/>
        <v>0</v>
      </c>
      <c r="M29" s="340">
        <f t="shared" si="8"/>
        <v>0</v>
      </c>
      <c r="N29" s="340">
        <f t="shared" si="8"/>
        <v>0</v>
      </c>
      <c r="O29" s="340">
        <f t="shared" si="8"/>
        <v>0</v>
      </c>
      <c r="P29" s="340">
        <f t="shared" si="8"/>
        <v>0</v>
      </c>
      <c r="Q29" s="340">
        <f t="shared" si="8"/>
        <v>0</v>
      </c>
      <c r="R29" s="340">
        <f t="shared" si="8"/>
        <v>0</v>
      </c>
      <c r="S29" s="340">
        <f t="shared" si="8"/>
        <v>0</v>
      </c>
      <c r="T29" s="340">
        <f t="shared" si="8"/>
        <v>0</v>
      </c>
      <c r="U29" s="340">
        <f t="shared" si="8"/>
        <v>0</v>
      </c>
      <c r="V29" s="340">
        <f t="shared" si="8"/>
        <v>0</v>
      </c>
      <c r="W29" s="340">
        <f t="shared" si="8"/>
        <v>0</v>
      </c>
      <c r="X29" s="340">
        <f t="shared" si="8"/>
        <v>0</v>
      </c>
      <c r="Y29" s="340">
        <f t="shared" si="8"/>
        <v>0</v>
      </c>
      <c r="Z29" s="340">
        <f t="shared" si="8"/>
        <v>0</v>
      </c>
      <c r="AA29" s="334">
        <f t="shared" si="8"/>
        <v>0</v>
      </c>
      <c r="AB29" s="334">
        <f t="shared" si="8"/>
        <v>0</v>
      </c>
      <c r="AC29" s="334">
        <f t="shared" si="8"/>
        <v>0</v>
      </c>
      <c r="AD29" s="334">
        <f t="shared" si="8"/>
        <v>0</v>
      </c>
    </row>
    <row r="30" spans="1:37" x14ac:dyDescent="0.3">
      <c r="B30" s="14"/>
      <c r="C30" s="14"/>
      <c r="G30" s="347"/>
    </row>
    <row r="31" spans="1:37" x14ac:dyDescent="0.3">
      <c r="G31" s="347"/>
    </row>
    <row r="32" spans="1:37" customFormat="1" ht="14.4" x14ac:dyDescent="0.2">
      <c r="A32" s="18" t="s">
        <v>129</v>
      </c>
      <c r="B32" s="18"/>
      <c r="C32" s="18"/>
      <c r="D32" s="18"/>
      <c r="E32" s="18"/>
      <c r="F32" s="18"/>
      <c r="G32" s="352"/>
      <c r="H32" s="142"/>
      <c r="I32" s="142"/>
      <c r="J32" s="332"/>
      <c r="K32" s="17" t="s">
        <v>19</v>
      </c>
      <c r="L32" s="17" t="s">
        <v>21</v>
      </c>
      <c r="M32" s="17" t="s">
        <v>20</v>
      </c>
      <c r="N32" s="17" t="s">
        <v>22</v>
      </c>
      <c r="O32" s="17" t="s">
        <v>93</v>
      </c>
      <c r="P32" s="17" t="s">
        <v>94</v>
      </c>
      <c r="Q32" s="17" t="s">
        <v>245</v>
      </c>
      <c r="R32" s="17" t="s">
        <v>246</v>
      </c>
      <c r="S32" s="17" t="s">
        <v>247</v>
      </c>
      <c r="T32" s="17" t="s">
        <v>248</v>
      </c>
      <c r="U32" s="17" t="s">
        <v>249</v>
      </c>
      <c r="V32" s="17" t="s">
        <v>250</v>
      </c>
      <c r="W32" s="17" t="s">
        <v>251</v>
      </c>
      <c r="X32" s="17" t="s">
        <v>252</v>
      </c>
      <c r="Y32" s="17" t="s">
        <v>253</v>
      </c>
      <c r="Z32" s="17" t="s">
        <v>254</v>
      </c>
      <c r="AA32" s="17" t="s">
        <v>255</v>
      </c>
      <c r="AB32" s="17" t="s">
        <v>256</v>
      </c>
      <c r="AC32" s="17" t="s">
        <v>257</v>
      </c>
      <c r="AD32" s="17" t="s">
        <v>258</v>
      </c>
      <c r="AE32" s="333" t="s">
        <v>259</v>
      </c>
      <c r="AF32" s="333" t="s">
        <v>260</v>
      </c>
      <c r="AG32" s="333" t="s">
        <v>261</v>
      </c>
      <c r="AH32" s="333" t="s">
        <v>262</v>
      </c>
      <c r="AI32" s="333" t="s">
        <v>263</v>
      </c>
      <c r="AJ32" s="333"/>
      <c r="AK32" s="333"/>
    </row>
    <row r="33" spans="1:37" x14ac:dyDescent="0.3">
      <c r="B33" s="347" t="str">
        <f>A32</f>
        <v>Option 2</v>
      </c>
      <c r="G33" s="347"/>
    </row>
    <row r="34" spans="1:37" x14ac:dyDescent="0.3">
      <c r="B34" s="347" t="str">
        <f t="shared" ref="B34:B40" si="9">B33</f>
        <v>Option 2</v>
      </c>
      <c r="D34" s="348" t="s">
        <v>282</v>
      </c>
      <c r="E34" s="348"/>
      <c r="F34" s="348"/>
      <c r="G34" s="353"/>
      <c r="H34" s="349">
        <v>1</v>
      </c>
      <c r="J34" s="350"/>
      <c r="K34" s="348">
        <f>IF(K$21=start,1,IF(SUM($J34:J34)&gt;=$H34,0, J34))</f>
        <v>1</v>
      </c>
      <c r="L34" s="348">
        <f>IF(L$21=start,1,IF(SUM($J34:K34)&gt;=$H34,0, K34))</f>
        <v>0</v>
      </c>
      <c r="M34" s="348">
        <f>IF(M$21=start,1,IF(SUM($J34:L34)&gt;=$H34,0, L34))</f>
        <v>0</v>
      </c>
      <c r="N34" s="348">
        <f>IF(N$21=start,1,IF(SUM($J34:M34)&gt;=$H34,0, M34))</f>
        <v>0</v>
      </c>
      <c r="O34" s="348">
        <f>IF(O$21=start,1,IF(SUM($J34:N34)&gt;=$H34,0, N34))</f>
        <v>0</v>
      </c>
      <c r="P34" s="348">
        <f>IF(P$21=start,1,IF(SUM($J34:O34)&gt;=$H34,0, O34))</f>
        <v>0</v>
      </c>
      <c r="Q34" s="348">
        <f>IF(Q$21=start,1,IF(SUM($J34:P34)&gt;=$H34,0, P34))</f>
        <v>0</v>
      </c>
      <c r="R34" s="348">
        <f>IF(R$21=start,1,IF(SUM($J34:Q34)&gt;=$H34,0, Q34))</f>
        <v>0</v>
      </c>
      <c r="S34" s="348">
        <f>IF(S$21=start,1,IF(SUM($J34:R34)&gt;=$H34,0, R34))</f>
        <v>0</v>
      </c>
      <c r="T34" s="348">
        <f>IF(T$21=start,1,IF(SUM($J34:S34)&gt;=$H34,0, S34))</f>
        <v>0</v>
      </c>
      <c r="U34" s="348">
        <f>IF(U$21=start,1,IF(SUM($J34:T34)&gt;=$H34,0, T34))</f>
        <v>0</v>
      </c>
      <c r="V34" s="348">
        <f>IF(V$21=start,1,IF(SUM($J34:U34)&gt;=$H34,0, U34))</f>
        <v>0</v>
      </c>
      <c r="W34" s="348">
        <f>IF(W$21=start,1,IF(SUM($J34:V34)&gt;=$H34,0, V34))</f>
        <v>0</v>
      </c>
      <c r="X34" s="348">
        <f>IF(X$21=start,1,IF(SUM($J34:W34)&gt;=$H34,0, W34))</f>
        <v>0</v>
      </c>
      <c r="Y34" s="348">
        <f>IF(Y$21=start,1,IF(SUM($J34:X34)&gt;=$H34,0, X34))</f>
        <v>0</v>
      </c>
      <c r="Z34" s="348">
        <f>IF(Z$21=start,1,IF(SUM($J34:Y34)&gt;=$H34,0, Y34))</f>
        <v>0</v>
      </c>
      <c r="AA34" s="348">
        <f>IF(AA$21=start,1,IF(SUM($J34:Z34)&gt;=$H34,0, Z34))</f>
        <v>0</v>
      </c>
      <c r="AB34" s="348">
        <f>IF(AB$21=start,1,IF(SUM($J34:AA34)&gt;=$H34,0, AA34))</f>
        <v>0</v>
      </c>
      <c r="AC34" s="348">
        <f>IF(AC$21=start,1,IF(SUM($J34:AB34)&gt;=$H34,0, AB34))</f>
        <v>0</v>
      </c>
      <c r="AD34" s="348">
        <f>IF(AD$21=start,1,IF(SUM($J34:AC34)&gt;=$H34,0, AC34))</f>
        <v>0</v>
      </c>
    </row>
    <row r="35" spans="1:37" x14ac:dyDescent="0.3">
      <c r="B35" s="347" t="str">
        <f t="shared" si="9"/>
        <v>Option 2</v>
      </c>
      <c r="D35" s="82"/>
      <c r="E35" s="82"/>
      <c r="F35" s="82"/>
      <c r="G35" s="353"/>
      <c r="H35" s="82"/>
      <c r="J35" s="338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7" x14ac:dyDescent="0.3">
      <c r="B36" s="347" t="str">
        <f t="shared" si="9"/>
        <v>Option 2</v>
      </c>
      <c r="D36" s="8" t="s">
        <v>266</v>
      </c>
      <c r="G36" s="355" t="str">
        <f>B36&amp;D36</f>
        <v>Option 2Number of switches replaced pa</v>
      </c>
      <c r="H36" s="337">
        <f>ROUND($H$10/H34,0)</f>
        <v>142</v>
      </c>
      <c r="K36" s="334">
        <f>MIN($H36, J37)</f>
        <v>142</v>
      </c>
      <c r="L36" s="334">
        <f t="shared" ref="L36:AD36" si="10">MIN($H36, K37)</f>
        <v>0</v>
      </c>
      <c r="M36" s="334">
        <f t="shared" si="10"/>
        <v>0</v>
      </c>
      <c r="N36" s="334">
        <f t="shared" si="10"/>
        <v>0</v>
      </c>
      <c r="O36" s="334">
        <f t="shared" si="10"/>
        <v>0</v>
      </c>
      <c r="P36" s="334">
        <f t="shared" si="10"/>
        <v>0</v>
      </c>
      <c r="Q36" s="334">
        <f t="shared" si="10"/>
        <v>0</v>
      </c>
      <c r="R36" s="334">
        <f t="shared" si="10"/>
        <v>0</v>
      </c>
      <c r="S36" s="334">
        <f t="shared" si="10"/>
        <v>0</v>
      </c>
      <c r="T36" s="334">
        <f t="shared" si="10"/>
        <v>0</v>
      </c>
      <c r="U36" s="334">
        <f t="shared" si="10"/>
        <v>0</v>
      </c>
      <c r="V36" s="334">
        <f t="shared" si="10"/>
        <v>0</v>
      </c>
      <c r="W36" s="334">
        <f t="shared" si="10"/>
        <v>0</v>
      </c>
      <c r="X36" s="334">
        <f t="shared" si="10"/>
        <v>0</v>
      </c>
      <c r="Y36" s="334">
        <f t="shared" si="10"/>
        <v>0</v>
      </c>
      <c r="Z36" s="334">
        <f t="shared" si="10"/>
        <v>0</v>
      </c>
      <c r="AA36" s="334">
        <f t="shared" si="10"/>
        <v>0</v>
      </c>
      <c r="AB36" s="334">
        <f t="shared" si="10"/>
        <v>0</v>
      </c>
      <c r="AC36" s="334">
        <f t="shared" si="10"/>
        <v>0</v>
      </c>
      <c r="AD36" s="334">
        <f t="shared" si="10"/>
        <v>0</v>
      </c>
    </row>
    <row r="37" spans="1:37" x14ac:dyDescent="0.3">
      <c r="B37" s="347" t="str">
        <f t="shared" si="9"/>
        <v>Option 2</v>
      </c>
      <c r="D37" s="8" t="s">
        <v>267</v>
      </c>
      <c r="G37" s="347"/>
      <c r="J37" s="337">
        <f>$H$10</f>
        <v>142</v>
      </c>
      <c r="K37" s="334">
        <f>J37-K36</f>
        <v>0</v>
      </c>
      <c r="L37" s="334">
        <f t="shared" ref="L37" si="11">K37-L36</f>
        <v>0</v>
      </c>
      <c r="M37" s="334">
        <f t="shared" ref="M37" si="12">L37-M36</f>
        <v>0</v>
      </c>
      <c r="N37" s="334">
        <f t="shared" ref="N37" si="13">M37-N36</f>
        <v>0</v>
      </c>
      <c r="O37" s="334">
        <f t="shared" ref="O37" si="14">N37-O36</f>
        <v>0</v>
      </c>
      <c r="P37" s="334">
        <f t="shared" ref="P37" si="15">O37-P36</f>
        <v>0</v>
      </c>
      <c r="Q37" s="334">
        <f t="shared" ref="Q37" si="16">P37-Q36</f>
        <v>0</v>
      </c>
      <c r="R37" s="334">
        <f t="shared" ref="R37" si="17">Q37-R36</f>
        <v>0</v>
      </c>
      <c r="S37" s="334">
        <f t="shared" ref="S37" si="18">R37-S36</f>
        <v>0</v>
      </c>
      <c r="T37" s="334">
        <f t="shared" ref="T37" si="19">S37-T36</f>
        <v>0</v>
      </c>
      <c r="U37" s="334">
        <f t="shared" ref="U37" si="20">T37-U36</f>
        <v>0</v>
      </c>
      <c r="V37" s="334">
        <f t="shared" ref="V37" si="21">U37-V36</f>
        <v>0</v>
      </c>
      <c r="W37" s="334">
        <f t="shared" ref="W37" si="22">V37-W36</f>
        <v>0</v>
      </c>
      <c r="X37" s="334">
        <f t="shared" ref="X37" si="23">W37-X36</f>
        <v>0</v>
      </c>
      <c r="Y37" s="334">
        <f t="shared" ref="Y37" si="24">X37-Y36</f>
        <v>0</v>
      </c>
      <c r="Z37" s="334">
        <f t="shared" ref="Z37" si="25">Y37-Z36</f>
        <v>0</v>
      </c>
      <c r="AA37" s="334">
        <f t="shared" ref="AA37" si="26">Z37-AA36</f>
        <v>0</v>
      </c>
      <c r="AB37" s="334">
        <f t="shared" ref="AB37" si="27">AA37-AB36</f>
        <v>0</v>
      </c>
      <c r="AC37" s="334">
        <f t="shared" ref="AC37" si="28">AB37-AC36</f>
        <v>0</v>
      </c>
      <c r="AD37" s="334">
        <f t="shared" ref="AD37" si="29">AC37-AD36</f>
        <v>0</v>
      </c>
    </row>
    <row r="38" spans="1:37" x14ac:dyDescent="0.3">
      <c r="B38" s="347" t="str">
        <f t="shared" si="9"/>
        <v>Option 2</v>
      </c>
      <c r="G38" s="347"/>
    </row>
    <row r="39" spans="1:37" x14ac:dyDescent="0.3">
      <c r="B39" s="347" t="str">
        <f t="shared" si="9"/>
        <v>Option 2</v>
      </c>
      <c r="D39" s="8" t="s">
        <v>283</v>
      </c>
      <c r="G39" s="347"/>
      <c r="K39" s="334">
        <f t="shared" ref="K39:AD39" si="30">K36+J39</f>
        <v>142</v>
      </c>
      <c r="L39" s="334">
        <f t="shared" si="30"/>
        <v>142</v>
      </c>
      <c r="M39" s="334">
        <f t="shared" si="30"/>
        <v>142</v>
      </c>
      <c r="N39" s="334">
        <f t="shared" si="30"/>
        <v>142</v>
      </c>
      <c r="O39" s="334">
        <f t="shared" si="30"/>
        <v>142</v>
      </c>
      <c r="P39" s="334">
        <f t="shared" si="30"/>
        <v>142</v>
      </c>
      <c r="Q39" s="334">
        <f t="shared" si="30"/>
        <v>142</v>
      </c>
      <c r="R39" s="334">
        <f t="shared" si="30"/>
        <v>142</v>
      </c>
      <c r="S39" s="334">
        <f t="shared" si="30"/>
        <v>142</v>
      </c>
      <c r="T39" s="334">
        <f t="shared" si="30"/>
        <v>142</v>
      </c>
      <c r="U39" s="334">
        <f t="shared" si="30"/>
        <v>142</v>
      </c>
      <c r="V39" s="334">
        <f t="shared" si="30"/>
        <v>142</v>
      </c>
      <c r="W39" s="334">
        <f t="shared" si="30"/>
        <v>142</v>
      </c>
      <c r="X39" s="334">
        <f t="shared" si="30"/>
        <v>142</v>
      </c>
      <c r="Y39" s="334">
        <f t="shared" si="30"/>
        <v>142</v>
      </c>
      <c r="Z39" s="334">
        <f t="shared" si="30"/>
        <v>142</v>
      </c>
      <c r="AA39" s="334">
        <f t="shared" si="30"/>
        <v>142</v>
      </c>
      <c r="AB39" s="334">
        <f t="shared" si="30"/>
        <v>142</v>
      </c>
      <c r="AC39" s="334">
        <f t="shared" si="30"/>
        <v>142</v>
      </c>
      <c r="AD39" s="334">
        <f t="shared" si="30"/>
        <v>142</v>
      </c>
    </row>
    <row r="40" spans="1:37" x14ac:dyDescent="0.3">
      <c r="B40" s="347" t="str">
        <f t="shared" si="9"/>
        <v>Option 2</v>
      </c>
      <c r="D40" s="339" t="s">
        <v>17</v>
      </c>
      <c r="E40" s="336"/>
      <c r="F40" s="336"/>
      <c r="G40" s="351" t="str">
        <f>B40&amp;D40</f>
        <v>Option 2Capex</v>
      </c>
      <c r="H40" s="336"/>
      <c r="I40" s="336"/>
      <c r="J40" s="339"/>
      <c r="K40" s="340">
        <f t="shared" ref="K40:Z40" si="31">K36*$H$7</f>
        <v>5224180</v>
      </c>
      <c r="L40" s="340">
        <f t="shared" si="31"/>
        <v>0</v>
      </c>
      <c r="M40" s="340">
        <f t="shared" si="31"/>
        <v>0</v>
      </c>
      <c r="N40" s="340">
        <f t="shared" si="31"/>
        <v>0</v>
      </c>
      <c r="O40" s="340">
        <f t="shared" si="31"/>
        <v>0</v>
      </c>
      <c r="P40" s="340">
        <f t="shared" si="31"/>
        <v>0</v>
      </c>
      <c r="Q40" s="340">
        <f t="shared" si="31"/>
        <v>0</v>
      </c>
      <c r="R40" s="340">
        <f t="shared" si="31"/>
        <v>0</v>
      </c>
      <c r="S40" s="340">
        <f t="shared" si="31"/>
        <v>0</v>
      </c>
      <c r="T40" s="340">
        <f t="shared" si="31"/>
        <v>0</v>
      </c>
      <c r="U40" s="340">
        <f t="shared" si="31"/>
        <v>0</v>
      </c>
      <c r="V40" s="340">
        <f t="shared" si="31"/>
        <v>0</v>
      </c>
      <c r="W40" s="340">
        <f t="shared" si="31"/>
        <v>0</v>
      </c>
      <c r="X40" s="340">
        <f t="shared" si="31"/>
        <v>0</v>
      </c>
      <c r="Y40" s="340">
        <f t="shared" si="31"/>
        <v>0</v>
      </c>
      <c r="Z40" s="340">
        <f t="shared" si="31"/>
        <v>0</v>
      </c>
    </row>
    <row r="41" spans="1:37" x14ac:dyDescent="0.3">
      <c r="G41" s="347"/>
    </row>
    <row r="42" spans="1:37" x14ac:dyDescent="0.3">
      <c r="G42" s="347"/>
    </row>
    <row r="43" spans="1:37" customFormat="1" ht="14.4" x14ac:dyDescent="0.2">
      <c r="A43" s="18" t="s">
        <v>130</v>
      </c>
      <c r="B43" s="18"/>
      <c r="C43" s="18"/>
      <c r="D43" s="18"/>
      <c r="E43" s="18"/>
      <c r="F43" s="18"/>
      <c r="G43" s="352"/>
      <c r="H43" s="142"/>
      <c r="I43" s="142"/>
      <c r="J43" s="332"/>
      <c r="K43" s="17" t="s">
        <v>19</v>
      </c>
      <c r="L43" s="17" t="s">
        <v>21</v>
      </c>
      <c r="M43" s="17" t="s">
        <v>20</v>
      </c>
      <c r="N43" s="17" t="s">
        <v>22</v>
      </c>
      <c r="O43" s="17" t="s">
        <v>93</v>
      </c>
      <c r="P43" s="17" t="s">
        <v>94</v>
      </c>
      <c r="Q43" s="17" t="s">
        <v>245</v>
      </c>
      <c r="R43" s="17" t="s">
        <v>246</v>
      </c>
      <c r="S43" s="17" t="s">
        <v>247</v>
      </c>
      <c r="T43" s="17" t="s">
        <v>248</v>
      </c>
      <c r="U43" s="17" t="s">
        <v>249</v>
      </c>
      <c r="V43" s="17" t="s">
        <v>250</v>
      </c>
      <c r="W43" s="17" t="s">
        <v>251</v>
      </c>
      <c r="X43" s="17" t="s">
        <v>252</v>
      </c>
      <c r="Y43" s="17" t="s">
        <v>253</v>
      </c>
      <c r="Z43" s="17" t="s">
        <v>254</v>
      </c>
      <c r="AA43" s="17" t="s">
        <v>255</v>
      </c>
      <c r="AB43" s="17" t="s">
        <v>256</v>
      </c>
      <c r="AC43" s="17" t="s">
        <v>257</v>
      </c>
      <c r="AD43" s="17" t="s">
        <v>258</v>
      </c>
      <c r="AE43" s="333" t="s">
        <v>259</v>
      </c>
      <c r="AF43" s="333" t="s">
        <v>260</v>
      </c>
      <c r="AG43" s="333" t="s">
        <v>261</v>
      </c>
      <c r="AH43" s="333" t="s">
        <v>262</v>
      </c>
      <c r="AI43" s="333" t="s">
        <v>263</v>
      </c>
      <c r="AJ43" s="333"/>
      <c r="AK43" s="333"/>
    </row>
    <row r="44" spans="1:37" x14ac:dyDescent="0.3">
      <c r="B44" s="347" t="str">
        <f>A43</f>
        <v>Option 3</v>
      </c>
      <c r="G44" s="347"/>
    </row>
    <row r="45" spans="1:37" x14ac:dyDescent="0.3">
      <c r="B45" s="347" t="str">
        <f t="shared" ref="B45:B51" si="32">B44</f>
        <v>Option 3</v>
      </c>
      <c r="D45" s="348" t="s">
        <v>282</v>
      </c>
      <c r="E45" s="348"/>
      <c r="F45" s="348"/>
      <c r="G45" s="353"/>
      <c r="H45" s="349">
        <v>5</v>
      </c>
      <c r="J45" s="350"/>
      <c r="K45" s="348">
        <f>IF(K$21=start,1,IF(SUM($J45:J45)&gt;=$H45,0, J45))</f>
        <v>1</v>
      </c>
      <c r="L45" s="348">
        <f>IF(L$21=start,1,IF(SUM($J45:K45)&gt;=$H45,0, K45))</f>
        <v>1</v>
      </c>
      <c r="M45" s="348">
        <f>IF(M$21=start,1,IF(SUM($J45:L45)&gt;=$H45,0, L45))</f>
        <v>1</v>
      </c>
      <c r="N45" s="348">
        <f>IF(N$21=start,1,IF(SUM($J45:M45)&gt;=$H45,0, M45))</f>
        <v>1</v>
      </c>
      <c r="O45" s="348">
        <f>IF(O$21=start,1,IF(SUM($J45:N45)&gt;=$H45,0, N45))</f>
        <v>1</v>
      </c>
      <c r="P45" s="348">
        <f>IF(P$21=start,1,IF(SUM($J45:O45)&gt;=$H45,0, O45))</f>
        <v>0</v>
      </c>
      <c r="Q45" s="348">
        <f>IF(Q$21=start,1,IF(SUM($J45:P45)&gt;=$H45,0, P45))</f>
        <v>0</v>
      </c>
      <c r="R45" s="348">
        <f>IF(R$21=start,1,IF(SUM($J45:Q45)&gt;=$H45,0, Q45))</f>
        <v>0</v>
      </c>
      <c r="S45" s="348">
        <f>IF(S$21=start,1,IF(SUM($J45:R45)&gt;=$H45,0, R45))</f>
        <v>0</v>
      </c>
      <c r="T45" s="348">
        <f>IF(T$21=start,1,IF(SUM($J45:S45)&gt;=$H45,0, S45))</f>
        <v>0</v>
      </c>
      <c r="U45" s="348">
        <f>IF(U$21=start,1,IF(SUM($J45:T45)&gt;=$H45,0, T45))</f>
        <v>0</v>
      </c>
      <c r="V45" s="348">
        <f>IF(V$21=start,1,IF(SUM($J45:U45)&gt;=$H45,0, U45))</f>
        <v>0</v>
      </c>
      <c r="W45" s="348">
        <f>IF(W$21=start,1,IF(SUM($J45:V45)&gt;=$H45,0, V45))</f>
        <v>0</v>
      </c>
      <c r="X45" s="348">
        <f>IF(X$21=start,1,IF(SUM($J45:W45)&gt;=$H45,0, W45))</f>
        <v>0</v>
      </c>
      <c r="Y45" s="348">
        <f>IF(Y$21=start,1,IF(SUM($J45:X45)&gt;=$H45,0, X45))</f>
        <v>0</v>
      </c>
      <c r="Z45" s="348">
        <f>IF(Z$21=start,1,IF(SUM($J45:Y45)&gt;=$H45,0, Y45))</f>
        <v>0</v>
      </c>
      <c r="AA45" s="348">
        <f>IF(AA$21=start,1,IF(SUM($J45:Z45)&gt;=$H45,0, Z45))</f>
        <v>0</v>
      </c>
      <c r="AB45" s="348">
        <f>IF(AB$21=start,1,IF(SUM($J45:AA45)&gt;=$H45,0, AA45))</f>
        <v>0</v>
      </c>
      <c r="AC45" s="348">
        <f>IF(AC$21=start,1,IF(SUM($J45:AB45)&gt;=$H45,0, AB45))</f>
        <v>0</v>
      </c>
      <c r="AD45" s="348">
        <f>IF(AD$21=start,1,IF(SUM($J45:AC45)&gt;=$H45,0, AC45))</f>
        <v>0</v>
      </c>
    </row>
    <row r="46" spans="1:37" x14ac:dyDescent="0.3">
      <c r="B46" s="347" t="str">
        <f t="shared" si="32"/>
        <v>Option 3</v>
      </c>
      <c r="D46" s="82"/>
      <c r="E46" s="82"/>
      <c r="F46" s="82"/>
      <c r="G46" s="353"/>
      <c r="H46" s="82"/>
      <c r="J46" s="338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7" x14ac:dyDescent="0.3">
      <c r="B47" s="347" t="str">
        <f t="shared" si="32"/>
        <v>Option 3</v>
      </c>
      <c r="D47" s="8" t="s">
        <v>266</v>
      </c>
      <c r="G47" s="355" t="str">
        <f>B47&amp;D47</f>
        <v>Option 3Number of switches replaced pa</v>
      </c>
      <c r="H47" s="337">
        <f>ROUND($H$10/H45,0)</f>
        <v>28</v>
      </c>
      <c r="K47" s="334">
        <f>MIN($H47, J48)</f>
        <v>28</v>
      </c>
      <c r="L47" s="334">
        <f t="shared" ref="L47:AD47" si="33">MIN($H47, K48)</f>
        <v>28</v>
      </c>
      <c r="M47" s="334">
        <f t="shared" si="33"/>
        <v>28</v>
      </c>
      <c r="N47" s="334">
        <f t="shared" si="33"/>
        <v>28</v>
      </c>
      <c r="O47" s="334">
        <f t="shared" si="33"/>
        <v>28</v>
      </c>
      <c r="P47" s="334">
        <f t="shared" si="33"/>
        <v>2</v>
      </c>
      <c r="Q47" s="334">
        <f t="shared" si="33"/>
        <v>0</v>
      </c>
      <c r="R47" s="334">
        <f t="shared" si="33"/>
        <v>0</v>
      </c>
      <c r="S47" s="334">
        <f t="shared" si="33"/>
        <v>0</v>
      </c>
      <c r="T47" s="334">
        <f t="shared" si="33"/>
        <v>0</v>
      </c>
      <c r="U47" s="334">
        <f t="shared" si="33"/>
        <v>0</v>
      </c>
      <c r="V47" s="334">
        <f t="shared" si="33"/>
        <v>0</v>
      </c>
      <c r="W47" s="334">
        <f t="shared" si="33"/>
        <v>0</v>
      </c>
      <c r="X47" s="334">
        <f t="shared" si="33"/>
        <v>0</v>
      </c>
      <c r="Y47" s="334">
        <f t="shared" si="33"/>
        <v>0</v>
      </c>
      <c r="Z47" s="334">
        <f t="shared" si="33"/>
        <v>0</v>
      </c>
      <c r="AA47" s="334">
        <f t="shared" si="33"/>
        <v>0</v>
      </c>
      <c r="AB47" s="334">
        <f t="shared" si="33"/>
        <v>0</v>
      </c>
      <c r="AC47" s="334">
        <f t="shared" si="33"/>
        <v>0</v>
      </c>
      <c r="AD47" s="334">
        <f t="shared" si="33"/>
        <v>0</v>
      </c>
    </row>
    <row r="48" spans="1:37" x14ac:dyDescent="0.3">
      <c r="B48" s="347" t="str">
        <f t="shared" si="32"/>
        <v>Option 3</v>
      </c>
      <c r="D48" s="8" t="s">
        <v>267</v>
      </c>
      <c r="G48" s="347"/>
      <c r="J48" s="337">
        <f>$H$10</f>
        <v>142</v>
      </c>
      <c r="K48" s="334">
        <f>J48-K47</f>
        <v>114</v>
      </c>
      <c r="L48" s="334">
        <f t="shared" ref="L48" si="34">K48-L47</f>
        <v>86</v>
      </c>
      <c r="M48" s="334">
        <f t="shared" ref="M48" si="35">L48-M47</f>
        <v>58</v>
      </c>
      <c r="N48" s="334">
        <f t="shared" ref="N48" si="36">M48-N47</f>
        <v>30</v>
      </c>
      <c r="O48" s="334">
        <f t="shared" ref="O48" si="37">N48-O47</f>
        <v>2</v>
      </c>
      <c r="P48" s="334">
        <f t="shared" ref="P48" si="38">O48-P47</f>
        <v>0</v>
      </c>
      <c r="Q48" s="334">
        <f t="shared" ref="Q48" si="39">P48-Q47</f>
        <v>0</v>
      </c>
      <c r="R48" s="334">
        <f t="shared" ref="R48" si="40">Q48-R47</f>
        <v>0</v>
      </c>
      <c r="S48" s="334">
        <f t="shared" ref="S48" si="41">R48-S47</f>
        <v>0</v>
      </c>
      <c r="T48" s="334">
        <f t="shared" ref="T48" si="42">S48-T47</f>
        <v>0</v>
      </c>
      <c r="U48" s="334">
        <f t="shared" ref="U48" si="43">T48-U47</f>
        <v>0</v>
      </c>
      <c r="V48" s="334">
        <f t="shared" ref="V48" si="44">U48-V47</f>
        <v>0</v>
      </c>
      <c r="W48" s="334">
        <f t="shared" ref="W48" si="45">V48-W47</f>
        <v>0</v>
      </c>
      <c r="X48" s="334">
        <f t="shared" ref="X48" si="46">W48-X47</f>
        <v>0</v>
      </c>
      <c r="Y48" s="334">
        <f t="shared" ref="Y48" si="47">X48-Y47</f>
        <v>0</v>
      </c>
      <c r="Z48" s="334">
        <f t="shared" ref="Z48" si="48">Y48-Z47</f>
        <v>0</v>
      </c>
      <c r="AA48" s="334">
        <f t="shared" ref="AA48" si="49">Z48-AA47</f>
        <v>0</v>
      </c>
      <c r="AB48" s="334">
        <f t="shared" ref="AB48" si="50">AA48-AB47</f>
        <v>0</v>
      </c>
      <c r="AC48" s="334">
        <f t="shared" ref="AC48" si="51">AB48-AC47</f>
        <v>0</v>
      </c>
      <c r="AD48" s="334">
        <f t="shared" ref="AD48" si="52">AC48-AD47</f>
        <v>0</v>
      </c>
    </row>
    <row r="49" spans="1:37" x14ac:dyDescent="0.3">
      <c r="B49" s="347" t="str">
        <f t="shared" si="32"/>
        <v>Option 3</v>
      </c>
      <c r="G49" s="347"/>
    </row>
    <row r="50" spans="1:37" x14ac:dyDescent="0.3">
      <c r="B50" s="347" t="str">
        <f t="shared" si="32"/>
        <v>Option 3</v>
      </c>
      <c r="D50" s="8" t="s">
        <v>283</v>
      </c>
      <c r="G50" s="347"/>
      <c r="K50" s="334">
        <f t="shared" ref="K50:AD50" si="53">K47+J50</f>
        <v>28</v>
      </c>
      <c r="L50" s="334">
        <f t="shared" si="53"/>
        <v>56</v>
      </c>
      <c r="M50" s="334">
        <f t="shared" si="53"/>
        <v>84</v>
      </c>
      <c r="N50" s="334">
        <f t="shared" si="53"/>
        <v>112</v>
      </c>
      <c r="O50" s="334">
        <f t="shared" si="53"/>
        <v>140</v>
      </c>
      <c r="P50" s="334">
        <f t="shared" si="53"/>
        <v>142</v>
      </c>
      <c r="Q50" s="334">
        <f t="shared" si="53"/>
        <v>142</v>
      </c>
      <c r="R50" s="334">
        <f t="shared" si="53"/>
        <v>142</v>
      </c>
      <c r="S50" s="334">
        <f t="shared" si="53"/>
        <v>142</v>
      </c>
      <c r="T50" s="334">
        <f t="shared" si="53"/>
        <v>142</v>
      </c>
      <c r="U50" s="334">
        <f t="shared" si="53"/>
        <v>142</v>
      </c>
      <c r="V50" s="334">
        <f t="shared" si="53"/>
        <v>142</v>
      </c>
      <c r="W50" s="334">
        <f t="shared" si="53"/>
        <v>142</v>
      </c>
      <c r="X50" s="334">
        <f t="shared" si="53"/>
        <v>142</v>
      </c>
      <c r="Y50" s="334">
        <f t="shared" si="53"/>
        <v>142</v>
      </c>
      <c r="Z50" s="334">
        <f t="shared" si="53"/>
        <v>142</v>
      </c>
      <c r="AA50" s="334">
        <f t="shared" si="53"/>
        <v>142</v>
      </c>
      <c r="AB50" s="334">
        <f t="shared" si="53"/>
        <v>142</v>
      </c>
      <c r="AC50" s="334">
        <f t="shared" si="53"/>
        <v>142</v>
      </c>
      <c r="AD50" s="334">
        <f t="shared" si="53"/>
        <v>142</v>
      </c>
    </row>
    <row r="51" spans="1:37" x14ac:dyDescent="0.3">
      <c r="B51" s="347" t="str">
        <f t="shared" si="32"/>
        <v>Option 3</v>
      </c>
      <c r="D51" s="339" t="s">
        <v>17</v>
      </c>
      <c r="E51" s="336"/>
      <c r="F51" s="336"/>
      <c r="G51" s="351" t="str">
        <f>B51&amp;D51</f>
        <v>Option 3Capex</v>
      </c>
      <c r="H51" s="336"/>
      <c r="I51" s="336"/>
      <c r="J51" s="339"/>
      <c r="K51" s="340">
        <f t="shared" ref="K51:Z51" si="54">K47*$H$7</f>
        <v>1030120</v>
      </c>
      <c r="L51" s="340">
        <f t="shared" si="54"/>
        <v>1030120</v>
      </c>
      <c r="M51" s="340">
        <f t="shared" si="54"/>
        <v>1030120</v>
      </c>
      <c r="N51" s="340">
        <f t="shared" si="54"/>
        <v>1030120</v>
      </c>
      <c r="O51" s="340">
        <f t="shared" si="54"/>
        <v>1030120</v>
      </c>
      <c r="P51" s="340">
        <f t="shared" si="54"/>
        <v>73580</v>
      </c>
      <c r="Q51" s="340">
        <f t="shared" si="54"/>
        <v>0</v>
      </c>
      <c r="R51" s="340">
        <f t="shared" si="54"/>
        <v>0</v>
      </c>
      <c r="S51" s="340">
        <f t="shared" si="54"/>
        <v>0</v>
      </c>
      <c r="T51" s="340">
        <f t="shared" si="54"/>
        <v>0</v>
      </c>
      <c r="U51" s="340">
        <f t="shared" si="54"/>
        <v>0</v>
      </c>
      <c r="V51" s="340">
        <f t="shared" si="54"/>
        <v>0</v>
      </c>
      <c r="W51" s="340">
        <f t="shared" si="54"/>
        <v>0</v>
      </c>
      <c r="X51" s="340">
        <f t="shared" si="54"/>
        <v>0</v>
      </c>
      <c r="Y51" s="340">
        <f t="shared" si="54"/>
        <v>0</v>
      </c>
      <c r="Z51" s="340">
        <f t="shared" si="54"/>
        <v>0</v>
      </c>
    </row>
    <row r="52" spans="1:37" x14ac:dyDescent="0.3">
      <c r="G52" s="347"/>
    </row>
    <row r="53" spans="1:37" x14ac:dyDescent="0.3">
      <c r="G53" s="347"/>
    </row>
    <row r="54" spans="1:37" customFormat="1" ht="14.4" x14ac:dyDescent="0.2">
      <c r="A54" s="18" t="s">
        <v>131</v>
      </c>
      <c r="B54" s="18"/>
      <c r="C54" s="18"/>
      <c r="D54" s="18"/>
      <c r="E54" s="18"/>
      <c r="F54" s="18"/>
      <c r="G54" s="352"/>
      <c r="H54" s="142"/>
      <c r="I54" s="142"/>
      <c r="J54" s="332"/>
      <c r="K54" s="17" t="s">
        <v>19</v>
      </c>
      <c r="L54" s="17" t="s">
        <v>21</v>
      </c>
      <c r="M54" s="17" t="s">
        <v>20</v>
      </c>
      <c r="N54" s="17" t="s">
        <v>22</v>
      </c>
      <c r="O54" s="17" t="s">
        <v>93</v>
      </c>
      <c r="P54" s="17" t="s">
        <v>94</v>
      </c>
      <c r="Q54" s="17" t="s">
        <v>245</v>
      </c>
      <c r="R54" s="17" t="s">
        <v>246</v>
      </c>
      <c r="S54" s="17" t="s">
        <v>247</v>
      </c>
      <c r="T54" s="17" t="s">
        <v>248</v>
      </c>
      <c r="U54" s="17" t="s">
        <v>249</v>
      </c>
      <c r="V54" s="17" t="s">
        <v>250</v>
      </c>
      <c r="W54" s="17" t="s">
        <v>251</v>
      </c>
      <c r="X54" s="17" t="s">
        <v>252</v>
      </c>
      <c r="Y54" s="17" t="s">
        <v>253</v>
      </c>
      <c r="Z54" s="17" t="s">
        <v>254</v>
      </c>
      <c r="AA54" s="17" t="s">
        <v>255</v>
      </c>
      <c r="AB54" s="17" t="s">
        <v>256</v>
      </c>
      <c r="AC54" s="17" t="s">
        <v>257</v>
      </c>
      <c r="AD54" s="17" t="s">
        <v>258</v>
      </c>
      <c r="AE54" s="333" t="s">
        <v>259</v>
      </c>
      <c r="AF54" s="333" t="s">
        <v>260</v>
      </c>
      <c r="AG54" s="333" t="s">
        <v>261</v>
      </c>
      <c r="AH54" s="333" t="s">
        <v>262</v>
      </c>
      <c r="AI54" s="333" t="s">
        <v>263</v>
      </c>
      <c r="AJ54" s="333"/>
      <c r="AK54" s="333"/>
    </row>
    <row r="55" spans="1:37" x14ac:dyDescent="0.3">
      <c r="B55" s="347" t="str">
        <f>A54</f>
        <v>Option 4</v>
      </c>
      <c r="G55" s="347"/>
    </row>
    <row r="56" spans="1:37" x14ac:dyDescent="0.3">
      <c r="B56" s="347" t="str">
        <f t="shared" ref="B56:B62" si="55">B55</f>
        <v>Option 4</v>
      </c>
      <c r="D56" s="82" t="s">
        <v>271</v>
      </c>
      <c r="E56" s="82"/>
      <c r="F56" s="82"/>
      <c r="G56" s="353"/>
      <c r="H56" s="331">
        <v>10</v>
      </c>
      <c r="J56" s="338"/>
      <c r="K56" s="82">
        <f>IF(K$21=start,1,IF(SUM($J56:J56)&gt;=$H56,0, J56))</f>
        <v>1</v>
      </c>
      <c r="L56" s="82">
        <f>IF(L$21=start,1,IF(SUM($J56:K56)&gt;=$H56,0, K56))</f>
        <v>1</v>
      </c>
      <c r="M56" s="82">
        <f>IF(M$21=start,1,IF(SUM($J56:L56)&gt;=$H56,0, L56))</f>
        <v>1</v>
      </c>
      <c r="N56" s="82">
        <f>IF(N$21=start,1,IF(SUM($J56:M56)&gt;=$H56,0, M56))</f>
        <v>1</v>
      </c>
      <c r="O56" s="82">
        <f>IF(O$21=start,1,IF(SUM($J56:N56)&gt;=$H56,0, N56))</f>
        <v>1</v>
      </c>
      <c r="P56" s="82">
        <f>IF(P$21=start,1,IF(SUM($J56:O56)&gt;=$H56,0, O56))</f>
        <v>1</v>
      </c>
      <c r="Q56" s="82">
        <f>IF(Q$21=start,1,IF(SUM($J56:P56)&gt;=$H56,0, P56))</f>
        <v>1</v>
      </c>
      <c r="R56" s="82">
        <f>IF(R$21=start,1,IF(SUM($J56:Q56)&gt;=$H56,0, Q56))</f>
        <v>1</v>
      </c>
      <c r="S56" s="82">
        <f>IF(S$21=start,1,IF(SUM($J56:R56)&gt;=$H56,0, R56))</f>
        <v>1</v>
      </c>
      <c r="T56" s="82">
        <f>IF(T$21=start,1,IF(SUM($J56:S56)&gt;=$H56,0, S56))</f>
        <v>1</v>
      </c>
      <c r="U56" s="82">
        <f>IF(U$21=start,1,IF(SUM($J56:T56)&gt;=$H56,0, T56))</f>
        <v>0</v>
      </c>
      <c r="V56" s="82">
        <f>IF(V$21=start,1,IF(SUM($J56:U56)&gt;=$H56,0, U56))</f>
        <v>0</v>
      </c>
      <c r="W56" s="82">
        <f>IF(W$21=start,1,IF(SUM($J56:V56)&gt;=$H56,0, V56))</f>
        <v>0</v>
      </c>
      <c r="X56" s="82">
        <f>IF(X$21=start,1,IF(SUM($J56:W56)&gt;=$H56,0, W56))</f>
        <v>0</v>
      </c>
      <c r="Y56" s="82">
        <f>IF(Y$21=start,1,IF(SUM($J56:X56)&gt;=$H56,0, X56))</f>
        <v>0</v>
      </c>
      <c r="Z56" s="82">
        <f>IF(Z$21=start,1,IF(SUM($J56:Y56)&gt;=$H56,0, Y56))</f>
        <v>0</v>
      </c>
      <c r="AA56" s="82">
        <f>IF(AA$21=start,1,IF(SUM($J56:Z56)&gt;=$H56,0, Z56))</f>
        <v>0</v>
      </c>
      <c r="AB56" s="82">
        <f>IF(AB$21=start,1,IF(SUM($J56:AA56)&gt;=$H56,0, AA56))</f>
        <v>0</v>
      </c>
      <c r="AC56" s="82">
        <f>IF(AC$21=start,1,IF(SUM($J56:AB56)&gt;=$H56,0, AB56))</f>
        <v>0</v>
      </c>
      <c r="AD56" s="82">
        <f>IF(AD$21=start,1,IF(SUM($J56:AC56)&gt;=$H56,0, AC56))</f>
        <v>0</v>
      </c>
    </row>
    <row r="57" spans="1:37" x14ac:dyDescent="0.3">
      <c r="B57" s="347" t="str">
        <f t="shared" si="55"/>
        <v>Option 4</v>
      </c>
      <c r="D57" s="82"/>
      <c r="E57" s="82"/>
      <c r="F57" s="82"/>
      <c r="G57" s="353"/>
      <c r="H57" s="82"/>
      <c r="J57" s="338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</row>
    <row r="58" spans="1:37" x14ac:dyDescent="0.3">
      <c r="B58" s="347" t="str">
        <f t="shared" si="55"/>
        <v>Option 4</v>
      </c>
      <c r="D58" s="8" t="s">
        <v>266</v>
      </c>
      <c r="G58" s="355" t="str">
        <f>B58&amp;D58</f>
        <v>Option 4Number of switches replaced pa</v>
      </c>
      <c r="H58" s="337">
        <f>ROUND($H$10/H56,0)</f>
        <v>14</v>
      </c>
      <c r="K58" s="334">
        <f>MIN($H58, J59)</f>
        <v>14</v>
      </c>
      <c r="L58" s="334">
        <f t="shared" ref="L58:AD58" si="56">MIN($H58, K59)</f>
        <v>14</v>
      </c>
      <c r="M58" s="334">
        <f t="shared" si="56"/>
        <v>14</v>
      </c>
      <c r="N58" s="334">
        <f t="shared" si="56"/>
        <v>14</v>
      </c>
      <c r="O58" s="334">
        <f t="shared" si="56"/>
        <v>14</v>
      </c>
      <c r="P58" s="334">
        <f t="shared" si="56"/>
        <v>14</v>
      </c>
      <c r="Q58" s="334">
        <f t="shared" si="56"/>
        <v>14</v>
      </c>
      <c r="R58" s="334">
        <f t="shared" si="56"/>
        <v>14</v>
      </c>
      <c r="S58" s="334">
        <f t="shared" si="56"/>
        <v>14</v>
      </c>
      <c r="T58" s="334">
        <f t="shared" si="56"/>
        <v>14</v>
      </c>
      <c r="U58" s="334">
        <f t="shared" si="56"/>
        <v>2</v>
      </c>
      <c r="V58" s="334">
        <f t="shared" si="56"/>
        <v>0</v>
      </c>
      <c r="W58" s="334">
        <f t="shared" si="56"/>
        <v>0</v>
      </c>
      <c r="X58" s="334">
        <f t="shared" si="56"/>
        <v>0</v>
      </c>
      <c r="Y58" s="334">
        <f t="shared" si="56"/>
        <v>0</v>
      </c>
      <c r="Z58" s="334">
        <f t="shared" si="56"/>
        <v>0</v>
      </c>
      <c r="AA58" s="334">
        <f t="shared" si="56"/>
        <v>0</v>
      </c>
      <c r="AB58" s="334">
        <f t="shared" si="56"/>
        <v>0</v>
      </c>
      <c r="AC58" s="334">
        <f t="shared" si="56"/>
        <v>0</v>
      </c>
      <c r="AD58" s="334">
        <f t="shared" si="56"/>
        <v>0</v>
      </c>
    </row>
    <row r="59" spans="1:37" x14ac:dyDescent="0.3">
      <c r="B59" s="347" t="str">
        <f t="shared" si="55"/>
        <v>Option 4</v>
      </c>
      <c r="D59" s="8" t="s">
        <v>267</v>
      </c>
      <c r="G59" s="347"/>
      <c r="J59" s="337">
        <f>$H$10</f>
        <v>142</v>
      </c>
      <c r="K59" s="334">
        <f>J59-K58</f>
        <v>128</v>
      </c>
      <c r="L59" s="334">
        <f t="shared" ref="L59" si="57">K59-L58</f>
        <v>114</v>
      </c>
      <c r="M59" s="334">
        <f t="shared" ref="M59" si="58">L59-M58</f>
        <v>100</v>
      </c>
      <c r="N59" s="334">
        <f t="shared" ref="N59" si="59">M59-N58</f>
        <v>86</v>
      </c>
      <c r="O59" s="334">
        <f t="shared" ref="O59" si="60">N59-O58</f>
        <v>72</v>
      </c>
      <c r="P59" s="334">
        <f t="shared" ref="P59" si="61">O59-P58</f>
        <v>58</v>
      </c>
      <c r="Q59" s="334">
        <f t="shared" ref="Q59" si="62">P59-Q58</f>
        <v>44</v>
      </c>
      <c r="R59" s="334">
        <f t="shared" ref="R59" si="63">Q59-R58</f>
        <v>30</v>
      </c>
      <c r="S59" s="334">
        <f t="shared" ref="S59" si="64">R59-S58</f>
        <v>16</v>
      </c>
      <c r="T59" s="334">
        <f t="shared" ref="T59" si="65">S59-T58</f>
        <v>2</v>
      </c>
      <c r="U59" s="334">
        <f t="shared" ref="U59" si="66">T59-U58</f>
        <v>0</v>
      </c>
      <c r="V59" s="334">
        <f t="shared" ref="V59" si="67">U59-V58</f>
        <v>0</v>
      </c>
      <c r="W59" s="334">
        <f t="shared" ref="W59" si="68">V59-W58</f>
        <v>0</v>
      </c>
      <c r="X59" s="334">
        <f t="shared" ref="X59" si="69">W59-X58</f>
        <v>0</v>
      </c>
      <c r="Y59" s="334">
        <f t="shared" ref="Y59" si="70">X59-Y58</f>
        <v>0</v>
      </c>
      <c r="Z59" s="334">
        <f t="shared" ref="Z59" si="71">Y59-Z58</f>
        <v>0</v>
      </c>
      <c r="AA59" s="334">
        <f t="shared" ref="AA59" si="72">Z59-AA58</f>
        <v>0</v>
      </c>
      <c r="AB59" s="334">
        <f t="shared" ref="AB59" si="73">AA59-AB58</f>
        <v>0</v>
      </c>
      <c r="AC59" s="334">
        <f t="shared" ref="AC59" si="74">AB59-AC58</f>
        <v>0</v>
      </c>
      <c r="AD59" s="334">
        <f t="shared" ref="AD59" si="75">AC59-AD58</f>
        <v>0</v>
      </c>
    </row>
    <row r="60" spans="1:37" x14ac:dyDescent="0.3">
      <c r="B60" s="347" t="str">
        <f t="shared" si="55"/>
        <v>Option 4</v>
      </c>
      <c r="G60" s="347"/>
    </row>
    <row r="61" spans="1:37" x14ac:dyDescent="0.3">
      <c r="B61" s="347" t="str">
        <f t="shared" si="55"/>
        <v>Option 4</v>
      </c>
      <c r="D61" s="8" t="s">
        <v>283</v>
      </c>
      <c r="G61" s="347"/>
      <c r="K61" s="334">
        <f t="shared" ref="K61:AD61" si="76">K58+J61</f>
        <v>14</v>
      </c>
      <c r="L61" s="334">
        <f t="shared" si="76"/>
        <v>28</v>
      </c>
      <c r="M61" s="334">
        <f t="shared" si="76"/>
        <v>42</v>
      </c>
      <c r="N61" s="334">
        <f t="shared" si="76"/>
        <v>56</v>
      </c>
      <c r="O61" s="334">
        <f t="shared" si="76"/>
        <v>70</v>
      </c>
      <c r="P61" s="334">
        <f t="shared" si="76"/>
        <v>84</v>
      </c>
      <c r="Q61" s="334">
        <f t="shared" si="76"/>
        <v>98</v>
      </c>
      <c r="R61" s="334">
        <f t="shared" si="76"/>
        <v>112</v>
      </c>
      <c r="S61" s="334">
        <f t="shared" si="76"/>
        <v>126</v>
      </c>
      <c r="T61" s="334">
        <f t="shared" si="76"/>
        <v>140</v>
      </c>
      <c r="U61" s="334">
        <f t="shared" si="76"/>
        <v>142</v>
      </c>
      <c r="V61" s="334">
        <f t="shared" si="76"/>
        <v>142</v>
      </c>
      <c r="W61" s="334">
        <f t="shared" si="76"/>
        <v>142</v>
      </c>
      <c r="X61" s="334">
        <f t="shared" si="76"/>
        <v>142</v>
      </c>
      <c r="Y61" s="334">
        <f t="shared" si="76"/>
        <v>142</v>
      </c>
      <c r="Z61" s="334">
        <f t="shared" si="76"/>
        <v>142</v>
      </c>
      <c r="AA61" s="334">
        <f t="shared" si="76"/>
        <v>142</v>
      </c>
      <c r="AB61" s="334">
        <f t="shared" si="76"/>
        <v>142</v>
      </c>
      <c r="AC61" s="334">
        <f t="shared" si="76"/>
        <v>142</v>
      </c>
      <c r="AD61" s="334">
        <f t="shared" si="76"/>
        <v>142</v>
      </c>
    </row>
    <row r="62" spans="1:37" x14ac:dyDescent="0.3">
      <c r="B62" s="347" t="str">
        <f t="shared" si="55"/>
        <v>Option 4</v>
      </c>
      <c r="D62" s="339" t="s">
        <v>17</v>
      </c>
      <c r="E62" s="336"/>
      <c r="F62" s="336"/>
      <c r="G62" s="351" t="str">
        <f>B62&amp;D62</f>
        <v>Option 4Capex</v>
      </c>
      <c r="H62" s="336"/>
      <c r="I62" s="336"/>
      <c r="J62" s="339"/>
      <c r="K62" s="340">
        <f t="shared" ref="K62:Z62" si="77">K58*$H$7</f>
        <v>515060</v>
      </c>
      <c r="L62" s="340">
        <f t="shared" si="77"/>
        <v>515060</v>
      </c>
      <c r="M62" s="340">
        <f t="shared" si="77"/>
        <v>515060</v>
      </c>
      <c r="N62" s="340">
        <f t="shared" si="77"/>
        <v>515060</v>
      </c>
      <c r="O62" s="340">
        <f t="shared" si="77"/>
        <v>515060</v>
      </c>
      <c r="P62" s="340">
        <f t="shared" si="77"/>
        <v>515060</v>
      </c>
      <c r="Q62" s="340">
        <f t="shared" si="77"/>
        <v>515060</v>
      </c>
      <c r="R62" s="340">
        <f t="shared" si="77"/>
        <v>515060</v>
      </c>
      <c r="S62" s="340">
        <f t="shared" si="77"/>
        <v>515060</v>
      </c>
      <c r="T62" s="340">
        <f t="shared" si="77"/>
        <v>515060</v>
      </c>
      <c r="U62" s="340">
        <f t="shared" si="77"/>
        <v>73580</v>
      </c>
      <c r="V62" s="340">
        <f t="shared" si="77"/>
        <v>0</v>
      </c>
      <c r="W62" s="340">
        <f t="shared" si="77"/>
        <v>0</v>
      </c>
      <c r="X62" s="340">
        <f t="shared" si="77"/>
        <v>0</v>
      </c>
      <c r="Y62" s="340">
        <f t="shared" si="77"/>
        <v>0</v>
      </c>
      <c r="Z62" s="340">
        <f t="shared" si="77"/>
        <v>0</v>
      </c>
    </row>
    <row r="63" spans="1:37" x14ac:dyDescent="0.3">
      <c r="G63" s="347"/>
    </row>
    <row r="64" spans="1:37" x14ac:dyDescent="0.3">
      <c r="G64" s="347"/>
    </row>
    <row r="65" spans="1:37" customFormat="1" ht="14.4" x14ac:dyDescent="0.2">
      <c r="A65" s="18" t="s">
        <v>151</v>
      </c>
      <c r="B65" s="18"/>
      <c r="C65" s="18"/>
      <c r="D65" s="18"/>
      <c r="E65" s="18"/>
      <c r="F65" s="18"/>
      <c r="G65" s="352"/>
      <c r="H65" s="142"/>
      <c r="I65" s="142"/>
      <c r="J65" s="332"/>
      <c r="K65" s="17" t="s">
        <v>19</v>
      </c>
      <c r="L65" s="17" t="s">
        <v>21</v>
      </c>
      <c r="M65" s="17" t="s">
        <v>20</v>
      </c>
      <c r="N65" s="17" t="s">
        <v>22</v>
      </c>
      <c r="O65" s="17" t="s">
        <v>93</v>
      </c>
      <c r="P65" s="17" t="s">
        <v>94</v>
      </c>
      <c r="Q65" s="17" t="s">
        <v>245</v>
      </c>
      <c r="R65" s="17" t="s">
        <v>246</v>
      </c>
      <c r="S65" s="17" t="s">
        <v>247</v>
      </c>
      <c r="T65" s="17" t="s">
        <v>248</v>
      </c>
      <c r="U65" s="17" t="s">
        <v>249</v>
      </c>
      <c r="V65" s="17" t="s">
        <v>250</v>
      </c>
      <c r="W65" s="17" t="s">
        <v>251</v>
      </c>
      <c r="X65" s="17" t="s">
        <v>252</v>
      </c>
      <c r="Y65" s="17" t="s">
        <v>253</v>
      </c>
      <c r="Z65" s="17" t="s">
        <v>254</v>
      </c>
      <c r="AA65" s="17" t="s">
        <v>255</v>
      </c>
      <c r="AB65" s="17" t="s">
        <v>256</v>
      </c>
      <c r="AC65" s="17" t="s">
        <v>257</v>
      </c>
      <c r="AD65" s="17" t="s">
        <v>258</v>
      </c>
      <c r="AE65" s="333" t="s">
        <v>259</v>
      </c>
      <c r="AF65" s="333" t="s">
        <v>260</v>
      </c>
      <c r="AG65" s="333" t="s">
        <v>261</v>
      </c>
      <c r="AH65" s="333" t="s">
        <v>262</v>
      </c>
      <c r="AI65" s="333" t="s">
        <v>263</v>
      </c>
      <c r="AJ65" s="333"/>
      <c r="AK65" s="333"/>
    </row>
    <row r="66" spans="1:37" x14ac:dyDescent="0.3">
      <c r="B66" s="347" t="str">
        <f>A65</f>
        <v>Option 5</v>
      </c>
      <c r="G66" s="347"/>
    </row>
    <row r="67" spans="1:37" x14ac:dyDescent="0.3">
      <c r="B67" s="347" t="str">
        <f>B66</f>
        <v>Option 5</v>
      </c>
      <c r="D67" s="82" t="s">
        <v>271</v>
      </c>
      <c r="E67" s="82"/>
      <c r="F67" s="82"/>
      <c r="G67" s="353"/>
      <c r="H67" s="331">
        <v>15</v>
      </c>
      <c r="J67" s="338"/>
      <c r="K67" s="82">
        <f>IF(K$21=start,1,IF(SUM($J67:J67)&gt;=$H67,0, J67))</f>
        <v>1</v>
      </c>
      <c r="L67" s="82">
        <f>IF(L$21=start,1,IF(SUM($J67:K67)&gt;=$H67,0, K67))</f>
        <v>1</v>
      </c>
      <c r="M67" s="82">
        <f>IF(M$21=start,1,IF(SUM($J67:L67)&gt;=$H67,0, L67))</f>
        <v>1</v>
      </c>
      <c r="N67" s="82">
        <f>IF(N$21=start,1,IF(SUM($J67:M67)&gt;=$H67,0, M67))</f>
        <v>1</v>
      </c>
      <c r="O67" s="82">
        <f>IF(O$21=start,1,IF(SUM($J67:N67)&gt;=$H67,0, N67))</f>
        <v>1</v>
      </c>
      <c r="P67" s="82">
        <f>IF(P$21=start,1,IF(SUM($J67:O67)&gt;=$H67,0, O67))</f>
        <v>1</v>
      </c>
      <c r="Q67" s="82">
        <f>IF(Q$21=start,1,IF(SUM($J67:P67)&gt;=$H67,0, P67))</f>
        <v>1</v>
      </c>
      <c r="R67" s="82">
        <f>IF(R$21=start,1,IF(SUM($J67:Q67)&gt;=$H67,0, Q67))</f>
        <v>1</v>
      </c>
      <c r="S67" s="82">
        <f>IF(S$21=start,1,IF(SUM($J67:R67)&gt;=$H67,0, R67))</f>
        <v>1</v>
      </c>
      <c r="T67" s="82">
        <f>IF(T$21=start,1,IF(SUM($J67:S67)&gt;=$H67,0, S67))</f>
        <v>1</v>
      </c>
      <c r="U67" s="82">
        <f>IF(U$21=start,1,IF(SUM($J67:T67)&gt;=$H67,0, T67))</f>
        <v>1</v>
      </c>
      <c r="V67" s="82">
        <f>IF(V$21=start,1,IF(SUM($J67:U67)&gt;=$H67,0, U67))</f>
        <v>1</v>
      </c>
      <c r="W67" s="82">
        <f>IF(W$21=start,1,IF(SUM($J67:V67)&gt;=$H67,0, V67))</f>
        <v>1</v>
      </c>
      <c r="X67" s="82">
        <f>IF(X$21=start,1,IF(SUM($J67:W67)&gt;=$H67,0, W67))</f>
        <v>1</v>
      </c>
      <c r="Y67" s="82">
        <f>IF(Y$21=start,1,IF(SUM($J67:X67)&gt;=$H67,0, X67))</f>
        <v>1</v>
      </c>
      <c r="Z67" s="82">
        <f>IF(Z$21=start,1,IF(SUM($J67:Y67)&gt;=$H67,0, Y67))</f>
        <v>0</v>
      </c>
      <c r="AA67" s="82">
        <f>IF(AA$21=start,1,IF(SUM($J67:Z67)&gt;=$H67,0, Z67))</f>
        <v>0</v>
      </c>
      <c r="AB67" s="82">
        <f>IF(AB$21=start,1,IF(SUM($J67:AA67)&gt;=$H67,0, AA67))</f>
        <v>0</v>
      </c>
      <c r="AC67" s="82">
        <f>IF(AC$21=start,1,IF(SUM($J67:AB67)&gt;=$H67,0, AB67))</f>
        <v>0</v>
      </c>
      <c r="AD67" s="82">
        <f>IF(AD$21=start,1,IF(SUM($J67:AC67)&gt;=$H67,0, AC67))</f>
        <v>0</v>
      </c>
    </row>
    <row r="68" spans="1:37" x14ac:dyDescent="0.3">
      <c r="B68" s="347" t="str">
        <f t="shared" ref="B68:B73" si="78">B67</f>
        <v>Option 5</v>
      </c>
      <c r="D68" s="82"/>
      <c r="E68" s="82"/>
      <c r="F68" s="82"/>
      <c r="G68" s="354"/>
      <c r="H68" s="82"/>
      <c r="J68" s="338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</row>
    <row r="69" spans="1:37" x14ac:dyDescent="0.3">
      <c r="B69" s="347" t="str">
        <f t="shared" si="78"/>
        <v>Option 5</v>
      </c>
      <c r="D69" s="8" t="s">
        <v>266</v>
      </c>
      <c r="G69" s="355" t="str">
        <f>B69&amp;D69</f>
        <v>Option 5Number of switches replaced pa</v>
      </c>
      <c r="H69" s="337">
        <f>ROUND($H$10/H67,0)</f>
        <v>9</v>
      </c>
      <c r="K69" s="334">
        <f>MIN($H69, J70)</f>
        <v>9</v>
      </c>
      <c r="L69" s="334">
        <f t="shared" ref="L69:AD69" si="79">MIN($H69, K70)</f>
        <v>9</v>
      </c>
      <c r="M69" s="334">
        <f t="shared" si="79"/>
        <v>9</v>
      </c>
      <c r="N69" s="334">
        <f t="shared" si="79"/>
        <v>9</v>
      </c>
      <c r="O69" s="334">
        <f t="shared" si="79"/>
        <v>9</v>
      </c>
      <c r="P69" s="334">
        <f t="shared" si="79"/>
        <v>9</v>
      </c>
      <c r="Q69" s="334">
        <f t="shared" si="79"/>
        <v>9</v>
      </c>
      <c r="R69" s="334">
        <f t="shared" si="79"/>
        <v>9</v>
      </c>
      <c r="S69" s="334">
        <f t="shared" si="79"/>
        <v>9</v>
      </c>
      <c r="T69" s="334">
        <f t="shared" si="79"/>
        <v>9</v>
      </c>
      <c r="U69" s="334">
        <f t="shared" si="79"/>
        <v>9</v>
      </c>
      <c r="V69" s="334">
        <f t="shared" si="79"/>
        <v>9</v>
      </c>
      <c r="W69" s="334">
        <f t="shared" si="79"/>
        <v>9</v>
      </c>
      <c r="X69" s="334">
        <f t="shared" si="79"/>
        <v>9</v>
      </c>
      <c r="Y69" s="334">
        <f t="shared" si="79"/>
        <v>9</v>
      </c>
      <c r="Z69" s="334">
        <f t="shared" si="79"/>
        <v>7</v>
      </c>
      <c r="AA69" s="334">
        <f t="shared" si="79"/>
        <v>0</v>
      </c>
      <c r="AB69" s="334">
        <f t="shared" si="79"/>
        <v>0</v>
      </c>
      <c r="AC69" s="334">
        <f t="shared" si="79"/>
        <v>0</v>
      </c>
      <c r="AD69" s="334">
        <f t="shared" si="79"/>
        <v>0</v>
      </c>
    </row>
    <row r="70" spans="1:37" x14ac:dyDescent="0.3">
      <c r="B70" s="347" t="str">
        <f t="shared" si="78"/>
        <v>Option 5</v>
      </c>
      <c r="D70" s="8" t="s">
        <v>267</v>
      </c>
      <c r="G70" s="347"/>
      <c r="J70" s="337">
        <f>$H$10</f>
        <v>142</v>
      </c>
      <c r="K70" s="334">
        <f>J70-K69</f>
        <v>133</v>
      </c>
      <c r="L70" s="334">
        <f t="shared" ref="L70" si="80">K70-L69</f>
        <v>124</v>
      </c>
      <c r="M70" s="334">
        <f t="shared" ref="M70" si="81">L70-M69</f>
        <v>115</v>
      </c>
      <c r="N70" s="334">
        <f t="shared" ref="N70" si="82">M70-N69</f>
        <v>106</v>
      </c>
      <c r="O70" s="334">
        <f t="shared" ref="O70" si="83">N70-O69</f>
        <v>97</v>
      </c>
      <c r="P70" s="334">
        <f t="shared" ref="P70" si="84">O70-P69</f>
        <v>88</v>
      </c>
      <c r="Q70" s="334">
        <f t="shared" ref="Q70" si="85">P70-Q69</f>
        <v>79</v>
      </c>
      <c r="R70" s="334">
        <f t="shared" ref="R70" si="86">Q70-R69</f>
        <v>70</v>
      </c>
      <c r="S70" s="334">
        <f t="shared" ref="S70" si="87">R70-S69</f>
        <v>61</v>
      </c>
      <c r="T70" s="334">
        <f t="shared" ref="T70" si="88">S70-T69</f>
        <v>52</v>
      </c>
      <c r="U70" s="334">
        <f t="shared" ref="U70" si="89">T70-U69</f>
        <v>43</v>
      </c>
      <c r="V70" s="334">
        <f t="shared" ref="V70" si="90">U70-V69</f>
        <v>34</v>
      </c>
      <c r="W70" s="334">
        <f t="shared" ref="W70" si="91">V70-W69</f>
        <v>25</v>
      </c>
      <c r="X70" s="334">
        <f t="shared" ref="X70" si="92">W70-X69</f>
        <v>16</v>
      </c>
      <c r="Y70" s="334">
        <f t="shared" ref="Y70" si="93">X70-Y69</f>
        <v>7</v>
      </c>
      <c r="Z70" s="334">
        <f t="shared" ref="Z70" si="94">Y70-Z69</f>
        <v>0</v>
      </c>
      <c r="AA70" s="334">
        <f t="shared" ref="AA70" si="95">Z70-AA69</f>
        <v>0</v>
      </c>
      <c r="AB70" s="334">
        <f t="shared" ref="AB70" si="96">AA70-AB69</f>
        <v>0</v>
      </c>
      <c r="AC70" s="334">
        <f t="shared" ref="AC70" si="97">AB70-AC69</f>
        <v>0</v>
      </c>
      <c r="AD70" s="334">
        <f t="shared" ref="AD70" si="98">AC70-AD69</f>
        <v>0</v>
      </c>
    </row>
    <row r="71" spans="1:37" x14ac:dyDescent="0.3">
      <c r="B71" s="347" t="str">
        <f t="shared" si="78"/>
        <v>Option 5</v>
      </c>
      <c r="G71" s="347"/>
    </row>
    <row r="72" spans="1:37" x14ac:dyDescent="0.3">
      <c r="B72" s="347" t="str">
        <f t="shared" si="78"/>
        <v>Option 5</v>
      </c>
      <c r="D72" s="8" t="s">
        <v>283</v>
      </c>
      <c r="G72" s="347"/>
      <c r="K72" s="334">
        <f t="shared" ref="K72:AD72" si="99">K69+J72</f>
        <v>9</v>
      </c>
      <c r="L72" s="334">
        <f t="shared" si="99"/>
        <v>18</v>
      </c>
      <c r="M72" s="334">
        <f t="shared" si="99"/>
        <v>27</v>
      </c>
      <c r="N72" s="334">
        <f t="shared" si="99"/>
        <v>36</v>
      </c>
      <c r="O72" s="334">
        <f t="shared" si="99"/>
        <v>45</v>
      </c>
      <c r="P72" s="334">
        <f t="shared" si="99"/>
        <v>54</v>
      </c>
      <c r="Q72" s="334">
        <f t="shared" si="99"/>
        <v>63</v>
      </c>
      <c r="R72" s="334">
        <f t="shared" si="99"/>
        <v>72</v>
      </c>
      <c r="S72" s="334">
        <f t="shared" si="99"/>
        <v>81</v>
      </c>
      <c r="T72" s="334">
        <f t="shared" si="99"/>
        <v>90</v>
      </c>
      <c r="U72" s="334">
        <f t="shared" si="99"/>
        <v>99</v>
      </c>
      <c r="V72" s="334">
        <f t="shared" si="99"/>
        <v>108</v>
      </c>
      <c r="W72" s="334">
        <f t="shared" si="99"/>
        <v>117</v>
      </c>
      <c r="X72" s="334">
        <f t="shared" si="99"/>
        <v>126</v>
      </c>
      <c r="Y72" s="334">
        <f t="shared" si="99"/>
        <v>135</v>
      </c>
      <c r="Z72" s="334">
        <f t="shared" si="99"/>
        <v>142</v>
      </c>
      <c r="AA72" s="334">
        <f t="shared" si="99"/>
        <v>142</v>
      </c>
      <c r="AB72" s="334">
        <f t="shared" si="99"/>
        <v>142</v>
      </c>
      <c r="AC72" s="334">
        <f t="shared" si="99"/>
        <v>142</v>
      </c>
      <c r="AD72" s="334">
        <f t="shared" si="99"/>
        <v>142</v>
      </c>
    </row>
    <row r="73" spans="1:37" x14ac:dyDescent="0.3">
      <c r="B73" s="347" t="str">
        <f t="shared" si="78"/>
        <v>Option 5</v>
      </c>
      <c r="D73" s="339" t="s">
        <v>17</v>
      </c>
      <c r="E73" s="336"/>
      <c r="F73" s="336"/>
      <c r="G73" s="351" t="str">
        <f>B73&amp;D73</f>
        <v>Option 5Capex</v>
      </c>
      <c r="H73" s="336"/>
      <c r="I73" s="336"/>
      <c r="J73" s="339"/>
      <c r="K73" s="340">
        <f t="shared" ref="K73:Z73" si="100">K69*$H$7</f>
        <v>331110</v>
      </c>
      <c r="L73" s="340">
        <f t="shared" si="100"/>
        <v>331110</v>
      </c>
      <c r="M73" s="340">
        <f t="shared" si="100"/>
        <v>331110</v>
      </c>
      <c r="N73" s="340">
        <f t="shared" si="100"/>
        <v>331110</v>
      </c>
      <c r="O73" s="340">
        <f t="shared" si="100"/>
        <v>331110</v>
      </c>
      <c r="P73" s="340">
        <f t="shared" si="100"/>
        <v>331110</v>
      </c>
      <c r="Q73" s="340">
        <f t="shared" si="100"/>
        <v>331110</v>
      </c>
      <c r="R73" s="340">
        <f t="shared" si="100"/>
        <v>331110</v>
      </c>
      <c r="S73" s="340">
        <f t="shared" si="100"/>
        <v>331110</v>
      </c>
      <c r="T73" s="340">
        <f t="shared" si="100"/>
        <v>331110</v>
      </c>
      <c r="U73" s="340">
        <f t="shared" si="100"/>
        <v>331110</v>
      </c>
      <c r="V73" s="340">
        <f t="shared" si="100"/>
        <v>331110</v>
      </c>
      <c r="W73" s="340">
        <f t="shared" si="100"/>
        <v>331110</v>
      </c>
      <c r="X73" s="340">
        <f t="shared" si="100"/>
        <v>331110</v>
      </c>
      <c r="Y73" s="340">
        <f t="shared" si="100"/>
        <v>331110</v>
      </c>
      <c r="Z73" s="340">
        <f t="shared" si="100"/>
        <v>257530</v>
      </c>
    </row>
    <row r="74" spans="1:37" x14ac:dyDescent="0.3">
      <c r="G74" s="347"/>
    </row>
    <row r="75" spans="1:37" x14ac:dyDescent="0.3">
      <c r="G75" s="347"/>
    </row>
    <row r="76" spans="1:37" x14ac:dyDescent="0.3">
      <c r="G76" s="347"/>
    </row>
    <row r="77" spans="1:37" x14ac:dyDescent="0.3">
      <c r="G77" s="347"/>
    </row>
    <row r="78" spans="1:37" x14ac:dyDescent="0.3">
      <c r="G78" s="347"/>
    </row>
    <row r="79" spans="1:37" x14ac:dyDescent="0.3">
      <c r="G79" s="347"/>
    </row>
    <row r="80" spans="1:37" x14ac:dyDescent="0.3">
      <c r="G80" s="347"/>
    </row>
    <row r="81" spans="7:7" x14ac:dyDescent="0.3">
      <c r="G81" s="347"/>
    </row>
    <row r="82" spans="7:7" x14ac:dyDescent="0.3">
      <c r="G82" s="347"/>
    </row>
    <row r="83" spans="7:7" x14ac:dyDescent="0.3">
      <c r="G83" s="347"/>
    </row>
    <row r="84" spans="7:7" x14ac:dyDescent="0.3">
      <c r="G84" s="347"/>
    </row>
    <row r="85" spans="7:7" x14ac:dyDescent="0.3">
      <c r="G85" s="347"/>
    </row>
    <row r="86" spans="7:7" x14ac:dyDescent="0.3">
      <c r="G86" s="347"/>
    </row>
    <row r="87" spans="7:7" x14ac:dyDescent="0.3">
      <c r="G87" s="347"/>
    </row>
    <row r="88" spans="7:7" x14ac:dyDescent="0.3">
      <c r="G88" s="347"/>
    </row>
    <row r="89" spans="7:7" x14ac:dyDescent="0.3">
      <c r="G89" s="347"/>
    </row>
    <row r="90" spans="7:7" x14ac:dyDescent="0.3">
      <c r="G90" s="347"/>
    </row>
    <row r="91" spans="7:7" x14ac:dyDescent="0.3">
      <c r="G91" s="347"/>
    </row>
    <row r="92" spans="7:7" x14ac:dyDescent="0.3">
      <c r="G92" s="347"/>
    </row>
    <row r="93" spans="7:7" x14ac:dyDescent="0.3">
      <c r="G93" s="347"/>
    </row>
    <row r="94" spans="7:7" x14ac:dyDescent="0.3">
      <c r="G94" s="347"/>
    </row>
    <row r="95" spans="7:7" x14ac:dyDescent="0.3">
      <c r="G95" s="347"/>
    </row>
    <row r="96" spans="7:7" x14ac:dyDescent="0.3">
      <c r="G96" s="347"/>
    </row>
    <row r="97" spans="7:7" x14ac:dyDescent="0.3">
      <c r="G97" s="347"/>
    </row>
    <row r="98" spans="7:7" x14ac:dyDescent="0.3">
      <c r="G98" s="347"/>
    </row>
    <row r="99" spans="7:7" x14ac:dyDescent="0.3">
      <c r="G99" s="347"/>
    </row>
    <row r="100" spans="7:7" x14ac:dyDescent="0.3">
      <c r="G100" s="347"/>
    </row>
    <row r="101" spans="7:7" x14ac:dyDescent="0.3">
      <c r="G101" s="347"/>
    </row>
    <row r="102" spans="7:7" x14ac:dyDescent="0.3">
      <c r="G102" s="347"/>
    </row>
    <row r="103" spans="7:7" x14ac:dyDescent="0.3">
      <c r="G103" s="347"/>
    </row>
    <row r="104" spans="7:7" x14ac:dyDescent="0.3">
      <c r="G104" s="347"/>
    </row>
    <row r="105" spans="7:7" x14ac:dyDescent="0.3">
      <c r="G105" s="347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BDDF-6554-4715-BCE7-3D12C1A8A5F9}">
  <sheetPr codeName="Sheet10">
    <tabColor rgb="FFFFFF00"/>
  </sheetPr>
  <dimension ref="A1:AT83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9" sqref="F9"/>
    </sheetView>
  </sheetViews>
  <sheetFormatPr defaultColWidth="9" defaultRowHeight="13.8" x14ac:dyDescent="0.3"/>
  <cols>
    <col min="1" max="6" width="9" style="8"/>
    <col min="7" max="9" width="12.26953125" style="8" customWidth="1"/>
    <col min="10" max="30" width="14.08984375" style="8" customWidth="1"/>
    <col min="31" max="32" width="12.26953125" style="8" customWidth="1"/>
    <col min="33" max="16384" width="9" style="8"/>
  </cols>
  <sheetData>
    <row r="1" spans="1:35" s="1" customFormat="1" ht="18" x14ac:dyDescent="0.35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5" s="1" customFormat="1" ht="18" x14ac:dyDescent="0.35">
      <c r="A2" s="56" t="str">
        <f>proj</f>
        <v>Recplacement of CRO inoperable RMUs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5" s="1" customFormat="1" ht="18" x14ac:dyDescent="0.35">
      <c r="A3" s="5" t="s">
        <v>241</v>
      </c>
      <c r="B3" s="34"/>
      <c r="C3" s="5"/>
      <c r="D3" s="5"/>
      <c r="E3" s="5"/>
    </row>
    <row r="4" spans="1:35" s="1" customFormat="1" x14ac:dyDescent="0.3"/>
    <row r="5" spans="1:35" s="1" customFormat="1" x14ac:dyDescent="0.3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</row>
    <row r="6" spans="1:35" x14ac:dyDescent="0.3">
      <c r="G6"/>
      <c r="H6"/>
    </row>
    <row r="7" spans="1:35" x14ac:dyDescent="0.3">
      <c r="B7" s="8" t="s">
        <v>284</v>
      </c>
      <c r="F7" s="337">
        <f>Workings_costs!H10</f>
        <v>142</v>
      </c>
      <c r="G7"/>
      <c r="H7"/>
    </row>
    <row r="8" spans="1:35" x14ac:dyDescent="0.3">
      <c r="G8"/>
      <c r="H8"/>
    </row>
    <row r="9" spans="1:35" x14ac:dyDescent="0.3">
      <c r="B9" s="8" t="s">
        <v>290</v>
      </c>
      <c r="D9" s="8" t="s">
        <v>244</v>
      </c>
      <c r="E9" s="345">
        <v>2023</v>
      </c>
      <c r="F9" s="331">
        <v>1951869.3887187999</v>
      </c>
      <c r="H9"/>
    </row>
    <row r="10" spans="1:35" x14ac:dyDescent="0.3">
      <c r="A10"/>
      <c r="B10" s="14"/>
      <c r="C10"/>
      <c r="D10"/>
      <c r="E10"/>
      <c r="F10"/>
      <c r="G10"/>
      <c r="H10"/>
      <c r="I10"/>
    </row>
    <row r="11" spans="1:35" x14ac:dyDescent="0.3">
      <c r="B11" s="8" t="s">
        <v>242</v>
      </c>
      <c r="F11" s="331">
        <f>Workings_costs!H10</f>
        <v>142</v>
      </c>
      <c r="G11"/>
      <c r="H11"/>
      <c r="X11" s="8">
        <v>3513000</v>
      </c>
    </row>
    <row r="12" spans="1:35" x14ac:dyDescent="0.3">
      <c r="G12"/>
      <c r="H12"/>
    </row>
    <row r="13" spans="1:35" x14ac:dyDescent="0.3">
      <c r="B13" s="8" t="s">
        <v>8</v>
      </c>
      <c r="F13" s="334">
        <f>Assumptions!$H$41</f>
        <v>43815.486225173103</v>
      </c>
      <c r="G13"/>
      <c r="H13"/>
    </row>
    <row r="16" spans="1:35" customFormat="1" ht="14.4" x14ac:dyDescent="0.2">
      <c r="A16" s="18" t="s">
        <v>140</v>
      </c>
      <c r="B16" s="18"/>
      <c r="C16" s="18"/>
      <c r="D16" s="18"/>
      <c r="E16" s="142"/>
      <c r="F16" s="142"/>
      <c r="G16" s="332"/>
      <c r="H16" s="332">
        <v>46203</v>
      </c>
      <c r="I16" s="17" t="s">
        <v>19</v>
      </c>
      <c r="J16" s="17" t="s">
        <v>21</v>
      </c>
      <c r="K16" s="17" t="s">
        <v>20</v>
      </c>
      <c r="L16" s="17" t="s">
        <v>22</v>
      </c>
      <c r="M16" s="17" t="s">
        <v>93</v>
      </c>
      <c r="N16" s="17" t="s">
        <v>94</v>
      </c>
      <c r="O16" s="17" t="s">
        <v>245</v>
      </c>
      <c r="P16" s="17" t="s">
        <v>246</v>
      </c>
      <c r="Q16" s="17" t="s">
        <v>247</v>
      </c>
      <c r="R16" s="17" t="s">
        <v>248</v>
      </c>
      <c r="S16" s="17" t="s">
        <v>249</v>
      </c>
      <c r="T16" s="17" t="s">
        <v>250</v>
      </c>
      <c r="U16" s="17" t="s">
        <v>251</v>
      </c>
      <c r="V16" s="17" t="s">
        <v>252</v>
      </c>
      <c r="W16" s="17" t="s">
        <v>253</v>
      </c>
      <c r="X16" s="17" t="s">
        <v>254</v>
      </c>
      <c r="Y16" s="17" t="s">
        <v>255</v>
      </c>
      <c r="Z16" s="17" t="s">
        <v>256</v>
      </c>
      <c r="AA16" s="17" t="s">
        <v>257</v>
      </c>
      <c r="AB16" s="17" t="s">
        <v>258</v>
      </c>
      <c r="AC16" s="17" t="s">
        <v>258</v>
      </c>
      <c r="AD16" s="17" t="s">
        <v>258</v>
      </c>
      <c r="AE16" s="17" t="s">
        <v>258</v>
      </c>
      <c r="AF16" s="17" t="s">
        <v>258</v>
      </c>
      <c r="AG16" s="333" t="s">
        <v>263</v>
      </c>
      <c r="AH16" s="333"/>
      <c r="AI16" s="333"/>
    </row>
    <row r="18" spans="1:46" x14ac:dyDescent="0.3">
      <c r="B18" s="356" t="s">
        <v>266</v>
      </c>
      <c r="C18" s="356"/>
      <c r="D18" s="356"/>
      <c r="E18" s="356"/>
      <c r="F18" s="356"/>
      <c r="G18" s="356"/>
      <c r="H18" s="356"/>
      <c r="I18" s="357">
        <f>INDEX(Workings_costs!K$23:K$75, MATCH($A16&amp;$B18, Workings_costs!$G$23:$G$75,0))</f>
        <v>0</v>
      </c>
      <c r="J18" s="357">
        <f>INDEX(Workings_costs!L$23:L$75, MATCH($A16&amp;$B18, Workings_costs!$G$23:$G$75,0))</f>
        <v>0</v>
      </c>
      <c r="K18" s="357">
        <f>INDEX(Workings_costs!M$23:M$75, MATCH($A16&amp;$B18, Workings_costs!$G$23:$G$75,0))</f>
        <v>0</v>
      </c>
      <c r="L18" s="357">
        <f>INDEX(Workings_costs!N$23:N$75, MATCH($A16&amp;$B18, Workings_costs!$G$23:$G$75,0))</f>
        <v>0</v>
      </c>
      <c r="M18" s="357">
        <f>INDEX(Workings_costs!O$23:O$75, MATCH($A16&amp;$B18, Workings_costs!$G$23:$G$75,0))</f>
        <v>0</v>
      </c>
      <c r="N18" s="357">
        <f>INDEX(Workings_costs!P$23:P$75, MATCH($A16&amp;$B18, Workings_costs!$G$23:$G$75,0))</f>
        <v>0</v>
      </c>
      <c r="O18" s="357">
        <f>INDEX(Workings_costs!Q$23:Q$75, MATCH($A16&amp;$B18, Workings_costs!$G$23:$G$75,0))</f>
        <v>0</v>
      </c>
      <c r="P18" s="357">
        <f>INDEX(Workings_costs!R$23:R$75, MATCH($A16&amp;$B18, Workings_costs!$G$23:$G$75,0))</f>
        <v>0</v>
      </c>
      <c r="Q18" s="357">
        <f>INDEX(Workings_costs!S$23:S$75, MATCH($A16&amp;$B18, Workings_costs!$G$23:$G$75,0))</f>
        <v>0</v>
      </c>
      <c r="R18" s="357">
        <f>INDEX(Workings_costs!T$23:T$75, MATCH($A16&amp;$B18, Workings_costs!$G$23:$G$75,0))</f>
        <v>0</v>
      </c>
      <c r="S18" s="357">
        <f>INDEX(Workings_costs!U$23:U$75, MATCH($A16&amp;$B18, Workings_costs!$G$23:$G$75,0))</f>
        <v>0</v>
      </c>
      <c r="T18" s="357">
        <f>INDEX(Workings_costs!V$23:V$75, MATCH($A16&amp;$B18, Workings_costs!$G$23:$G$75,0))</f>
        <v>0</v>
      </c>
      <c r="U18" s="357">
        <f>INDEX(Workings_costs!W$23:W$75, MATCH($A16&amp;$B18, Workings_costs!$G$23:$G$75,0))</f>
        <v>0</v>
      </c>
      <c r="V18" s="357">
        <f>INDEX(Workings_costs!X$23:X$75, MATCH($A16&amp;$B18, Workings_costs!$G$23:$G$75,0))</f>
        <v>0</v>
      </c>
      <c r="W18" s="357">
        <f>INDEX(Workings_costs!Y$23:Y$75, MATCH($A16&amp;$B18, Workings_costs!$G$23:$G$75,0))</f>
        <v>0</v>
      </c>
      <c r="X18" s="357">
        <f>INDEX(Workings_costs!Z$23:Z$75, MATCH($A16&amp;$B18, Workings_costs!$G$23:$G$75,0))</f>
        <v>0</v>
      </c>
      <c r="Y18" s="357">
        <f>INDEX(Workings_costs!AA$23:AA$75, MATCH($A16&amp;$B18, Workings_costs!$G$23:$G$75,0))</f>
        <v>0</v>
      </c>
      <c r="Z18" s="357">
        <f>INDEX(Workings_costs!AB$23:AB$75, MATCH($A16&amp;$B18, Workings_costs!$G$23:$G$75,0))</f>
        <v>0</v>
      </c>
      <c r="AA18" s="357">
        <f>INDEX(Workings_costs!AC$23:AC$75, MATCH($A16&amp;$B18, Workings_costs!$G$23:$G$75,0))</f>
        <v>0</v>
      </c>
      <c r="AB18" s="357">
        <f>INDEX(Workings_costs!AD$23:AD$75, MATCH($A16&amp;$B18, Workings_costs!$G$23:$G$75,0))</f>
        <v>0</v>
      </c>
      <c r="AC18" s="357">
        <f>INDEX(Workings_costs!AE$23:AE$75, MATCH($A16&amp;$B18, Workings_costs!$G$23:$G$75,0))</f>
        <v>0</v>
      </c>
      <c r="AD18" s="357">
        <f>INDEX(Workings_costs!AF$23:AF$75, MATCH($A16&amp;$B18, Workings_costs!$G$23:$G$75,0))</f>
        <v>0</v>
      </c>
      <c r="AE18" s="357">
        <f>INDEX(Workings_costs!AG$23:AG$75, MATCH($A16&amp;$B18, Workings_costs!$G$23:$G$75,0))</f>
        <v>0</v>
      </c>
      <c r="AF18" s="357">
        <f>INDEX(Workings_costs!AH$23:AH$75, MATCH($A16&amp;$B18, Workings_costs!$G$23:$G$75,0))</f>
        <v>0</v>
      </c>
    </row>
    <row r="19" spans="1:46" x14ac:dyDescent="0.3">
      <c r="B19" s="356" t="s">
        <v>267</v>
      </c>
      <c r="C19" s="356"/>
      <c r="D19" s="356"/>
      <c r="E19" s="356"/>
      <c r="F19" s="356"/>
      <c r="G19" s="356"/>
      <c r="H19" s="357">
        <f>$F$7</f>
        <v>142</v>
      </c>
      <c r="I19" s="357">
        <f>H19-I18</f>
        <v>142</v>
      </c>
      <c r="J19" s="357">
        <f t="shared" ref="J19" si="0">I19-J18</f>
        <v>142</v>
      </c>
      <c r="K19" s="357">
        <f t="shared" ref="K19" si="1">J19-K18</f>
        <v>142</v>
      </c>
      <c r="L19" s="357">
        <f t="shared" ref="L19" si="2">K19-L18</f>
        <v>142</v>
      </c>
      <c r="M19" s="357">
        <f t="shared" ref="M19" si="3">L19-M18</f>
        <v>142</v>
      </c>
      <c r="N19" s="357">
        <f t="shared" ref="N19" si="4">M19-N18</f>
        <v>142</v>
      </c>
      <c r="O19" s="357">
        <f t="shared" ref="O19" si="5">N19-O18</f>
        <v>142</v>
      </c>
      <c r="P19" s="357">
        <f t="shared" ref="P19" si="6">O19-P18</f>
        <v>142</v>
      </c>
      <c r="Q19" s="357">
        <f t="shared" ref="Q19" si="7">P19-Q18</f>
        <v>142</v>
      </c>
      <c r="R19" s="357">
        <f t="shared" ref="R19" si="8">Q19-R18</f>
        <v>142</v>
      </c>
      <c r="S19" s="357">
        <f t="shared" ref="S19" si="9">R19-S18</f>
        <v>142</v>
      </c>
      <c r="T19" s="357">
        <f t="shared" ref="T19" si="10">S19-T18</f>
        <v>142</v>
      </c>
      <c r="U19" s="357">
        <f t="shared" ref="U19" si="11">T19-U18</f>
        <v>142</v>
      </c>
      <c r="V19" s="357">
        <f t="shared" ref="V19" si="12">U19-V18</f>
        <v>142</v>
      </c>
      <c r="W19" s="357">
        <f t="shared" ref="W19" si="13">V19-W18</f>
        <v>142</v>
      </c>
      <c r="X19" s="357">
        <f t="shared" ref="X19" si="14">W19-X18</f>
        <v>142</v>
      </c>
      <c r="Y19" s="357">
        <f t="shared" ref="Y19" si="15">X19-Y18</f>
        <v>142</v>
      </c>
      <c r="Z19" s="357">
        <f t="shared" ref="Z19" si="16">Y19-Z18</f>
        <v>142</v>
      </c>
      <c r="AA19" s="357">
        <f t="shared" ref="AA19" si="17">Z19-AA18</f>
        <v>142</v>
      </c>
      <c r="AB19" s="357">
        <f t="shared" ref="AB19" si="18">AA19-AB18</f>
        <v>142</v>
      </c>
      <c r="AC19" s="357">
        <f t="shared" ref="AC19" si="19">AB19-AC18</f>
        <v>142</v>
      </c>
      <c r="AD19" s="357">
        <f t="shared" ref="AD19" si="20">AC19-AD18</f>
        <v>142</v>
      </c>
      <c r="AE19" s="357">
        <f t="shared" ref="AE19" si="21">AD19-AE18</f>
        <v>142</v>
      </c>
      <c r="AF19" s="357">
        <f t="shared" ref="AF19" si="22">AE19-AF18</f>
        <v>142</v>
      </c>
    </row>
    <row r="20" spans="1:46" x14ac:dyDescent="0.3">
      <c r="B20" s="356" t="s">
        <v>268</v>
      </c>
      <c r="C20" s="356"/>
      <c r="D20" s="356"/>
      <c r="E20" s="356"/>
      <c r="F20" s="356"/>
      <c r="G20" s="356"/>
      <c r="H20" s="356"/>
      <c r="I20" s="357">
        <f t="shared" ref="I20:AB20" si="23">I18+H20</f>
        <v>0</v>
      </c>
      <c r="J20" s="357">
        <f t="shared" si="23"/>
        <v>0</v>
      </c>
      <c r="K20" s="357">
        <f t="shared" si="23"/>
        <v>0</v>
      </c>
      <c r="L20" s="357">
        <f t="shared" si="23"/>
        <v>0</v>
      </c>
      <c r="M20" s="357">
        <f t="shared" si="23"/>
        <v>0</v>
      </c>
      <c r="N20" s="357">
        <f t="shared" si="23"/>
        <v>0</v>
      </c>
      <c r="O20" s="357">
        <f t="shared" si="23"/>
        <v>0</v>
      </c>
      <c r="P20" s="357">
        <f t="shared" si="23"/>
        <v>0</v>
      </c>
      <c r="Q20" s="357">
        <f t="shared" si="23"/>
        <v>0</v>
      </c>
      <c r="R20" s="357">
        <f t="shared" si="23"/>
        <v>0</v>
      </c>
      <c r="S20" s="357">
        <f t="shared" si="23"/>
        <v>0</v>
      </c>
      <c r="T20" s="357">
        <f t="shared" si="23"/>
        <v>0</v>
      </c>
      <c r="U20" s="357">
        <f t="shared" si="23"/>
        <v>0</v>
      </c>
      <c r="V20" s="357">
        <f t="shared" si="23"/>
        <v>0</v>
      </c>
      <c r="W20" s="357">
        <f t="shared" si="23"/>
        <v>0</v>
      </c>
      <c r="X20" s="357">
        <f t="shared" si="23"/>
        <v>0</v>
      </c>
      <c r="Y20" s="357">
        <f t="shared" si="23"/>
        <v>0</v>
      </c>
      <c r="Z20" s="357">
        <f t="shared" si="23"/>
        <v>0</v>
      </c>
      <c r="AA20" s="357">
        <f t="shared" si="23"/>
        <v>0</v>
      </c>
      <c r="AB20" s="357">
        <f t="shared" si="23"/>
        <v>0</v>
      </c>
      <c r="AC20" s="357">
        <f t="shared" ref="AC20:AF20" si="24">AC18+AB20</f>
        <v>0</v>
      </c>
      <c r="AD20" s="357">
        <f t="shared" si="24"/>
        <v>0</v>
      </c>
      <c r="AE20" s="357">
        <f t="shared" si="24"/>
        <v>0</v>
      </c>
      <c r="AF20" s="357">
        <f t="shared" si="24"/>
        <v>0</v>
      </c>
    </row>
    <row r="21" spans="1:46" x14ac:dyDescent="0.3">
      <c r="I21" s="334"/>
    </row>
    <row r="22" spans="1:46" x14ac:dyDescent="0.3">
      <c r="A22" s="14" t="s">
        <v>278</v>
      </c>
    </row>
    <row r="23" spans="1:46" x14ac:dyDescent="0.3">
      <c r="B23" s="14"/>
    </row>
    <row r="24" spans="1:46" x14ac:dyDescent="0.3"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x14ac:dyDescent="0.3">
      <c r="B25" s="8" t="s">
        <v>290</v>
      </c>
      <c r="E25" s="345">
        <v>2023</v>
      </c>
      <c r="I25" s="334">
        <f>$F$9</f>
        <v>1951869.3887187999</v>
      </c>
      <c r="J25" s="334">
        <f>$F$9</f>
        <v>1951869.3887187999</v>
      </c>
      <c r="K25" s="334">
        <f t="shared" ref="K25:AF25" si="25">$F$9</f>
        <v>1951869.3887187999</v>
      </c>
      <c r="L25" s="334">
        <f t="shared" si="25"/>
        <v>1951869.3887187999</v>
      </c>
      <c r="M25" s="334">
        <f t="shared" si="25"/>
        <v>1951869.3887187999</v>
      </c>
      <c r="N25" s="334">
        <f t="shared" si="25"/>
        <v>1951869.3887187999</v>
      </c>
      <c r="O25" s="334">
        <f t="shared" si="25"/>
        <v>1951869.3887187999</v>
      </c>
      <c r="P25" s="334">
        <f t="shared" si="25"/>
        <v>1951869.3887187999</v>
      </c>
      <c r="Q25" s="334">
        <f t="shared" si="25"/>
        <v>1951869.3887187999</v>
      </c>
      <c r="R25" s="334">
        <f t="shared" si="25"/>
        <v>1951869.3887187999</v>
      </c>
      <c r="S25" s="334">
        <f t="shared" si="25"/>
        <v>1951869.3887187999</v>
      </c>
      <c r="T25" s="334">
        <f t="shared" si="25"/>
        <v>1951869.3887187999</v>
      </c>
      <c r="U25" s="334">
        <f t="shared" si="25"/>
        <v>1951869.3887187999</v>
      </c>
      <c r="V25" s="334">
        <f t="shared" si="25"/>
        <v>1951869.3887187999</v>
      </c>
      <c r="W25" s="334">
        <f t="shared" si="25"/>
        <v>1951869.3887187999</v>
      </c>
      <c r="X25" s="334">
        <f t="shared" si="25"/>
        <v>1951869.3887187999</v>
      </c>
      <c r="Y25" s="334">
        <f t="shared" si="25"/>
        <v>1951869.3887187999</v>
      </c>
      <c r="Z25" s="334">
        <f t="shared" si="25"/>
        <v>1951869.3887187999</v>
      </c>
      <c r="AA25" s="334">
        <f t="shared" si="25"/>
        <v>1951869.3887187999</v>
      </c>
      <c r="AB25" s="334">
        <f t="shared" si="25"/>
        <v>1951869.3887187999</v>
      </c>
      <c r="AC25" s="334">
        <f t="shared" si="25"/>
        <v>1951869.3887187999</v>
      </c>
      <c r="AD25" s="334">
        <f t="shared" si="25"/>
        <v>1951869.3887187999</v>
      </c>
      <c r="AE25" s="334">
        <f t="shared" si="25"/>
        <v>1951869.3887187999</v>
      </c>
      <c r="AF25" s="334">
        <f t="shared" si="25"/>
        <v>1951869.3887187999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x14ac:dyDescent="0.3"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x14ac:dyDescent="0.3">
      <c r="B27" s="14" t="s">
        <v>277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x14ac:dyDescent="0.3">
      <c r="B28" s="339" t="s">
        <v>138</v>
      </c>
      <c r="C28" s="336"/>
      <c r="D28" s="336"/>
      <c r="E28" s="336"/>
      <c r="F28" s="336"/>
      <c r="G28" s="336"/>
      <c r="H28" s="336"/>
      <c r="I28" s="340">
        <f>I25</f>
        <v>1951869.3887187999</v>
      </c>
      <c r="J28" s="340">
        <f>J25</f>
        <v>1951869.3887187999</v>
      </c>
      <c r="K28" s="340">
        <f t="shared" ref="K28:AF28" si="26">K25</f>
        <v>1951869.3887187999</v>
      </c>
      <c r="L28" s="340">
        <f t="shared" si="26"/>
        <v>1951869.3887187999</v>
      </c>
      <c r="M28" s="340">
        <f t="shared" si="26"/>
        <v>1951869.3887187999</v>
      </c>
      <c r="N28" s="340">
        <f t="shared" si="26"/>
        <v>1951869.3887187999</v>
      </c>
      <c r="O28" s="340">
        <f t="shared" si="26"/>
        <v>1951869.3887187999</v>
      </c>
      <c r="P28" s="340">
        <f t="shared" si="26"/>
        <v>1951869.3887187999</v>
      </c>
      <c r="Q28" s="340">
        <f t="shared" si="26"/>
        <v>1951869.3887187999</v>
      </c>
      <c r="R28" s="340">
        <f t="shared" si="26"/>
        <v>1951869.3887187999</v>
      </c>
      <c r="S28" s="340">
        <f t="shared" si="26"/>
        <v>1951869.3887187999</v>
      </c>
      <c r="T28" s="340">
        <f t="shared" si="26"/>
        <v>1951869.3887187999</v>
      </c>
      <c r="U28" s="340">
        <f t="shared" si="26"/>
        <v>1951869.3887187999</v>
      </c>
      <c r="V28" s="340">
        <f t="shared" si="26"/>
        <v>1951869.3887187999</v>
      </c>
      <c r="W28" s="340">
        <f t="shared" si="26"/>
        <v>1951869.3887187999</v>
      </c>
      <c r="X28" s="340">
        <f t="shared" si="26"/>
        <v>1951869.3887187999</v>
      </c>
      <c r="Y28" s="340">
        <f t="shared" si="26"/>
        <v>1951869.3887187999</v>
      </c>
      <c r="Z28" s="340">
        <f t="shared" si="26"/>
        <v>1951869.3887187999</v>
      </c>
      <c r="AA28" s="340">
        <f t="shared" si="26"/>
        <v>1951869.3887187999</v>
      </c>
      <c r="AB28" s="340">
        <f t="shared" si="26"/>
        <v>1951869.3887187999</v>
      </c>
      <c r="AC28" s="340">
        <f t="shared" si="26"/>
        <v>1951869.3887187999</v>
      </c>
      <c r="AD28" s="340">
        <f t="shared" si="26"/>
        <v>1951869.3887187999</v>
      </c>
      <c r="AE28" s="340">
        <f t="shared" si="26"/>
        <v>1951869.3887187999</v>
      </c>
      <c r="AF28" s="340">
        <f t="shared" si="26"/>
        <v>1951869.3887187999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x14ac:dyDescent="0.3"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x14ac:dyDescent="0.3"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customFormat="1" ht="14.4" x14ac:dyDescent="0.2">
      <c r="A31" s="18" t="s">
        <v>129</v>
      </c>
      <c r="B31" s="18"/>
      <c r="C31" s="18"/>
      <c r="D31" s="18"/>
      <c r="E31" s="142"/>
      <c r="F31" s="142"/>
      <c r="G31" s="332"/>
      <c r="H31" s="332">
        <v>46203</v>
      </c>
      <c r="I31" s="17" t="s">
        <v>19</v>
      </c>
      <c r="J31" s="17" t="s">
        <v>21</v>
      </c>
      <c r="K31" s="17" t="s">
        <v>20</v>
      </c>
      <c r="L31" s="17" t="s">
        <v>22</v>
      </c>
      <c r="M31" s="17" t="s">
        <v>93</v>
      </c>
      <c r="N31" s="17" t="s">
        <v>94</v>
      </c>
      <c r="O31" s="17" t="s">
        <v>245</v>
      </c>
      <c r="P31" s="17" t="s">
        <v>246</v>
      </c>
      <c r="Q31" s="17" t="s">
        <v>247</v>
      </c>
      <c r="R31" s="17" t="s">
        <v>248</v>
      </c>
      <c r="S31" s="17" t="s">
        <v>249</v>
      </c>
      <c r="T31" s="17" t="s">
        <v>250</v>
      </c>
      <c r="U31" s="17" t="s">
        <v>251</v>
      </c>
      <c r="V31" s="17" t="s">
        <v>252</v>
      </c>
      <c r="W31" s="17" t="s">
        <v>252</v>
      </c>
      <c r="X31" s="17" t="s">
        <v>252</v>
      </c>
      <c r="Y31" s="17" t="s">
        <v>252</v>
      </c>
      <c r="Z31" s="17" t="s">
        <v>252</v>
      </c>
      <c r="AA31" s="17" t="s">
        <v>252</v>
      </c>
      <c r="AB31" s="17" t="s">
        <v>252</v>
      </c>
      <c r="AC31" s="17" t="s">
        <v>252</v>
      </c>
      <c r="AD31" s="17" t="s">
        <v>252</v>
      </c>
      <c r="AE31" s="17" t="s">
        <v>252</v>
      </c>
      <c r="AF31" s="17" t="s">
        <v>252</v>
      </c>
    </row>
    <row r="32" spans="1:46" x14ac:dyDescent="0.3"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x14ac:dyDescent="0.3">
      <c r="B33" s="356" t="s">
        <v>266</v>
      </c>
      <c r="C33" s="356"/>
      <c r="D33" s="356"/>
      <c r="E33" s="356"/>
      <c r="F33" s="356"/>
      <c r="G33" s="356"/>
      <c r="H33" s="356"/>
      <c r="I33" s="357">
        <f>INDEX(Workings_costs!K$23:K$75, MATCH($A31&amp;$B33, Workings_costs!$G$23:$G$75,0))</f>
        <v>142</v>
      </c>
      <c r="J33" s="357">
        <f>INDEX(Workings_costs!L$23:L$75, MATCH($A31&amp;$B33, Workings_costs!$G$23:$G$75,0))</f>
        <v>0</v>
      </c>
      <c r="K33" s="357">
        <f>INDEX(Workings_costs!M$23:M$75, MATCH($A31&amp;$B33, Workings_costs!$G$23:$G$75,0))</f>
        <v>0</v>
      </c>
      <c r="L33" s="357">
        <f>INDEX(Workings_costs!N$23:N$75, MATCH($A31&amp;$B33, Workings_costs!$G$23:$G$75,0))</f>
        <v>0</v>
      </c>
      <c r="M33" s="357">
        <f>INDEX(Workings_costs!O$23:O$75, MATCH($A31&amp;$B33, Workings_costs!$G$23:$G$75,0))</f>
        <v>0</v>
      </c>
      <c r="N33" s="357">
        <f>INDEX(Workings_costs!P$23:P$75, MATCH($A31&amp;$B33, Workings_costs!$G$23:$G$75,0))</f>
        <v>0</v>
      </c>
      <c r="O33" s="357">
        <f>INDEX(Workings_costs!Q$23:Q$75, MATCH($A31&amp;$B33, Workings_costs!$G$23:$G$75,0))</f>
        <v>0</v>
      </c>
      <c r="P33" s="357">
        <f>INDEX(Workings_costs!R$23:R$75, MATCH($A31&amp;$B33, Workings_costs!$G$23:$G$75,0))</f>
        <v>0</v>
      </c>
      <c r="Q33" s="357">
        <f>INDEX(Workings_costs!S$23:S$75, MATCH($A31&amp;$B33, Workings_costs!$G$23:$G$75,0))</f>
        <v>0</v>
      </c>
      <c r="R33" s="357">
        <f>INDEX(Workings_costs!T$23:T$75, MATCH($A31&amp;$B33, Workings_costs!$G$23:$G$75,0))</f>
        <v>0</v>
      </c>
      <c r="S33" s="357">
        <f>INDEX(Workings_costs!U$23:U$75, MATCH($A31&amp;$B33, Workings_costs!$G$23:$G$75,0))</f>
        <v>0</v>
      </c>
      <c r="T33" s="357">
        <f>INDEX(Workings_costs!V$23:V$75, MATCH($A31&amp;$B33, Workings_costs!$G$23:$G$75,0))</f>
        <v>0</v>
      </c>
      <c r="U33" s="357">
        <f>INDEX(Workings_costs!W$23:W$75, MATCH($A31&amp;$B33, Workings_costs!$G$23:$G$75,0))</f>
        <v>0</v>
      </c>
      <c r="V33" s="357">
        <f>INDEX(Workings_costs!X$23:X$75, MATCH($A31&amp;$B33, Workings_costs!$G$23:$G$75,0))</f>
        <v>0</v>
      </c>
      <c r="W33" s="357">
        <f>INDEX(Workings_costs!Y$23:Y$75, MATCH($A31&amp;$B33, Workings_costs!$G$23:$G$75,0))</f>
        <v>0</v>
      </c>
      <c r="X33" s="357">
        <f>INDEX(Workings_costs!Z$23:Z$75, MATCH($A31&amp;$B33, Workings_costs!$G$23:$G$75,0))</f>
        <v>0</v>
      </c>
      <c r="Y33" s="357">
        <f>INDEX(Workings_costs!AA$23:AA$75, MATCH($A31&amp;$B33, Workings_costs!$G$23:$G$75,0))</f>
        <v>0</v>
      </c>
      <c r="Z33" s="357">
        <f>INDEX(Workings_costs!AB$23:AB$75, MATCH($A31&amp;$B33, Workings_costs!$G$23:$G$75,0))</f>
        <v>0</v>
      </c>
      <c r="AA33" s="357">
        <f>INDEX(Workings_costs!AC$23:AC$75, MATCH($A31&amp;$B33, Workings_costs!$G$23:$G$75,0))</f>
        <v>0</v>
      </c>
      <c r="AB33" s="357">
        <f>INDEX(Workings_costs!AD$23:AD$75, MATCH($A31&amp;$B33, Workings_costs!$G$23:$G$75,0))</f>
        <v>0</v>
      </c>
      <c r="AC33" s="357">
        <f>INDEX(Workings_costs!AE$23:AE$75, MATCH($A31&amp;$B33, Workings_costs!$G$23:$G$75,0))</f>
        <v>0</v>
      </c>
      <c r="AD33" s="357">
        <f>INDEX(Workings_costs!AF$23:AF$75, MATCH($A31&amp;$B33, Workings_costs!$G$23:$G$75,0))</f>
        <v>0</v>
      </c>
      <c r="AE33" s="357">
        <f>INDEX(Workings_costs!AG$23:AG$75, MATCH($A31&amp;$B33, Workings_costs!$G$23:$G$75,0))</f>
        <v>0</v>
      </c>
      <c r="AF33" s="357">
        <f>INDEX(Workings_costs!AH$23:AH$75, MATCH($A31&amp;$B33, Workings_costs!$G$23:$G$75,0))</f>
        <v>0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x14ac:dyDescent="0.3">
      <c r="B34" s="356" t="s">
        <v>267</v>
      </c>
      <c r="C34" s="356"/>
      <c r="D34" s="356"/>
      <c r="E34" s="356"/>
      <c r="F34" s="356"/>
      <c r="G34" s="356"/>
      <c r="H34" s="357">
        <f>$F$7</f>
        <v>142</v>
      </c>
      <c r="I34" s="357">
        <f>H34-I33</f>
        <v>0</v>
      </c>
      <c r="J34" s="357">
        <f t="shared" ref="J34" si="27">I34-J33</f>
        <v>0</v>
      </c>
      <c r="K34" s="357">
        <f t="shared" ref="K34" si="28">J34-K33</f>
        <v>0</v>
      </c>
      <c r="L34" s="357">
        <f t="shared" ref="L34" si="29">K34-L33</f>
        <v>0</v>
      </c>
      <c r="M34" s="357">
        <f t="shared" ref="M34" si="30">L34-M33</f>
        <v>0</v>
      </c>
      <c r="N34" s="357">
        <f t="shared" ref="N34" si="31">M34-N33</f>
        <v>0</v>
      </c>
      <c r="O34" s="357">
        <f t="shared" ref="O34" si="32">N34-O33</f>
        <v>0</v>
      </c>
      <c r="P34" s="357">
        <f t="shared" ref="P34" si="33">O34-P33</f>
        <v>0</v>
      </c>
      <c r="Q34" s="357">
        <f t="shared" ref="Q34" si="34">P34-Q33</f>
        <v>0</v>
      </c>
      <c r="R34" s="357">
        <f t="shared" ref="R34" si="35">Q34-R33</f>
        <v>0</v>
      </c>
      <c r="S34" s="357">
        <f t="shared" ref="S34" si="36">R34-S33</f>
        <v>0</v>
      </c>
      <c r="T34" s="357">
        <f t="shared" ref="T34" si="37">S34-T33</f>
        <v>0</v>
      </c>
      <c r="U34" s="357">
        <f t="shared" ref="U34" si="38">T34-U33</f>
        <v>0</v>
      </c>
      <c r="V34" s="357">
        <f t="shared" ref="V34" si="39">U34-V33</f>
        <v>0</v>
      </c>
      <c r="W34" s="357">
        <f t="shared" ref="W34" si="40">V34-W33</f>
        <v>0</v>
      </c>
      <c r="X34" s="357">
        <f t="shared" ref="X34" si="41">W34-X33</f>
        <v>0</v>
      </c>
      <c r="Y34" s="357">
        <f t="shared" ref="Y34" si="42">X34-Y33</f>
        <v>0</v>
      </c>
      <c r="Z34" s="357">
        <f t="shared" ref="Z34" si="43">Y34-Z33</f>
        <v>0</v>
      </c>
      <c r="AA34" s="357">
        <f t="shared" ref="AA34" si="44">Z34-AA33</f>
        <v>0</v>
      </c>
      <c r="AB34" s="357">
        <f t="shared" ref="AB34" si="45">AA34-AB33</f>
        <v>0</v>
      </c>
      <c r="AC34" s="357">
        <f t="shared" ref="AC34" si="46">AB34-AC33</f>
        <v>0</v>
      </c>
      <c r="AD34" s="357">
        <f t="shared" ref="AD34" si="47">AC34-AD33</f>
        <v>0</v>
      </c>
      <c r="AE34" s="357">
        <f t="shared" ref="AE34" si="48">AD34-AE33</f>
        <v>0</v>
      </c>
      <c r="AF34" s="357">
        <f t="shared" ref="AF34" si="49">AE34-AF33</f>
        <v>0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x14ac:dyDescent="0.3">
      <c r="B35" s="356" t="s">
        <v>268</v>
      </c>
      <c r="C35" s="356"/>
      <c r="D35" s="356"/>
      <c r="E35" s="356"/>
      <c r="F35" s="356"/>
      <c r="G35" s="356"/>
      <c r="H35" s="356"/>
      <c r="I35" s="357">
        <f t="shared" ref="I35:AB35" si="50">I33+H35</f>
        <v>142</v>
      </c>
      <c r="J35" s="357">
        <f t="shared" si="50"/>
        <v>142</v>
      </c>
      <c r="K35" s="357">
        <f t="shared" si="50"/>
        <v>142</v>
      </c>
      <c r="L35" s="357">
        <f t="shared" si="50"/>
        <v>142</v>
      </c>
      <c r="M35" s="357">
        <f t="shared" si="50"/>
        <v>142</v>
      </c>
      <c r="N35" s="357">
        <f t="shared" si="50"/>
        <v>142</v>
      </c>
      <c r="O35" s="357">
        <f t="shared" si="50"/>
        <v>142</v>
      </c>
      <c r="P35" s="357">
        <f t="shared" si="50"/>
        <v>142</v>
      </c>
      <c r="Q35" s="357">
        <f t="shared" si="50"/>
        <v>142</v>
      </c>
      <c r="R35" s="357">
        <f t="shared" si="50"/>
        <v>142</v>
      </c>
      <c r="S35" s="357">
        <f t="shared" si="50"/>
        <v>142</v>
      </c>
      <c r="T35" s="357">
        <f t="shared" si="50"/>
        <v>142</v>
      </c>
      <c r="U35" s="357">
        <f t="shared" si="50"/>
        <v>142</v>
      </c>
      <c r="V35" s="357">
        <f t="shared" si="50"/>
        <v>142</v>
      </c>
      <c r="W35" s="357">
        <f t="shared" si="50"/>
        <v>142</v>
      </c>
      <c r="X35" s="357">
        <f t="shared" si="50"/>
        <v>142</v>
      </c>
      <c r="Y35" s="357">
        <f t="shared" si="50"/>
        <v>142</v>
      </c>
      <c r="Z35" s="357">
        <f t="shared" si="50"/>
        <v>142</v>
      </c>
      <c r="AA35" s="357">
        <f t="shared" si="50"/>
        <v>142</v>
      </c>
      <c r="AB35" s="357">
        <f t="shared" si="50"/>
        <v>142</v>
      </c>
      <c r="AC35" s="357">
        <f t="shared" ref="AC35:AF35" si="51">AC33+AB35</f>
        <v>142</v>
      </c>
      <c r="AD35" s="357">
        <f t="shared" si="51"/>
        <v>142</v>
      </c>
      <c r="AE35" s="357">
        <f t="shared" si="51"/>
        <v>142</v>
      </c>
      <c r="AF35" s="357">
        <f t="shared" si="51"/>
        <v>142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x14ac:dyDescent="0.3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x14ac:dyDescent="0.3">
      <c r="A37" s="14" t="s">
        <v>278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x14ac:dyDescent="0.3">
      <c r="B38" s="14"/>
      <c r="E38" s="8" t="s">
        <v>40</v>
      </c>
      <c r="F38" s="331">
        <v>3638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x14ac:dyDescent="0.3"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x14ac:dyDescent="0.3">
      <c r="B40" s="8" t="s">
        <v>290</v>
      </c>
      <c r="E40" s="345">
        <v>2023</v>
      </c>
      <c r="I40" s="334">
        <v>0</v>
      </c>
      <c r="J40" s="334">
        <f>J28*($J19-J35)/J$19</f>
        <v>0</v>
      </c>
      <c r="K40" s="334">
        <f t="shared" ref="K40:AF40" si="52">K28*($J19-K35)/K$19</f>
        <v>0</v>
      </c>
      <c r="L40" s="334">
        <f t="shared" si="52"/>
        <v>0</v>
      </c>
      <c r="M40" s="334">
        <f t="shared" si="52"/>
        <v>0</v>
      </c>
      <c r="N40" s="334">
        <f t="shared" si="52"/>
        <v>0</v>
      </c>
      <c r="O40" s="334">
        <f t="shared" si="52"/>
        <v>0</v>
      </c>
      <c r="P40" s="334">
        <f t="shared" si="52"/>
        <v>0</v>
      </c>
      <c r="Q40" s="334">
        <f t="shared" si="52"/>
        <v>0</v>
      </c>
      <c r="R40" s="334">
        <f t="shared" si="52"/>
        <v>0</v>
      </c>
      <c r="S40" s="334">
        <f t="shared" si="52"/>
        <v>0</v>
      </c>
      <c r="T40" s="334">
        <f t="shared" si="52"/>
        <v>0</v>
      </c>
      <c r="U40" s="334">
        <f t="shared" si="52"/>
        <v>0</v>
      </c>
      <c r="V40" s="334">
        <f t="shared" si="52"/>
        <v>0</v>
      </c>
      <c r="W40" s="334">
        <f t="shared" si="52"/>
        <v>0</v>
      </c>
      <c r="X40" s="334">
        <f t="shared" si="52"/>
        <v>0</v>
      </c>
      <c r="Y40" s="334">
        <f t="shared" si="52"/>
        <v>0</v>
      </c>
      <c r="Z40" s="334">
        <f t="shared" si="52"/>
        <v>0</v>
      </c>
      <c r="AA40" s="334">
        <f t="shared" si="52"/>
        <v>0</v>
      </c>
      <c r="AB40" s="334">
        <f t="shared" si="52"/>
        <v>0</v>
      </c>
      <c r="AC40" s="334">
        <f t="shared" si="52"/>
        <v>0</v>
      </c>
      <c r="AD40" s="334">
        <f t="shared" si="52"/>
        <v>0</v>
      </c>
      <c r="AE40" s="334">
        <f t="shared" si="52"/>
        <v>0</v>
      </c>
      <c r="AF40" s="334">
        <f t="shared" si="52"/>
        <v>0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x14ac:dyDescent="0.3"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x14ac:dyDescent="0.3">
      <c r="A42" s="14"/>
      <c r="B42" s="14" t="s">
        <v>277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x14ac:dyDescent="0.3">
      <c r="B43" s="339" t="s">
        <v>138</v>
      </c>
      <c r="C43" s="336"/>
      <c r="D43" s="336"/>
      <c r="E43" s="336"/>
      <c r="F43" s="336"/>
      <c r="G43" s="336"/>
      <c r="H43" s="336"/>
      <c r="I43" s="340">
        <f>I40</f>
        <v>0</v>
      </c>
      <c r="J43" s="340">
        <f t="shared" ref="J43:AF43" si="53">J40</f>
        <v>0</v>
      </c>
      <c r="K43" s="340">
        <f t="shared" si="53"/>
        <v>0</v>
      </c>
      <c r="L43" s="340">
        <f t="shared" si="53"/>
        <v>0</v>
      </c>
      <c r="M43" s="340">
        <f t="shared" si="53"/>
        <v>0</v>
      </c>
      <c r="N43" s="340">
        <f t="shared" si="53"/>
        <v>0</v>
      </c>
      <c r="O43" s="340">
        <f t="shared" si="53"/>
        <v>0</v>
      </c>
      <c r="P43" s="340">
        <f t="shared" si="53"/>
        <v>0</v>
      </c>
      <c r="Q43" s="340">
        <f t="shared" si="53"/>
        <v>0</v>
      </c>
      <c r="R43" s="340">
        <f t="shared" si="53"/>
        <v>0</v>
      </c>
      <c r="S43" s="340">
        <f t="shared" si="53"/>
        <v>0</v>
      </c>
      <c r="T43" s="340">
        <f t="shared" si="53"/>
        <v>0</v>
      </c>
      <c r="U43" s="340">
        <f t="shared" si="53"/>
        <v>0</v>
      </c>
      <c r="V43" s="340">
        <f t="shared" si="53"/>
        <v>0</v>
      </c>
      <c r="W43" s="340">
        <f t="shared" si="53"/>
        <v>0</v>
      </c>
      <c r="X43" s="340">
        <f t="shared" si="53"/>
        <v>0</v>
      </c>
      <c r="Y43" s="340">
        <f t="shared" si="53"/>
        <v>0</v>
      </c>
      <c r="Z43" s="340">
        <f t="shared" si="53"/>
        <v>0</v>
      </c>
      <c r="AA43" s="340">
        <f t="shared" si="53"/>
        <v>0</v>
      </c>
      <c r="AB43" s="340">
        <f t="shared" si="53"/>
        <v>0</v>
      </c>
      <c r="AC43" s="340">
        <f t="shared" si="53"/>
        <v>0</v>
      </c>
      <c r="AD43" s="340">
        <f t="shared" si="53"/>
        <v>0</v>
      </c>
      <c r="AE43" s="340">
        <f t="shared" si="53"/>
        <v>0</v>
      </c>
      <c r="AF43" s="340">
        <f t="shared" si="53"/>
        <v>0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x14ac:dyDescent="0.3"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x14ac:dyDescent="0.3"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customFormat="1" ht="14.4" x14ac:dyDescent="0.2">
      <c r="A46" s="18" t="s">
        <v>130</v>
      </c>
      <c r="B46" s="18"/>
      <c r="C46" s="18"/>
      <c r="D46" s="18"/>
      <c r="E46" s="142"/>
      <c r="F46" s="142"/>
      <c r="G46" s="332"/>
      <c r="H46" s="332">
        <v>46203</v>
      </c>
      <c r="I46" s="17" t="s">
        <v>19</v>
      </c>
      <c r="J46" s="17" t="s">
        <v>21</v>
      </c>
      <c r="K46" s="17" t="s">
        <v>20</v>
      </c>
      <c r="L46" s="17" t="s">
        <v>22</v>
      </c>
      <c r="M46" s="17" t="s">
        <v>93</v>
      </c>
      <c r="N46" s="17" t="s">
        <v>94</v>
      </c>
      <c r="O46" s="17" t="s">
        <v>245</v>
      </c>
      <c r="P46" s="17" t="s">
        <v>246</v>
      </c>
      <c r="Q46" s="17" t="s">
        <v>247</v>
      </c>
      <c r="R46" s="17" t="s">
        <v>248</v>
      </c>
      <c r="S46" s="17" t="s">
        <v>249</v>
      </c>
      <c r="T46" s="17" t="s">
        <v>250</v>
      </c>
      <c r="U46" s="17" t="s">
        <v>251</v>
      </c>
      <c r="V46" s="17" t="s">
        <v>252</v>
      </c>
      <c r="W46" s="17" t="s">
        <v>252</v>
      </c>
      <c r="X46" s="17" t="s">
        <v>252</v>
      </c>
      <c r="Y46" s="17" t="s">
        <v>252</v>
      </c>
      <c r="Z46" s="17" t="s">
        <v>252</v>
      </c>
      <c r="AA46" s="17" t="s">
        <v>252</v>
      </c>
      <c r="AB46" s="17" t="s">
        <v>252</v>
      </c>
      <c r="AC46" s="17" t="s">
        <v>252</v>
      </c>
      <c r="AD46" s="17" t="s">
        <v>252</v>
      </c>
      <c r="AE46" s="17" t="s">
        <v>252</v>
      </c>
      <c r="AF46" s="17" t="s">
        <v>252</v>
      </c>
    </row>
    <row r="47" spans="1:46" x14ac:dyDescent="0.3"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x14ac:dyDescent="0.3">
      <c r="B48" s="356" t="s">
        <v>266</v>
      </c>
      <c r="C48" s="356"/>
      <c r="D48" s="356"/>
      <c r="E48" s="356"/>
      <c r="F48" s="356"/>
      <c r="G48" s="356"/>
      <c r="H48" s="356"/>
      <c r="I48" s="357">
        <f>INDEX(Workings_costs!K$23:K$75, MATCH($A46&amp;$B48, Workings_costs!$G$23:$G$75,0))</f>
        <v>28</v>
      </c>
      <c r="J48" s="357">
        <f>INDEX(Workings_costs!L$23:L$75, MATCH($A46&amp;$B48, Workings_costs!$G$23:$G$75,0))</f>
        <v>28</v>
      </c>
      <c r="K48" s="357">
        <f>INDEX(Workings_costs!M$23:M$75, MATCH($A46&amp;$B48, Workings_costs!$G$23:$G$75,0))</f>
        <v>28</v>
      </c>
      <c r="L48" s="357">
        <f>INDEX(Workings_costs!N$23:N$75, MATCH($A46&amp;$B48, Workings_costs!$G$23:$G$75,0))</f>
        <v>28</v>
      </c>
      <c r="M48" s="357">
        <f>INDEX(Workings_costs!O$23:O$75, MATCH($A46&amp;$B48, Workings_costs!$G$23:$G$75,0))</f>
        <v>28</v>
      </c>
      <c r="N48" s="357">
        <f>INDEX(Workings_costs!P$23:P$75, MATCH($A46&amp;$B48, Workings_costs!$G$23:$G$75,0))</f>
        <v>2</v>
      </c>
      <c r="O48" s="357">
        <f>INDEX(Workings_costs!Q$23:Q$75, MATCH($A46&amp;$B48, Workings_costs!$G$23:$G$75,0))</f>
        <v>0</v>
      </c>
      <c r="P48" s="357">
        <f>INDEX(Workings_costs!R$23:R$75, MATCH($A46&amp;$B48, Workings_costs!$G$23:$G$75,0))</f>
        <v>0</v>
      </c>
      <c r="Q48" s="357">
        <f>INDEX(Workings_costs!S$23:S$75, MATCH($A46&amp;$B48, Workings_costs!$G$23:$G$75,0))</f>
        <v>0</v>
      </c>
      <c r="R48" s="357">
        <f>INDEX(Workings_costs!T$23:T$75, MATCH($A46&amp;$B48, Workings_costs!$G$23:$G$75,0))</f>
        <v>0</v>
      </c>
      <c r="S48" s="357">
        <f>INDEX(Workings_costs!U$23:U$75, MATCH($A46&amp;$B48, Workings_costs!$G$23:$G$75,0))</f>
        <v>0</v>
      </c>
      <c r="T48" s="357">
        <f>INDEX(Workings_costs!V$23:V$75, MATCH($A46&amp;$B48, Workings_costs!$G$23:$G$75,0))</f>
        <v>0</v>
      </c>
      <c r="U48" s="357">
        <f>INDEX(Workings_costs!W$23:W$75, MATCH($A46&amp;$B48, Workings_costs!$G$23:$G$75,0))</f>
        <v>0</v>
      </c>
      <c r="V48" s="357">
        <f>INDEX(Workings_costs!X$23:X$75, MATCH($A46&amp;$B48, Workings_costs!$G$23:$G$75,0))</f>
        <v>0</v>
      </c>
      <c r="W48" s="357">
        <f>INDEX(Workings_costs!Y$23:Y$75, MATCH($A46&amp;$B48, Workings_costs!$G$23:$G$75,0))</f>
        <v>0</v>
      </c>
      <c r="X48" s="357">
        <f>INDEX(Workings_costs!Z$23:Z$75, MATCH($A46&amp;$B48, Workings_costs!$G$23:$G$75,0))</f>
        <v>0</v>
      </c>
      <c r="Y48" s="357">
        <f>INDEX(Workings_costs!AA$23:AA$75, MATCH($A46&amp;$B48, Workings_costs!$G$23:$G$75,0))</f>
        <v>0</v>
      </c>
      <c r="Z48" s="357">
        <f>INDEX(Workings_costs!AB$23:AB$75, MATCH($A46&amp;$B48, Workings_costs!$G$23:$G$75,0))</f>
        <v>0</v>
      </c>
      <c r="AA48" s="357">
        <f>INDEX(Workings_costs!AC$23:AC$75, MATCH($A46&amp;$B48, Workings_costs!$G$23:$G$75,0))</f>
        <v>0</v>
      </c>
      <c r="AB48" s="357">
        <f>INDEX(Workings_costs!AD$23:AD$75, MATCH($A46&amp;$B48, Workings_costs!$G$23:$G$75,0))</f>
        <v>0</v>
      </c>
      <c r="AC48" s="357">
        <f>INDEX(Workings_costs!AE$23:AE$75, MATCH($A46&amp;$B48, Workings_costs!$G$23:$G$75,0))</f>
        <v>0</v>
      </c>
      <c r="AD48" s="357">
        <f>INDEX(Workings_costs!AF$23:AF$75, MATCH($A46&amp;$B48, Workings_costs!$G$23:$G$75,0))</f>
        <v>0</v>
      </c>
      <c r="AE48" s="357">
        <f>INDEX(Workings_costs!AG$23:AG$75, MATCH($A46&amp;$B48, Workings_costs!$G$23:$G$75,0))</f>
        <v>0</v>
      </c>
      <c r="AF48" s="357">
        <f>INDEX(Workings_costs!AH$23:AH$75, MATCH($A46&amp;$B48, Workings_costs!$G$23:$G$75,0))</f>
        <v>0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3">
      <c r="B49" s="356" t="s">
        <v>267</v>
      </c>
      <c r="C49" s="356"/>
      <c r="D49" s="356"/>
      <c r="E49" s="356"/>
      <c r="F49" s="356"/>
      <c r="G49" s="356"/>
      <c r="H49" s="357">
        <f>$F$7</f>
        <v>142</v>
      </c>
      <c r="I49" s="357">
        <f>H49-I48</f>
        <v>114</v>
      </c>
      <c r="J49" s="357">
        <f t="shared" ref="J49" si="54">I49-J48</f>
        <v>86</v>
      </c>
      <c r="K49" s="357">
        <f t="shared" ref="K49" si="55">J49-K48</f>
        <v>58</v>
      </c>
      <c r="L49" s="357">
        <f t="shared" ref="L49" si="56">K49-L48</f>
        <v>30</v>
      </c>
      <c r="M49" s="357">
        <f t="shared" ref="M49" si="57">L49-M48</f>
        <v>2</v>
      </c>
      <c r="N49" s="357">
        <f t="shared" ref="N49" si="58">M49-N48</f>
        <v>0</v>
      </c>
      <c r="O49" s="357">
        <f t="shared" ref="O49" si="59">N49-O48</f>
        <v>0</v>
      </c>
      <c r="P49" s="357">
        <f t="shared" ref="P49" si="60">O49-P48</f>
        <v>0</v>
      </c>
      <c r="Q49" s="357">
        <f t="shared" ref="Q49" si="61">P49-Q48</f>
        <v>0</v>
      </c>
      <c r="R49" s="357">
        <f t="shared" ref="R49" si="62">Q49-R48</f>
        <v>0</v>
      </c>
      <c r="S49" s="357">
        <f t="shared" ref="S49" si="63">R49-S48</f>
        <v>0</v>
      </c>
      <c r="T49" s="357">
        <f t="shared" ref="T49" si="64">S49-T48</f>
        <v>0</v>
      </c>
      <c r="U49" s="357">
        <f t="shared" ref="U49" si="65">T49-U48</f>
        <v>0</v>
      </c>
      <c r="V49" s="357">
        <f t="shared" ref="V49" si="66">U49-V48</f>
        <v>0</v>
      </c>
      <c r="W49" s="357">
        <f t="shared" ref="W49" si="67">V49-W48</f>
        <v>0</v>
      </c>
      <c r="X49" s="357">
        <f t="shared" ref="X49" si="68">W49-X48</f>
        <v>0</v>
      </c>
      <c r="Y49" s="357">
        <f t="shared" ref="Y49" si="69">X49-Y48</f>
        <v>0</v>
      </c>
      <c r="Z49" s="357">
        <f t="shared" ref="Z49" si="70">Y49-Z48</f>
        <v>0</v>
      </c>
      <c r="AA49" s="357">
        <f t="shared" ref="AA49" si="71">Z49-AA48</f>
        <v>0</v>
      </c>
      <c r="AB49" s="357">
        <f t="shared" ref="AB49" si="72">AA49-AB48</f>
        <v>0</v>
      </c>
      <c r="AC49" s="357">
        <f t="shared" ref="AC49" si="73">AB49-AC48</f>
        <v>0</v>
      </c>
      <c r="AD49" s="357">
        <f t="shared" ref="AD49" si="74">AC49-AD48</f>
        <v>0</v>
      </c>
      <c r="AE49" s="357">
        <f t="shared" ref="AE49" si="75">AD49-AE48</f>
        <v>0</v>
      </c>
      <c r="AF49" s="357">
        <f t="shared" ref="AF49" si="76">AE49-AF48</f>
        <v>0</v>
      </c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3">
      <c r="B50" s="356" t="s">
        <v>268</v>
      </c>
      <c r="C50" s="356"/>
      <c r="D50" s="356"/>
      <c r="E50" s="356"/>
      <c r="F50" s="356"/>
      <c r="G50" s="356"/>
      <c r="H50" s="356"/>
      <c r="I50" s="357">
        <f t="shared" ref="I50:AB50" si="77">I48+H50</f>
        <v>28</v>
      </c>
      <c r="J50" s="357">
        <f t="shared" si="77"/>
        <v>56</v>
      </c>
      <c r="K50" s="357">
        <f t="shared" si="77"/>
        <v>84</v>
      </c>
      <c r="L50" s="357">
        <f t="shared" si="77"/>
        <v>112</v>
      </c>
      <c r="M50" s="357">
        <f t="shared" si="77"/>
        <v>140</v>
      </c>
      <c r="N50" s="357">
        <f t="shared" si="77"/>
        <v>142</v>
      </c>
      <c r="O50" s="357">
        <f t="shared" si="77"/>
        <v>142</v>
      </c>
      <c r="P50" s="357">
        <f t="shared" si="77"/>
        <v>142</v>
      </c>
      <c r="Q50" s="357">
        <f t="shared" si="77"/>
        <v>142</v>
      </c>
      <c r="R50" s="357">
        <f t="shared" si="77"/>
        <v>142</v>
      </c>
      <c r="S50" s="357">
        <f t="shared" si="77"/>
        <v>142</v>
      </c>
      <c r="T50" s="357">
        <f t="shared" si="77"/>
        <v>142</v>
      </c>
      <c r="U50" s="357">
        <f t="shared" si="77"/>
        <v>142</v>
      </c>
      <c r="V50" s="357">
        <f t="shared" si="77"/>
        <v>142</v>
      </c>
      <c r="W50" s="357">
        <f t="shared" si="77"/>
        <v>142</v>
      </c>
      <c r="X50" s="357">
        <f t="shared" si="77"/>
        <v>142</v>
      </c>
      <c r="Y50" s="357">
        <f t="shared" si="77"/>
        <v>142</v>
      </c>
      <c r="Z50" s="357">
        <f t="shared" si="77"/>
        <v>142</v>
      </c>
      <c r="AA50" s="357">
        <f t="shared" si="77"/>
        <v>142</v>
      </c>
      <c r="AB50" s="357">
        <f t="shared" si="77"/>
        <v>142</v>
      </c>
      <c r="AC50" s="357">
        <f t="shared" ref="AC50:AF50" si="78">AC48+AB50</f>
        <v>142</v>
      </c>
      <c r="AD50" s="357">
        <f t="shared" si="78"/>
        <v>142</v>
      </c>
      <c r="AE50" s="357">
        <f t="shared" si="78"/>
        <v>142</v>
      </c>
      <c r="AF50" s="357">
        <f t="shared" si="78"/>
        <v>142</v>
      </c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3"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3">
      <c r="A52" s="14" t="s">
        <v>278</v>
      </c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3">
      <c r="B53" s="14"/>
      <c r="E53" s="8" t="s">
        <v>40</v>
      </c>
      <c r="F53" s="331">
        <v>3638</v>
      </c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3">
      <c r="H54" s="344">
        <f t="shared" ref="H54" si="79">H49/$F$11</f>
        <v>1</v>
      </c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3">
      <c r="B55" s="8" t="s">
        <v>290</v>
      </c>
      <c r="E55" s="345">
        <v>2023</v>
      </c>
      <c r="I55" s="334">
        <f t="shared" ref="I55:M55" si="80">I28*(I35-I50)/I$19</f>
        <v>1566993.7346052337</v>
      </c>
      <c r="J55" s="334">
        <f t="shared" si="80"/>
        <v>1182118.0804916674</v>
      </c>
      <c r="K55" s="334">
        <f t="shared" si="80"/>
        <v>797242.42637810146</v>
      </c>
      <c r="L55" s="334">
        <f t="shared" si="80"/>
        <v>412366.77226453519</v>
      </c>
      <c r="M55" s="334">
        <f t="shared" si="80"/>
        <v>27491.118150969014</v>
      </c>
      <c r="N55" s="334">
        <f t="shared" ref="N55:AF55" si="81">N28*(N35-N50)/N$19</f>
        <v>0</v>
      </c>
      <c r="O55" s="334">
        <f t="shared" si="81"/>
        <v>0</v>
      </c>
      <c r="P55" s="334">
        <f t="shared" si="81"/>
        <v>0</v>
      </c>
      <c r="Q55" s="334">
        <f t="shared" si="81"/>
        <v>0</v>
      </c>
      <c r="R55" s="334">
        <f t="shared" si="81"/>
        <v>0</v>
      </c>
      <c r="S55" s="334">
        <f t="shared" si="81"/>
        <v>0</v>
      </c>
      <c r="T55" s="334">
        <f t="shared" si="81"/>
        <v>0</v>
      </c>
      <c r="U55" s="334">
        <f t="shared" si="81"/>
        <v>0</v>
      </c>
      <c r="V55" s="334">
        <f t="shared" si="81"/>
        <v>0</v>
      </c>
      <c r="W55" s="334">
        <f t="shared" si="81"/>
        <v>0</v>
      </c>
      <c r="X55" s="334">
        <f t="shared" si="81"/>
        <v>0</v>
      </c>
      <c r="Y55" s="334">
        <f t="shared" si="81"/>
        <v>0</v>
      </c>
      <c r="Z55" s="334">
        <f t="shared" si="81"/>
        <v>0</v>
      </c>
      <c r="AA55" s="334">
        <f t="shared" si="81"/>
        <v>0</v>
      </c>
      <c r="AB55" s="334">
        <f t="shared" si="81"/>
        <v>0</v>
      </c>
      <c r="AC55" s="334">
        <f t="shared" si="81"/>
        <v>0</v>
      </c>
      <c r="AD55" s="334">
        <f t="shared" si="81"/>
        <v>0</v>
      </c>
      <c r="AE55" s="334">
        <f t="shared" si="81"/>
        <v>0</v>
      </c>
      <c r="AF55" s="334">
        <f t="shared" si="81"/>
        <v>0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3">
      <c r="B56" s="339" t="s">
        <v>138</v>
      </c>
      <c r="C56" s="336"/>
      <c r="D56" s="336"/>
      <c r="E56" s="336"/>
      <c r="F56" s="336"/>
      <c r="G56" s="336"/>
      <c r="H56" s="336"/>
      <c r="I56" s="340">
        <f>I55</f>
        <v>1566993.7346052337</v>
      </c>
      <c r="J56" s="340">
        <f t="shared" ref="J56:AF56" si="82">J55</f>
        <v>1182118.0804916674</v>
      </c>
      <c r="K56" s="340">
        <f t="shared" si="82"/>
        <v>797242.42637810146</v>
      </c>
      <c r="L56" s="340">
        <f t="shared" si="82"/>
        <v>412366.77226453519</v>
      </c>
      <c r="M56" s="340">
        <f t="shared" si="82"/>
        <v>27491.118150969014</v>
      </c>
      <c r="N56" s="340">
        <f t="shared" si="82"/>
        <v>0</v>
      </c>
      <c r="O56" s="340">
        <f t="shared" si="82"/>
        <v>0</v>
      </c>
      <c r="P56" s="340">
        <f t="shared" si="82"/>
        <v>0</v>
      </c>
      <c r="Q56" s="340">
        <f t="shared" si="82"/>
        <v>0</v>
      </c>
      <c r="R56" s="340">
        <f t="shared" si="82"/>
        <v>0</v>
      </c>
      <c r="S56" s="340">
        <f t="shared" si="82"/>
        <v>0</v>
      </c>
      <c r="T56" s="340">
        <f t="shared" si="82"/>
        <v>0</v>
      </c>
      <c r="U56" s="340">
        <f t="shared" si="82"/>
        <v>0</v>
      </c>
      <c r="V56" s="340">
        <f t="shared" si="82"/>
        <v>0</v>
      </c>
      <c r="W56" s="340">
        <f t="shared" si="82"/>
        <v>0</v>
      </c>
      <c r="X56" s="340">
        <f t="shared" si="82"/>
        <v>0</v>
      </c>
      <c r="Y56" s="340">
        <f t="shared" si="82"/>
        <v>0</v>
      </c>
      <c r="Z56" s="340">
        <f t="shared" si="82"/>
        <v>0</v>
      </c>
      <c r="AA56" s="340">
        <f t="shared" si="82"/>
        <v>0</v>
      </c>
      <c r="AB56" s="340">
        <f t="shared" si="82"/>
        <v>0</v>
      </c>
      <c r="AC56" s="340">
        <f t="shared" si="82"/>
        <v>0</v>
      </c>
      <c r="AD56" s="340">
        <f t="shared" si="82"/>
        <v>0</v>
      </c>
      <c r="AE56" s="340">
        <f t="shared" si="82"/>
        <v>0</v>
      </c>
      <c r="AF56" s="340">
        <f t="shared" si="82"/>
        <v>0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3"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3"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customFormat="1" ht="14.4" x14ac:dyDescent="0.2">
      <c r="A59" s="18" t="s">
        <v>131</v>
      </c>
      <c r="B59" s="18"/>
      <c r="C59" s="18"/>
      <c r="D59" s="18"/>
      <c r="E59" s="142"/>
      <c r="F59" s="142"/>
      <c r="G59" s="332"/>
      <c r="H59" s="332">
        <v>46203</v>
      </c>
      <c r="I59" s="17" t="s">
        <v>19</v>
      </c>
      <c r="J59" s="17" t="s">
        <v>21</v>
      </c>
      <c r="K59" s="17" t="s">
        <v>20</v>
      </c>
      <c r="L59" s="17" t="s">
        <v>22</v>
      </c>
      <c r="M59" s="17" t="s">
        <v>93</v>
      </c>
      <c r="N59" s="17" t="s">
        <v>94</v>
      </c>
      <c r="O59" s="17" t="s">
        <v>245</v>
      </c>
      <c r="P59" s="17" t="s">
        <v>246</v>
      </c>
      <c r="Q59" s="17" t="s">
        <v>247</v>
      </c>
      <c r="R59" s="17" t="s">
        <v>248</v>
      </c>
      <c r="S59" s="17" t="s">
        <v>249</v>
      </c>
      <c r="T59" s="17" t="s">
        <v>250</v>
      </c>
      <c r="U59" s="17" t="s">
        <v>251</v>
      </c>
      <c r="V59" s="17" t="s">
        <v>252</v>
      </c>
      <c r="W59" s="17" t="s">
        <v>252</v>
      </c>
      <c r="X59" s="17" t="s">
        <v>252</v>
      </c>
      <c r="Y59" s="17" t="s">
        <v>252</v>
      </c>
      <c r="Z59" s="17" t="s">
        <v>252</v>
      </c>
      <c r="AA59" s="17" t="s">
        <v>252</v>
      </c>
      <c r="AB59" s="17" t="s">
        <v>252</v>
      </c>
      <c r="AC59" s="17" t="s">
        <v>252</v>
      </c>
      <c r="AD59" s="17" t="s">
        <v>252</v>
      </c>
      <c r="AE59" s="17" t="s">
        <v>252</v>
      </c>
      <c r="AF59" s="17" t="s">
        <v>252</v>
      </c>
    </row>
    <row r="60" spans="1:46" x14ac:dyDescent="0.3"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3">
      <c r="B61" s="356" t="s">
        <v>266</v>
      </c>
      <c r="C61" s="356"/>
      <c r="D61" s="356"/>
      <c r="E61" s="356"/>
      <c r="F61" s="356"/>
      <c r="G61" s="356"/>
      <c r="H61" s="356"/>
      <c r="I61" s="357">
        <f>INDEX(Workings_costs!K$23:K$75, MATCH($A59&amp;$B61, Workings_costs!$G$23:$G$75,0))</f>
        <v>14</v>
      </c>
      <c r="J61" s="357">
        <f>INDEX(Workings_costs!L$23:L$75, MATCH($A59&amp;$B61, Workings_costs!$G$23:$G$75,0))</f>
        <v>14</v>
      </c>
      <c r="K61" s="357">
        <f>INDEX(Workings_costs!M$23:M$75, MATCH($A59&amp;$B61, Workings_costs!$G$23:$G$75,0))</f>
        <v>14</v>
      </c>
      <c r="L61" s="357">
        <f>INDEX(Workings_costs!N$23:N$75, MATCH($A59&amp;$B61, Workings_costs!$G$23:$G$75,0))</f>
        <v>14</v>
      </c>
      <c r="M61" s="357">
        <f>INDEX(Workings_costs!O$23:O$75, MATCH($A59&amp;$B61, Workings_costs!$G$23:$G$75,0))</f>
        <v>14</v>
      </c>
      <c r="N61" s="357">
        <f>INDEX(Workings_costs!P$23:P$75, MATCH($A59&amp;$B61, Workings_costs!$G$23:$G$75,0))</f>
        <v>14</v>
      </c>
      <c r="O61" s="357">
        <f>INDEX(Workings_costs!Q$23:Q$75, MATCH($A59&amp;$B61, Workings_costs!$G$23:$G$75,0))</f>
        <v>14</v>
      </c>
      <c r="P61" s="357">
        <f>INDEX(Workings_costs!R$23:R$75, MATCH($A59&amp;$B61, Workings_costs!$G$23:$G$75,0))</f>
        <v>14</v>
      </c>
      <c r="Q61" s="357">
        <f>INDEX(Workings_costs!S$23:S$75, MATCH($A59&amp;$B61, Workings_costs!$G$23:$G$75,0))</f>
        <v>14</v>
      </c>
      <c r="R61" s="357">
        <f>INDEX(Workings_costs!T$23:T$75, MATCH($A59&amp;$B61, Workings_costs!$G$23:$G$75,0))</f>
        <v>14</v>
      </c>
      <c r="S61" s="357">
        <f>INDEX(Workings_costs!U$23:U$75, MATCH($A59&amp;$B61, Workings_costs!$G$23:$G$75,0))</f>
        <v>2</v>
      </c>
      <c r="T61" s="357">
        <f>INDEX(Workings_costs!V$23:V$75, MATCH($A59&amp;$B61, Workings_costs!$G$23:$G$75,0))</f>
        <v>0</v>
      </c>
      <c r="U61" s="357">
        <f>INDEX(Workings_costs!W$23:W$75, MATCH($A59&amp;$B61, Workings_costs!$G$23:$G$75,0))</f>
        <v>0</v>
      </c>
      <c r="V61" s="357">
        <f>INDEX(Workings_costs!X$23:X$75, MATCH($A59&amp;$B61, Workings_costs!$G$23:$G$75,0))</f>
        <v>0</v>
      </c>
      <c r="W61" s="357">
        <f>INDEX(Workings_costs!Y$23:Y$75, MATCH($A59&amp;$B61, Workings_costs!$G$23:$G$75,0))</f>
        <v>0</v>
      </c>
      <c r="X61" s="357">
        <f>INDEX(Workings_costs!Z$23:Z$75, MATCH($A59&amp;$B61, Workings_costs!$G$23:$G$75,0))</f>
        <v>0</v>
      </c>
      <c r="Y61" s="357">
        <f>INDEX(Workings_costs!AA$23:AA$75, MATCH($A59&amp;$B61, Workings_costs!$G$23:$G$75,0))</f>
        <v>0</v>
      </c>
      <c r="Z61" s="357">
        <f>INDEX(Workings_costs!AB$23:AB$75, MATCH($A59&amp;$B61, Workings_costs!$G$23:$G$75,0))</f>
        <v>0</v>
      </c>
      <c r="AA61" s="357">
        <f>INDEX(Workings_costs!AC$23:AC$75, MATCH($A59&amp;$B61, Workings_costs!$G$23:$G$75,0))</f>
        <v>0</v>
      </c>
      <c r="AB61" s="357">
        <f>INDEX(Workings_costs!AD$23:AD$75, MATCH($A59&amp;$B61, Workings_costs!$G$23:$G$75,0))</f>
        <v>0</v>
      </c>
      <c r="AC61" s="357">
        <f>INDEX(Workings_costs!AE$23:AE$75, MATCH($A59&amp;$B61, Workings_costs!$G$23:$G$75,0))</f>
        <v>0</v>
      </c>
      <c r="AD61" s="357">
        <f>INDEX(Workings_costs!AF$23:AF$75, MATCH($A59&amp;$B61, Workings_costs!$G$23:$G$75,0))</f>
        <v>0</v>
      </c>
      <c r="AE61" s="357">
        <f>INDEX(Workings_costs!AG$23:AG$75, MATCH($A59&amp;$B61, Workings_costs!$G$23:$G$75,0))</f>
        <v>0</v>
      </c>
      <c r="AF61" s="357">
        <f>INDEX(Workings_costs!AH$23:AH$75, MATCH($A59&amp;$B61, Workings_costs!$G$23:$G$75,0))</f>
        <v>0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x14ac:dyDescent="0.3">
      <c r="B62" s="356" t="s">
        <v>267</v>
      </c>
      <c r="C62" s="356"/>
      <c r="D62" s="356"/>
      <c r="E62" s="356"/>
      <c r="F62" s="356"/>
      <c r="G62" s="356"/>
      <c r="H62" s="357">
        <f>$F$7</f>
        <v>142</v>
      </c>
      <c r="I62" s="357">
        <f>H62-I61</f>
        <v>128</v>
      </c>
      <c r="J62" s="357">
        <f t="shared" ref="J62" si="83">I62-J61</f>
        <v>114</v>
      </c>
      <c r="K62" s="357">
        <f t="shared" ref="K62" si="84">J62-K61</f>
        <v>100</v>
      </c>
      <c r="L62" s="357">
        <f t="shared" ref="L62" si="85">K62-L61</f>
        <v>86</v>
      </c>
      <c r="M62" s="357">
        <f t="shared" ref="M62" si="86">L62-M61</f>
        <v>72</v>
      </c>
      <c r="N62" s="357">
        <f t="shared" ref="N62" si="87">M62-N61</f>
        <v>58</v>
      </c>
      <c r="O62" s="357">
        <f t="shared" ref="O62" si="88">N62-O61</f>
        <v>44</v>
      </c>
      <c r="P62" s="357">
        <f t="shared" ref="P62" si="89">O62-P61</f>
        <v>30</v>
      </c>
      <c r="Q62" s="357">
        <f t="shared" ref="Q62" si="90">P62-Q61</f>
        <v>16</v>
      </c>
      <c r="R62" s="357">
        <f t="shared" ref="R62" si="91">Q62-R61</f>
        <v>2</v>
      </c>
      <c r="S62" s="357">
        <f t="shared" ref="S62" si="92">R62-S61</f>
        <v>0</v>
      </c>
      <c r="T62" s="357">
        <f t="shared" ref="T62" si="93">S62-T61</f>
        <v>0</v>
      </c>
      <c r="U62" s="357">
        <f t="shared" ref="U62" si="94">T62-U61</f>
        <v>0</v>
      </c>
      <c r="V62" s="357">
        <f t="shared" ref="V62" si="95">U62-V61</f>
        <v>0</v>
      </c>
      <c r="W62" s="357">
        <f t="shared" ref="W62" si="96">V62-W61</f>
        <v>0</v>
      </c>
      <c r="X62" s="357">
        <f t="shared" ref="X62" si="97">W62-X61</f>
        <v>0</v>
      </c>
      <c r="Y62" s="357">
        <f t="shared" ref="Y62" si="98">X62-Y61</f>
        <v>0</v>
      </c>
      <c r="Z62" s="357">
        <f t="shared" ref="Z62" si="99">Y62-Z61</f>
        <v>0</v>
      </c>
      <c r="AA62" s="357">
        <f t="shared" ref="AA62" si="100">Z62-AA61</f>
        <v>0</v>
      </c>
      <c r="AB62" s="357">
        <f t="shared" ref="AB62" si="101">AA62-AB61</f>
        <v>0</v>
      </c>
      <c r="AC62" s="357">
        <f t="shared" ref="AC62" si="102">AB62-AC61</f>
        <v>0</v>
      </c>
      <c r="AD62" s="357">
        <f t="shared" ref="AD62" si="103">AC62-AD61</f>
        <v>0</v>
      </c>
      <c r="AE62" s="357">
        <f t="shared" ref="AE62" si="104">AD62-AE61</f>
        <v>0</v>
      </c>
      <c r="AF62" s="357">
        <f t="shared" ref="AF62" si="105">AE62-AF61</f>
        <v>0</v>
      </c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x14ac:dyDescent="0.3">
      <c r="B63" s="356" t="s">
        <v>268</v>
      </c>
      <c r="C63" s="356"/>
      <c r="D63" s="356"/>
      <c r="E63" s="356"/>
      <c r="F63" s="356"/>
      <c r="G63" s="356"/>
      <c r="H63" s="356"/>
      <c r="I63" s="357">
        <f t="shared" ref="I63:AB63" si="106">I61+H63</f>
        <v>14</v>
      </c>
      <c r="J63" s="357">
        <f t="shared" si="106"/>
        <v>28</v>
      </c>
      <c r="K63" s="357">
        <f t="shared" si="106"/>
        <v>42</v>
      </c>
      <c r="L63" s="357">
        <f t="shared" si="106"/>
        <v>56</v>
      </c>
      <c r="M63" s="357">
        <f t="shared" si="106"/>
        <v>70</v>
      </c>
      <c r="N63" s="357">
        <f t="shared" si="106"/>
        <v>84</v>
      </c>
      <c r="O63" s="357">
        <f t="shared" si="106"/>
        <v>98</v>
      </c>
      <c r="P63" s="357">
        <f t="shared" si="106"/>
        <v>112</v>
      </c>
      <c r="Q63" s="357">
        <f t="shared" si="106"/>
        <v>126</v>
      </c>
      <c r="R63" s="357">
        <f t="shared" si="106"/>
        <v>140</v>
      </c>
      <c r="S63" s="357">
        <f t="shared" si="106"/>
        <v>142</v>
      </c>
      <c r="T63" s="357">
        <f t="shared" si="106"/>
        <v>142</v>
      </c>
      <c r="U63" s="357">
        <f t="shared" si="106"/>
        <v>142</v>
      </c>
      <c r="V63" s="357">
        <f t="shared" si="106"/>
        <v>142</v>
      </c>
      <c r="W63" s="357">
        <f t="shared" si="106"/>
        <v>142</v>
      </c>
      <c r="X63" s="357">
        <f t="shared" si="106"/>
        <v>142</v>
      </c>
      <c r="Y63" s="357">
        <f t="shared" si="106"/>
        <v>142</v>
      </c>
      <c r="Z63" s="357">
        <f t="shared" si="106"/>
        <v>142</v>
      </c>
      <c r="AA63" s="357">
        <f t="shared" si="106"/>
        <v>142</v>
      </c>
      <c r="AB63" s="357">
        <f t="shared" si="106"/>
        <v>142</v>
      </c>
      <c r="AC63" s="357">
        <f t="shared" ref="AC63:AF63" si="107">AC61+AB63</f>
        <v>142</v>
      </c>
      <c r="AD63" s="357">
        <f t="shared" si="107"/>
        <v>142</v>
      </c>
      <c r="AE63" s="357">
        <f t="shared" si="107"/>
        <v>142</v>
      </c>
      <c r="AF63" s="357">
        <f t="shared" si="107"/>
        <v>142</v>
      </c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x14ac:dyDescent="0.3"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x14ac:dyDescent="0.3">
      <c r="A65" s="14" t="s">
        <v>278</v>
      </c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x14ac:dyDescent="0.3">
      <c r="B66" s="14" t="s">
        <v>264</v>
      </c>
      <c r="E66" s="8" t="s">
        <v>40</v>
      </c>
      <c r="F66" s="331">
        <v>3638</v>
      </c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x14ac:dyDescent="0.3">
      <c r="B67" s="8" t="s">
        <v>276</v>
      </c>
      <c r="H67" s="344">
        <f t="shared" ref="H67:AB67" si="108">H62/$F$11</f>
        <v>1</v>
      </c>
      <c r="I67" s="344">
        <f t="shared" si="108"/>
        <v>0.90140845070422537</v>
      </c>
      <c r="J67" s="344">
        <f t="shared" si="108"/>
        <v>0.80281690140845074</v>
      </c>
      <c r="K67" s="344">
        <f t="shared" si="108"/>
        <v>0.70422535211267601</v>
      </c>
      <c r="L67" s="344">
        <f t="shared" si="108"/>
        <v>0.60563380281690138</v>
      </c>
      <c r="M67" s="344">
        <f t="shared" si="108"/>
        <v>0.50704225352112675</v>
      </c>
      <c r="N67" s="344">
        <f t="shared" si="108"/>
        <v>0.40845070422535212</v>
      </c>
      <c r="O67" s="344">
        <f t="shared" si="108"/>
        <v>0.30985915492957744</v>
      </c>
      <c r="P67" s="344">
        <f t="shared" si="108"/>
        <v>0.21126760563380281</v>
      </c>
      <c r="Q67" s="344">
        <f t="shared" si="108"/>
        <v>0.11267605633802817</v>
      </c>
      <c r="R67" s="344">
        <f t="shared" si="108"/>
        <v>1.4084507042253521E-2</v>
      </c>
      <c r="S67" s="344">
        <f t="shared" si="108"/>
        <v>0</v>
      </c>
      <c r="T67" s="344">
        <f t="shared" si="108"/>
        <v>0</v>
      </c>
      <c r="U67" s="344">
        <f t="shared" si="108"/>
        <v>0</v>
      </c>
      <c r="V67" s="344">
        <f t="shared" si="108"/>
        <v>0</v>
      </c>
      <c r="W67" s="344">
        <f t="shared" si="108"/>
        <v>0</v>
      </c>
      <c r="X67" s="344">
        <f t="shared" si="108"/>
        <v>0</v>
      </c>
      <c r="Y67" s="344">
        <f t="shared" si="108"/>
        <v>0</v>
      </c>
      <c r="Z67" s="344">
        <f t="shared" si="108"/>
        <v>0</v>
      </c>
      <c r="AA67" s="344">
        <f t="shared" si="108"/>
        <v>0</v>
      </c>
      <c r="AB67" s="344">
        <f t="shared" si="108"/>
        <v>0</v>
      </c>
      <c r="AC67" s="344">
        <f t="shared" ref="AC67:AF67" si="109">AC62/$F$11</f>
        <v>0</v>
      </c>
      <c r="AD67" s="344">
        <f t="shared" si="109"/>
        <v>0</v>
      </c>
      <c r="AE67" s="344">
        <f t="shared" si="109"/>
        <v>0</v>
      </c>
      <c r="AF67" s="344">
        <f t="shared" si="109"/>
        <v>0</v>
      </c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x14ac:dyDescent="0.3">
      <c r="B68" s="8" t="s">
        <v>265</v>
      </c>
      <c r="I68" s="334">
        <f>$F$9*H67</f>
        <v>1951869.3887187999</v>
      </c>
      <c r="J68" s="334">
        <f>$F$9*I67</f>
        <v>1759431.5616620169</v>
      </c>
      <c r="K68" s="334">
        <f>$F$9*J67</f>
        <v>1566993.7346052339</v>
      </c>
      <c r="L68" s="334">
        <f>$F$9*K67</f>
        <v>1374555.9075484506</v>
      </c>
      <c r="M68" s="334">
        <f>$F$9*L67</f>
        <v>1182118.0804916676</v>
      </c>
      <c r="N68" s="334">
        <f>$F$9*M67</f>
        <v>989680.25343488448</v>
      </c>
      <c r="O68" s="334">
        <f>$F$9*N67</f>
        <v>797242.42637810134</v>
      </c>
      <c r="P68" s="334">
        <f>$F$9*O67</f>
        <v>604804.59932131821</v>
      </c>
      <c r="Q68" s="334">
        <f>$F$9*P67</f>
        <v>412366.77226453519</v>
      </c>
      <c r="R68" s="334">
        <f>$F$9*Q67</f>
        <v>219928.94520775211</v>
      </c>
      <c r="S68" s="334">
        <f>$F$9*R67</f>
        <v>27491.118150969014</v>
      </c>
      <c r="T68" s="334">
        <f>$F$9*S67</f>
        <v>0</v>
      </c>
      <c r="U68" s="334">
        <f>$F$9*T67</f>
        <v>0</v>
      </c>
      <c r="V68" s="334">
        <f>$F$9*U67</f>
        <v>0</v>
      </c>
      <c r="W68" s="334">
        <f>$F$9*V67</f>
        <v>0</v>
      </c>
      <c r="X68" s="334">
        <f>$F$9*W67</f>
        <v>0</v>
      </c>
      <c r="Y68" s="334">
        <f>$F$9*X67</f>
        <v>0</v>
      </c>
      <c r="Z68" s="334">
        <f>$F$9*Y67</f>
        <v>0</v>
      </c>
      <c r="AA68" s="334">
        <f>$F$9*Z67</f>
        <v>0</v>
      </c>
      <c r="AB68" s="334">
        <f>$F$9*AA67</f>
        <v>0</v>
      </c>
      <c r="AC68" s="334">
        <f>$F$9*AB67</f>
        <v>0</v>
      </c>
      <c r="AD68" s="334">
        <f>$F$9*AC67</f>
        <v>0</v>
      </c>
      <c r="AE68" s="334">
        <f>$F$9*AD67</f>
        <v>0</v>
      </c>
      <c r="AF68" s="334">
        <f>$F$9*AE67</f>
        <v>0</v>
      </c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x14ac:dyDescent="0.3">
      <c r="B69" s="339" t="s">
        <v>138</v>
      </c>
      <c r="C69" s="336"/>
      <c r="D69" s="336"/>
      <c r="E69" s="336"/>
      <c r="F69" s="336"/>
      <c r="G69" s="336"/>
      <c r="H69" s="336"/>
      <c r="I69" s="340">
        <f>I68</f>
        <v>1951869.3887187999</v>
      </c>
      <c r="J69" s="340">
        <f t="shared" ref="J69:AF69" si="110">J68</f>
        <v>1759431.5616620169</v>
      </c>
      <c r="K69" s="340">
        <f t="shared" si="110"/>
        <v>1566993.7346052339</v>
      </c>
      <c r="L69" s="340">
        <f t="shared" si="110"/>
        <v>1374555.9075484506</v>
      </c>
      <c r="M69" s="340">
        <f t="shared" si="110"/>
        <v>1182118.0804916676</v>
      </c>
      <c r="N69" s="340">
        <f t="shared" si="110"/>
        <v>989680.25343488448</v>
      </c>
      <c r="O69" s="340">
        <f t="shared" si="110"/>
        <v>797242.42637810134</v>
      </c>
      <c r="P69" s="340">
        <f t="shared" si="110"/>
        <v>604804.59932131821</v>
      </c>
      <c r="Q69" s="340">
        <f t="shared" si="110"/>
        <v>412366.77226453519</v>
      </c>
      <c r="R69" s="340">
        <f t="shared" si="110"/>
        <v>219928.94520775211</v>
      </c>
      <c r="S69" s="340">
        <f t="shared" si="110"/>
        <v>27491.118150969014</v>
      </c>
      <c r="T69" s="340">
        <f t="shared" si="110"/>
        <v>0</v>
      </c>
      <c r="U69" s="340">
        <f t="shared" si="110"/>
        <v>0</v>
      </c>
      <c r="V69" s="340">
        <f t="shared" si="110"/>
        <v>0</v>
      </c>
      <c r="W69" s="340">
        <f t="shared" si="110"/>
        <v>0</v>
      </c>
      <c r="X69" s="340">
        <f t="shared" si="110"/>
        <v>0</v>
      </c>
      <c r="Y69" s="340">
        <f t="shared" si="110"/>
        <v>0</v>
      </c>
      <c r="Z69" s="340">
        <f t="shared" si="110"/>
        <v>0</v>
      </c>
      <c r="AA69" s="340">
        <f t="shared" si="110"/>
        <v>0</v>
      </c>
      <c r="AB69" s="340">
        <f t="shared" si="110"/>
        <v>0</v>
      </c>
      <c r="AC69" s="340">
        <f t="shared" si="110"/>
        <v>0</v>
      </c>
      <c r="AD69" s="340">
        <f t="shared" si="110"/>
        <v>0</v>
      </c>
      <c r="AE69" s="340">
        <f t="shared" si="110"/>
        <v>0</v>
      </c>
      <c r="AF69" s="340">
        <f t="shared" si="110"/>
        <v>0</v>
      </c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x14ac:dyDescent="0.3"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2" spans="1:46" customFormat="1" ht="14.4" x14ac:dyDescent="0.2">
      <c r="A72" s="18" t="s">
        <v>151</v>
      </c>
      <c r="B72" s="18"/>
      <c r="C72" s="18"/>
      <c r="D72" s="18"/>
      <c r="E72" s="142"/>
      <c r="F72" s="142"/>
      <c r="G72" s="332"/>
      <c r="H72" s="332">
        <v>46203</v>
      </c>
      <c r="I72" s="17" t="s">
        <v>19</v>
      </c>
      <c r="J72" s="17" t="s">
        <v>21</v>
      </c>
      <c r="K72" s="17" t="s">
        <v>20</v>
      </c>
      <c r="L72" s="17" t="s">
        <v>22</v>
      </c>
      <c r="M72" s="17" t="s">
        <v>93</v>
      </c>
      <c r="N72" s="17" t="s">
        <v>94</v>
      </c>
      <c r="O72" s="17" t="s">
        <v>245</v>
      </c>
      <c r="P72" s="17" t="s">
        <v>246</v>
      </c>
      <c r="Q72" s="17" t="s">
        <v>247</v>
      </c>
      <c r="R72" s="17" t="s">
        <v>248</v>
      </c>
      <c r="S72" s="17" t="s">
        <v>249</v>
      </c>
      <c r="T72" s="17" t="s">
        <v>250</v>
      </c>
      <c r="U72" s="17" t="s">
        <v>251</v>
      </c>
      <c r="V72" s="17" t="s">
        <v>252</v>
      </c>
      <c r="W72" s="17" t="s">
        <v>252</v>
      </c>
      <c r="X72" s="17" t="s">
        <v>252</v>
      </c>
      <c r="Y72" s="17" t="s">
        <v>252</v>
      </c>
      <c r="Z72" s="17" t="s">
        <v>252</v>
      </c>
      <c r="AA72" s="17" t="s">
        <v>252</v>
      </c>
      <c r="AB72" s="17" t="s">
        <v>252</v>
      </c>
      <c r="AC72" s="17" t="s">
        <v>252</v>
      </c>
      <c r="AD72" s="17" t="s">
        <v>252</v>
      </c>
      <c r="AE72" s="17" t="s">
        <v>252</v>
      </c>
      <c r="AF72" s="17" t="s">
        <v>252</v>
      </c>
    </row>
    <row r="73" spans="1:46" x14ac:dyDescent="0.3"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x14ac:dyDescent="0.3">
      <c r="B74" s="356" t="s">
        <v>266</v>
      </c>
      <c r="C74" s="356"/>
      <c r="D74" s="356"/>
      <c r="E74" s="356"/>
      <c r="F74" s="356"/>
      <c r="G74" s="356"/>
      <c r="H74" s="356"/>
      <c r="I74" s="357">
        <f>INDEX(Workings_costs!K$23:K$75, MATCH($A72&amp;$B74, Workings_costs!$G$23:$G$75,0))</f>
        <v>9</v>
      </c>
      <c r="J74" s="357">
        <f>INDEX(Workings_costs!L$23:L$75, MATCH($A72&amp;$B74, Workings_costs!$G$23:$G$75,0))</f>
        <v>9</v>
      </c>
      <c r="K74" s="357">
        <f>INDEX(Workings_costs!M$23:M$75, MATCH($A72&amp;$B74, Workings_costs!$G$23:$G$75,0))</f>
        <v>9</v>
      </c>
      <c r="L74" s="357">
        <f>INDEX(Workings_costs!N$23:N$75, MATCH($A72&amp;$B74, Workings_costs!$G$23:$G$75,0))</f>
        <v>9</v>
      </c>
      <c r="M74" s="357">
        <f>INDEX(Workings_costs!O$23:O$75, MATCH($A72&amp;$B74, Workings_costs!$G$23:$G$75,0))</f>
        <v>9</v>
      </c>
      <c r="N74" s="357">
        <f>INDEX(Workings_costs!P$23:P$75, MATCH($A72&amp;$B74, Workings_costs!$G$23:$G$75,0))</f>
        <v>9</v>
      </c>
      <c r="O74" s="357">
        <f>INDEX(Workings_costs!Q$23:Q$75, MATCH($A72&amp;$B74, Workings_costs!$G$23:$G$75,0))</f>
        <v>9</v>
      </c>
      <c r="P74" s="357">
        <f>INDEX(Workings_costs!R$23:R$75, MATCH($A72&amp;$B74, Workings_costs!$G$23:$G$75,0))</f>
        <v>9</v>
      </c>
      <c r="Q74" s="357">
        <f>INDEX(Workings_costs!S$23:S$75, MATCH($A72&amp;$B74, Workings_costs!$G$23:$G$75,0))</f>
        <v>9</v>
      </c>
      <c r="R74" s="357">
        <f>INDEX(Workings_costs!T$23:T$75, MATCH($A72&amp;$B74, Workings_costs!$G$23:$G$75,0))</f>
        <v>9</v>
      </c>
      <c r="S74" s="357">
        <f>INDEX(Workings_costs!U$23:U$75, MATCH($A72&amp;$B74, Workings_costs!$G$23:$G$75,0))</f>
        <v>9</v>
      </c>
      <c r="T74" s="357">
        <f>INDEX(Workings_costs!V$23:V$75, MATCH($A72&amp;$B74, Workings_costs!$G$23:$G$75,0))</f>
        <v>9</v>
      </c>
      <c r="U74" s="357">
        <f>INDEX(Workings_costs!W$23:W$75, MATCH($A72&amp;$B74, Workings_costs!$G$23:$G$75,0))</f>
        <v>9</v>
      </c>
      <c r="V74" s="357">
        <f>INDEX(Workings_costs!X$23:X$75, MATCH($A72&amp;$B74, Workings_costs!$G$23:$G$75,0))</f>
        <v>9</v>
      </c>
      <c r="W74" s="357">
        <f>INDEX(Workings_costs!Y$23:Y$75, MATCH($A72&amp;$B74, Workings_costs!$G$23:$G$75,0))</f>
        <v>9</v>
      </c>
      <c r="X74" s="357">
        <f>INDEX(Workings_costs!Z$23:Z$75, MATCH($A72&amp;$B74, Workings_costs!$G$23:$G$75,0))</f>
        <v>7</v>
      </c>
      <c r="Y74" s="357">
        <f>INDEX(Workings_costs!AA$23:AA$75, MATCH($A72&amp;$B74, Workings_costs!$G$23:$G$75,0))</f>
        <v>0</v>
      </c>
      <c r="Z74" s="357">
        <f>INDEX(Workings_costs!AB$23:AB$75, MATCH($A72&amp;$B74, Workings_costs!$G$23:$G$75,0))</f>
        <v>0</v>
      </c>
      <c r="AA74" s="357">
        <f>INDEX(Workings_costs!AC$23:AC$75, MATCH($A72&amp;$B74, Workings_costs!$G$23:$G$75,0))</f>
        <v>0</v>
      </c>
      <c r="AB74" s="357">
        <f>INDEX(Workings_costs!AD$23:AD$75, MATCH($A72&amp;$B74, Workings_costs!$G$23:$G$75,0))</f>
        <v>0</v>
      </c>
      <c r="AC74" s="357">
        <f>INDEX(Workings_costs!AE$23:AE$75, MATCH($A72&amp;$B74, Workings_costs!$G$23:$G$75,0))</f>
        <v>0</v>
      </c>
      <c r="AD74" s="357">
        <f>INDEX(Workings_costs!AF$23:AF$75, MATCH($A72&amp;$B74, Workings_costs!$G$23:$G$75,0))</f>
        <v>0</v>
      </c>
      <c r="AE74" s="357">
        <f>INDEX(Workings_costs!AG$23:AG$75, MATCH($A72&amp;$B74, Workings_costs!$G$23:$G$75,0))</f>
        <v>0</v>
      </c>
      <c r="AF74" s="357">
        <f>INDEX(Workings_costs!AH$23:AH$75, MATCH($A72&amp;$B74, Workings_costs!$G$23:$G$75,0))</f>
        <v>0</v>
      </c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x14ac:dyDescent="0.3">
      <c r="B75" s="356" t="s">
        <v>267</v>
      </c>
      <c r="C75" s="356"/>
      <c r="D75" s="356"/>
      <c r="E75" s="356"/>
      <c r="F75" s="356"/>
      <c r="G75" s="356"/>
      <c r="H75" s="357">
        <f>$F$7</f>
        <v>142</v>
      </c>
      <c r="I75" s="357">
        <f>H75-I74</f>
        <v>133</v>
      </c>
      <c r="J75" s="357">
        <f t="shared" ref="J75" si="111">I75-J74</f>
        <v>124</v>
      </c>
      <c r="K75" s="357">
        <f t="shared" ref="K75" si="112">J75-K74</f>
        <v>115</v>
      </c>
      <c r="L75" s="357">
        <f t="shared" ref="L75" si="113">K75-L74</f>
        <v>106</v>
      </c>
      <c r="M75" s="357">
        <f t="shared" ref="M75" si="114">L75-M74</f>
        <v>97</v>
      </c>
      <c r="N75" s="357">
        <f t="shared" ref="N75" si="115">M75-N74</f>
        <v>88</v>
      </c>
      <c r="O75" s="357">
        <f t="shared" ref="O75" si="116">N75-O74</f>
        <v>79</v>
      </c>
      <c r="P75" s="357">
        <f t="shared" ref="P75" si="117">O75-P74</f>
        <v>70</v>
      </c>
      <c r="Q75" s="357">
        <f t="shared" ref="Q75" si="118">P75-Q74</f>
        <v>61</v>
      </c>
      <c r="R75" s="357">
        <f t="shared" ref="R75" si="119">Q75-R74</f>
        <v>52</v>
      </c>
      <c r="S75" s="357">
        <f t="shared" ref="S75" si="120">R75-S74</f>
        <v>43</v>
      </c>
      <c r="T75" s="357">
        <f t="shared" ref="T75" si="121">S75-T74</f>
        <v>34</v>
      </c>
      <c r="U75" s="357">
        <f t="shared" ref="U75" si="122">T75-U74</f>
        <v>25</v>
      </c>
      <c r="V75" s="357">
        <f t="shared" ref="V75" si="123">U75-V74</f>
        <v>16</v>
      </c>
      <c r="W75" s="357">
        <f t="shared" ref="W75" si="124">V75-W74</f>
        <v>7</v>
      </c>
      <c r="X75" s="357">
        <f t="shared" ref="X75" si="125">W75-X74</f>
        <v>0</v>
      </c>
      <c r="Y75" s="357">
        <f t="shared" ref="Y75" si="126">X75-Y74</f>
        <v>0</v>
      </c>
      <c r="Z75" s="357">
        <f t="shared" ref="Z75" si="127">Y75-Z74</f>
        <v>0</v>
      </c>
      <c r="AA75" s="357">
        <f t="shared" ref="AA75" si="128">Z75-AA74</f>
        <v>0</v>
      </c>
      <c r="AB75" s="357">
        <f t="shared" ref="AB75" si="129">AA75-AB74</f>
        <v>0</v>
      </c>
      <c r="AC75" s="357">
        <f t="shared" ref="AC75" si="130">AB75-AC74</f>
        <v>0</v>
      </c>
      <c r="AD75" s="357">
        <f t="shared" ref="AD75" si="131">AC75-AD74</f>
        <v>0</v>
      </c>
      <c r="AE75" s="357">
        <f t="shared" ref="AE75" si="132">AD75-AE74</f>
        <v>0</v>
      </c>
      <c r="AF75" s="357">
        <f t="shared" ref="AF75" si="133">AE75-AF74</f>
        <v>0</v>
      </c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x14ac:dyDescent="0.3">
      <c r="B76" s="356" t="s">
        <v>268</v>
      </c>
      <c r="C76" s="356"/>
      <c r="D76" s="356"/>
      <c r="E76" s="356"/>
      <c r="F76" s="356"/>
      <c r="G76" s="356"/>
      <c r="H76" s="356"/>
      <c r="I76" s="357">
        <f t="shared" ref="I76:AB76" si="134">I74+H76</f>
        <v>9</v>
      </c>
      <c r="J76" s="357">
        <f t="shared" si="134"/>
        <v>18</v>
      </c>
      <c r="K76" s="357">
        <f t="shared" si="134"/>
        <v>27</v>
      </c>
      <c r="L76" s="357">
        <f t="shared" si="134"/>
        <v>36</v>
      </c>
      <c r="M76" s="357">
        <f t="shared" si="134"/>
        <v>45</v>
      </c>
      <c r="N76" s="357">
        <f t="shared" si="134"/>
        <v>54</v>
      </c>
      <c r="O76" s="357">
        <f t="shared" si="134"/>
        <v>63</v>
      </c>
      <c r="P76" s="357">
        <f t="shared" si="134"/>
        <v>72</v>
      </c>
      <c r="Q76" s="357">
        <f t="shared" si="134"/>
        <v>81</v>
      </c>
      <c r="R76" s="357">
        <f t="shared" si="134"/>
        <v>90</v>
      </c>
      <c r="S76" s="357">
        <f t="shared" si="134"/>
        <v>99</v>
      </c>
      <c r="T76" s="357">
        <f t="shared" si="134"/>
        <v>108</v>
      </c>
      <c r="U76" s="357">
        <f t="shared" si="134"/>
        <v>117</v>
      </c>
      <c r="V76" s="357">
        <f t="shared" si="134"/>
        <v>126</v>
      </c>
      <c r="W76" s="357">
        <f t="shared" si="134"/>
        <v>135</v>
      </c>
      <c r="X76" s="357">
        <f t="shared" si="134"/>
        <v>142</v>
      </c>
      <c r="Y76" s="357">
        <f t="shared" si="134"/>
        <v>142</v>
      </c>
      <c r="Z76" s="357">
        <f t="shared" si="134"/>
        <v>142</v>
      </c>
      <c r="AA76" s="357">
        <f t="shared" si="134"/>
        <v>142</v>
      </c>
      <c r="AB76" s="357">
        <f t="shared" si="134"/>
        <v>142</v>
      </c>
      <c r="AC76" s="357">
        <f t="shared" ref="AC76:AF76" si="135">AC74+AB76</f>
        <v>142</v>
      </c>
      <c r="AD76" s="357">
        <f t="shared" si="135"/>
        <v>142</v>
      </c>
      <c r="AE76" s="357">
        <f t="shared" si="135"/>
        <v>142</v>
      </c>
      <c r="AF76" s="357">
        <f t="shared" si="135"/>
        <v>142</v>
      </c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x14ac:dyDescent="0.3"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x14ac:dyDescent="0.3">
      <c r="A78" s="14" t="s">
        <v>278</v>
      </c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x14ac:dyDescent="0.3">
      <c r="B79" s="14" t="s">
        <v>264</v>
      </c>
      <c r="E79" s="8" t="s">
        <v>40</v>
      </c>
      <c r="F79" s="331">
        <v>3638</v>
      </c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x14ac:dyDescent="0.3">
      <c r="B80" s="8" t="s">
        <v>276</v>
      </c>
      <c r="H80" s="344">
        <f t="shared" ref="H80:AB80" si="136">H75/$F$11</f>
        <v>1</v>
      </c>
      <c r="I80" s="344">
        <f t="shared" si="136"/>
        <v>0.93661971830985913</v>
      </c>
      <c r="J80" s="344">
        <f t="shared" si="136"/>
        <v>0.87323943661971826</v>
      </c>
      <c r="K80" s="344">
        <f t="shared" si="136"/>
        <v>0.8098591549295775</v>
      </c>
      <c r="L80" s="344">
        <f t="shared" si="136"/>
        <v>0.74647887323943662</v>
      </c>
      <c r="M80" s="344">
        <f t="shared" si="136"/>
        <v>0.68309859154929575</v>
      </c>
      <c r="N80" s="344">
        <f t="shared" si="136"/>
        <v>0.61971830985915488</v>
      </c>
      <c r="O80" s="344">
        <f t="shared" si="136"/>
        <v>0.55633802816901412</v>
      </c>
      <c r="P80" s="344">
        <f t="shared" si="136"/>
        <v>0.49295774647887325</v>
      </c>
      <c r="Q80" s="344">
        <f t="shared" si="136"/>
        <v>0.42957746478873238</v>
      </c>
      <c r="R80" s="344">
        <f t="shared" si="136"/>
        <v>0.36619718309859156</v>
      </c>
      <c r="S80" s="344">
        <f t="shared" si="136"/>
        <v>0.30281690140845069</v>
      </c>
      <c r="T80" s="344">
        <f t="shared" si="136"/>
        <v>0.23943661971830985</v>
      </c>
      <c r="U80" s="344">
        <f t="shared" si="136"/>
        <v>0.176056338028169</v>
      </c>
      <c r="V80" s="344">
        <f t="shared" si="136"/>
        <v>0.11267605633802817</v>
      </c>
      <c r="W80" s="344">
        <f t="shared" si="136"/>
        <v>4.9295774647887321E-2</v>
      </c>
      <c r="X80" s="344">
        <f t="shared" si="136"/>
        <v>0</v>
      </c>
      <c r="Y80" s="344">
        <f t="shared" si="136"/>
        <v>0</v>
      </c>
      <c r="Z80" s="344">
        <f t="shared" si="136"/>
        <v>0</v>
      </c>
      <c r="AA80" s="344">
        <f t="shared" si="136"/>
        <v>0</v>
      </c>
      <c r="AB80" s="344">
        <f t="shared" si="136"/>
        <v>0</v>
      </c>
      <c r="AC80" s="344">
        <f t="shared" ref="AC80:AF80" si="137">AC75/$F$11</f>
        <v>0</v>
      </c>
      <c r="AD80" s="344">
        <f t="shared" si="137"/>
        <v>0</v>
      </c>
      <c r="AE80" s="344">
        <f t="shared" si="137"/>
        <v>0</v>
      </c>
      <c r="AF80" s="344">
        <f t="shared" si="137"/>
        <v>0</v>
      </c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2:46" x14ac:dyDescent="0.3">
      <c r="B81" s="8" t="s">
        <v>265</v>
      </c>
      <c r="I81" s="334">
        <f>$F$9*H80</f>
        <v>1951869.3887187999</v>
      </c>
      <c r="J81" s="334">
        <f>$F$9*I80</f>
        <v>1828159.3570394393</v>
      </c>
      <c r="K81" s="334">
        <f>$F$9*J80</f>
        <v>1704449.3253600786</v>
      </c>
      <c r="L81" s="334">
        <f>$F$9*K80</f>
        <v>1580739.2936807184</v>
      </c>
      <c r="M81" s="334">
        <f>$F$9*L80</f>
        <v>1457029.2620013577</v>
      </c>
      <c r="N81" s="334">
        <f>$F$9*M80</f>
        <v>1333319.2303219971</v>
      </c>
      <c r="O81" s="334">
        <f>$F$9*N80</f>
        <v>1209609.1986426364</v>
      </c>
      <c r="P81" s="334">
        <f>$F$9*O80</f>
        <v>1085899.166963276</v>
      </c>
      <c r="Q81" s="334">
        <f>$F$9*P80</f>
        <v>962189.13528391544</v>
      </c>
      <c r="R81" s="334">
        <f>$F$9*Q80</f>
        <v>838479.1036045549</v>
      </c>
      <c r="S81" s="334">
        <f>$F$9*R80</f>
        <v>714769.07192519435</v>
      </c>
      <c r="T81" s="334">
        <f>$F$9*S80</f>
        <v>591059.04024583381</v>
      </c>
      <c r="U81" s="334">
        <f>$F$9*T80</f>
        <v>467349.0085664732</v>
      </c>
      <c r="V81" s="334">
        <f>$F$9*U80</f>
        <v>343638.97688711266</v>
      </c>
      <c r="W81" s="334">
        <f>$F$9*V80</f>
        <v>219928.94520775211</v>
      </c>
      <c r="X81" s="334">
        <f>$F$9*W80</f>
        <v>96218.913528391538</v>
      </c>
      <c r="Y81" s="334">
        <f>$F$9*X80</f>
        <v>0</v>
      </c>
      <c r="Z81" s="334">
        <f>$F$9*Y80</f>
        <v>0</v>
      </c>
      <c r="AA81" s="334">
        <f>$F$9*Z80</f>
        <v>0</v>
      </c>
      <c r="AB81" s="334">
        <f>$F$9*AA80</f>
        <v>0</v>
      </c>
      <c r="AC81" s="334">
        <f>$F$9*AB80</f>
        <v>0</v>
      </c>
      <c r="AD81" s="334">
        <f>$F$9*AC80</f>
        <v>0</v>
      </c>
      <c r="AE81" s="334">
        <f>$F$9*AD80</f>
        <v>0</v>
      </c>
      <c r="AF81" s="334">
        <f>$F$9*AE80</f>
        <v>0</v>
      </c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2:46" x14ac:dyDescent="0.3">
      <c r="B82" s="339" t="s">
        <v>138</v>
      </c>
      <c r="C82" s="336"/>
      <c r="D82" s="336"/>
      <c r="E82" s="336"/>
      <c r="F82" s="336"/>
      <c r="G82" s="336"/>
      <c r="H82" s="336"/>
      <c r="I82" s="340">
        <f>I81</f>
        <v>1951869.3887187999</v>
      </c>
      <c r="J82" s="340">
        <f t="shared" ref="J82:AF82" si="138">J81</f>
        <v>1828159.3570394393</v>
      </c>
      <c r="K82" s="340">
        <f t="shared" si="138"/>
        <v>1704449.3253600786</v>
      </c>
      <c r="L82" s="340">
        <f t="shared" si="138"/>
        <v>1580739.2936807184</v>
      </c>
      <c r="M82" s="340">
        <f t="shared" si="138"/>
        <v>1457029.2620013577</v>
      </c>
      <c r="N82" s="340">
        <f t="shared" si="138"/>
        <v>1333319.2303219971</v>
      </c>
      <c r="O82" s="340">
        <f t="shared" si="138"/>
        <v>1209609.1986426364</v>
      </c>
      <c r="P82" s="340">
        <f t="shared" si="138"/>
        <v>1085899.166963276</v>
      </c>
      <c r="Q82" s="340">
        <f t="shared" si="138"/>
        <v>962189.13528391544</v>
      </c>
      <c r="R82" s="340">
        <f t="shared" si="138"/>
        <v>838479.1036045549</v>
      </c>
      <c r="S82" s="340">
        <f t="shared" si="138"/>
        <v>714769.07192519435</v>
      </c>
      <c r="T82" s="340">
        <f t="shared" si="138"/>
        <v>591059.04024583381</v>
      </c>
      <c r="U82" s="340">
        <f t="shared" si="138"/>
        <v>467349.0085664732</v>
      </c>
      <c r="V82" s="340">
        <f t="shared" si="138"/>
        <v>343638.97688711266</v>
      </c>
      <c r="W82" s="340">
        <f t="shared" si="138"/>
        <v>219928.94520775211</v>
      </c>
      <c r="X82" s="340">
        <f t="shared" si="138"/>
        <v>96218.913528391538</v>
      </c>
      <c r="Y82" s="340">
        <f t="shared" si="138"/>
        <v>0</v>
      </c>
      <c r="Z82" s="340">
        <f t="shared" si="138"/>
        <v>0</v>
      </c>
      <c r="AA82" s="340">
        <f t="shared" si="138"/>
        <v>0</v>
      </c>
      <c r="AB82" s="340">
        <f t="shared" si="138"/>
        <v>0</v>
      </c>
      <c r="AC82" s="340">
        <f t="shared" si="138"/>
        <v>0</v>
      </c>
      <c r="AD82" s="340">
        <f t="shared" si="138"/>
        <v>0</v>
      </c>
      <c r="AE82" s="340">
        <f t="shared" si="138"/>
        <v>0</v>
      </c>
      <c r="AF82" s="340">
        <f t="shared" si="138"/>
        <v>0</v>
      </c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2:46" x14ac:dyDescent="0.3"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1" sqref="A41"/>
    </sheetView>
  </sheetViews>
  <sheetFormatPr defaultRowHeight="12.6" x14ac:dyDescent="0.2"/>
  <cols>
    <col min="2" max="2" width="21.36328125" customWidth="1"/>
    <col min="3" max="3" width="20.453125" customWidth="1"/>
    <col min="4" max="4" width="14.453125" style="49" customWidth="1"/>
    <col min="5" max="5" width="14.453125" customWidth="1"/>
    <col min="8" max="11" width="14.36328125" customWidth="1"/>
    <col min="12" max="12" width="15.7265625" customWidth="1"/>
    <col min="13" max="18" width="14.36328125" customWidth="1"/>
  </cols>
  <sheetData>
    <row r="1" spans="1:23" ht="18" x14ac:dyDescent="0.35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" x14ac:dyDescent="0.35">
      <c r="A2" s="56" t="str">
        <f>proj</f>
        <v>Recplacement of CRO inoperable RMUs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6" x14ac:dyDescent="0.3">
      <c r="A3" s="5"/>
    </row>
    <row r="4" spans="1:23" s="1" customFormat="1" ht="14.4" x14ac:dyDescent="0.3">
      <c r="A4" s="18" t="s">
        <v>195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.8" x14ac:dyDescent="0.3"/>
    <row r="6" spans="1:23" s="1" customFormat="1" ht="13.8" x14ac:dyDescent="0.3">
      <c r="B6" s="77" t="s">
        <v>126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ht="13.8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ht="13.8" x14ac:dyDescent="0.3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ht="13.8" x14ac:dyDescent="0.3">
      <c r="D9" s="12"/>
      <c r="O9"/>
      <c r="P9"/>
      <c r="Q9"/>
      <c r="R9"/>
      <c r="S9"/>
      <c r="T9"/>
      <c r="U9"/>
      <c r="V9"/>
      <c r="W9"/>
    </row>
    <row r="10" spans="1:23" s="1" customFormat="1" ht="13.8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ht="13.8" x14ac:dyDescent="0.3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ht="13.8" x14ac:dyDescent="0.3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ht="13.8" x14ac:dyDescent="0.3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ht="13.8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ht="13.8" x14ac:dyDescent="0.3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ht="13.8" x14ac:dyDescent="0.3">
      <c r="A16"/>
      <c r="B16" s="80" t="s">
        <v>180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ht="13.8" x14ac:dyDescent="0.3">
      <c r="A17"/>
      <c r="B17" s="80" t="s">
        <v>181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ht="13.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ht="13.8" x14ac:dyDescent="0.3">
      <c r="B19" s="81" t="s">
        <v>77</v>
      </c>
      <c r="D19" s="41">
        <f>D17/D16</f>
        <v>1.1129126464165968</v>
      </c>
      <c r="L19" s="292"/>
    </row>
    <row r="20" spans="1:34" ht="13.8" x14ac:dyDescent="0.3">
      <c r="B20" s="81"/>
      <c r="D20" s="41"/>
    </row>
    <row r="21" spans="1:34" ht="13.8" x14ac:dyDescent="0.3">
      <c r="B21" s="80" t="s">
        <v>206</v>
      </c>
      <c r="C21" s="67">
        <f>vcr_date</f>
        <v>45291</v>
      </c>
      <c r="D21" s="41">
        <f>INDEX(hy_escalation, MATCH(C21,hy_dates,0))</f>
        <v>1.0839971599793141</v>
      </c>
    </row>
    <row r="22" spans="1:34" ht="13.8" x14ac:dyDescent="0.3">
      <c r="B22" s="80" t="s">
        <v>207</v>
      </c>
      <c r="C22" s="67">
        <f>input_dollars</f>
        <v>45291</v>
      </c>
      <c r="D22" s="41">
        <f>INDEX(hy_escalation, MATCH(C22,hy_dates,0))</f>
        <v>1.0839971599793141</v>
      </c>
    </row>
    <row r="23" spans="1:34" ht="13.8" x14ac:dyDescent="0.3">
      <c r="B23" s="81" t="s">
        <v>208</v>
      </c>
      <c r="D23" s="41">
        <f>D22/D21</f>
        <v>1</v>
      </c>
    </row>
    <row r="25" spans="1:34" ht="13.8" x14ac:dyDescent="0.3">
      <c r="B25" s="81" t="s">
        <v>233</v>
      </c>
      <c r="C25" s="8" t="str">
        <f>start</f>
        <v>2026-27</v>
      </c>
    </row>
    <row r="28" spans="1:34" s="1" customFormat="1" ht="14.4" x14ac:dyDescent="0.3">
      <c r="A28" s="18" t="s">
        <v>204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ht="13.2" x14ac:dyDescent="0.25">
      <c r="B31" s="192" t="s">
        <v>1</v>
      </c>
      <c r="C31" s="193" t="s">
        <v>187</v>
      </c>
      <c r="D31" s="194" t="s">
        <v>194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3.8" x14ac:dyDescent="0.3">
      <c r="B32" s="135" t="s">
        <v>129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3.8" x14ac:dyDescent="0.3">
      <c r="B33" s="135" t="s">
        <v>130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3.8" x14ac:dyDescent="0.3">
      <c r="B34" s="135" t="s">
        <v>131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3.8" x14ac:dyDescent="0.3">
      <c r="B35" s="135" t="s">
        <v>151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3.2" x14ac:dyDescent="0.25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3.2" x14ac:dyDescent="0.25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3.2" x14ac:dyDescent="0.25">
      <c r="B38" s="195" t="s">
        <v>187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3.2" x14ac:dyDescent="0.25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3.2" x14ac:dyDescent="0.25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4.4" x14ac:dyDescent="0.3">
      <c r="A46" s="18" t="s">
        <v>238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140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129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130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131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151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160</v>
      </c>
      <c r="B70" s="239" t="s">
        <v>205</v>
      </c>
    </row>
    <row r="74" spans="1:4" ht="13.8" x14ac:dyDescent="0.3">
      <c r="B74" s="238" t="str">
        <f>IF(AND(SUM(E73:AC73)&lt;&gt;0, A74=0), "!", "")</f>
        <v/>
      </c>
    </row>
    <row r="76" spans="1:4" x14ac:dyDescent="0.2">
      <c r="B76" t="s">
        <v>203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24" zoomScale="80" zoomScaleNormal="80" workbookViewId="0"/>
  </sheetViews>
  <sheetFormatPr defaultColWidth="9" defaultRowHeight="13.8" x14ac:dyDescent="0.3"/>
  <cols>
    <col min="1" max="1" width="5.36328125" style="8" customWidth="1"/>
    <col min="2" max="2" width="24.453125" style="8" customWidth="1"/>
    <col min="3" max="3" width="9" style="8"/>
    <col min="4" max="4" width="9.90625" style="8" bestFit="1" customWidth="1"/>
    <col min="5" max="5" width="10.90625" style="8" customWidth="1"/>
    <col min="6" max="14" width="9" style="8"/>
    <col min="15" max="15" width="30.08984375" style="8" customWidth="1"/>
    <col min="16" max="16" width="43.26953125" style="8" customWidth="1"/>
    <col min="17" max="20" width="9" style="8"/>
    <col min="21" max="21" width="11.36328125" style="8" bestFit="1" customWidth="1"/>
    <col min="22" max="26" width="9" style="8"/>
    <col min="27" max="27" width="19.08984375" style="8" customWidth="1"/>
    <col min="28" max="16384" width="9" style="8"/>
  </cols>
  <sheetData>
    <row r="1" spans="1:27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" x14ac:dyDescent="0.35">
      <c r="A2" s="56" t="str">
        <f>proj</f>
        <v>Recplacement of CRO inoperable RMUs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6" x14ac:dyDescent="0.3">
      <c r="A3" s="5"/>
      <c r="B3" s="5"/>
      <c r="C3" s="5"/>
      <c r="D3" s="5"/>
      <c r="E3" s="5"/>
      <c r="F3" s="5"/>
      <c r="T3"/>
      <c r="U3"/>
      <c r="V3"/>
      <c r="W3"/>
    </row>
    <row r="4" spans="1:27" x14ac:dyDescent="0.3">
      <c r="T4"/>
      <c r="U4"/>
      <c r="V4"/>
    </row>
    <row r="5" spans="1:27" ht="14.4" x14ac:dyDescent="0.3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3">
      <c r="T6"/>
      <c r="U6"/>
      <c r="V6"/>
    </row>
    <row r="7" spans="1:27" x14ac:dyDescent="0.3">
      <c r="A7" s="14" t="s">
        <v>80</v>
      </c>
      <c r="T7"/>
      <c r="U7"/>
      <c r="V7"/>
    </row>
    <row r="8" spans="1:27" x14ac:dyDescent="0.3">
      <c r="A8" s="59"/>
      <c r="B8" s="59"/>
      <c r="C8" s="53" t="s">
        <v>83</v>
      </c>
      <c r="D8" s="53" t="s">
        <v>193</v>
      </c>
      <c r="F8" s="8" t="s">
        <v>223</v>
      </c>
      <c r="T8"/>
      <c r="U8"/>
      <c r="V8"/>
    </row>
    <row r="9" spans="1:27" x14ac:dyDescent="0.3">
      <c r="A9" s="27" t="s">
        <v>141</v>
      </c>
      <c r="B9" s="86" t="s">
        <v>140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3">
      <c r="A10" s="27" t="s">
        <v>142</v>
      </c>
      <c r="B10" s="86" t="s">
        <v>129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3">
      <c r="A11" s="27" t="s">
        <v>143</v>
      </c>
      <c r="B11" s="86" t="s">
        <v>130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3">
      <c r="A12" s="27" t="s">
        <v>144</v>
      </c>
      <c r="B12" s="86" t="s">
        <v>131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3">
      <c r="A13" s="27" t="s">
        <v>152</v>
      </c>
      <c r="B13" s="86" t="s">
        <v>151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3">
      <c r="T14"/>
      <c r="U14"/>
      <c r="V14"/>
      <c r="W14"/>
      <c r="Z14"/>
      <c r="AA14"/>
    </row>
    <row r="15" spans="1:27" x14ac:dyDescent="0.3">
      <c r="T15"/>
      <c r="U15"/>
      <c r="V15"/>
      <c r="W15"/>
      <c r="Z15"/>
      <c r="AA15"/>
    </row>
    <row r="16" spans="1:27" x14ac:dyDescent="0.3">
      <c r="A16" s="8" t="s">
        <v>219</v>
      </c>
      <c r="D16" s="23" t="s">
        <v>221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3">
      <c r="T17"/>
      <c r="U17"/>
      <c r="V17"/>
      <c r="W17"/>
      <c r="Z17"/>
      <c r="AA17"/>
    </row>
    <row r="18" spans="1:27" x14ac:dyDescent="0.3">
      <c r="T18"/>
      <c r="U18"/>
      <c r="V18"/>
      <c r="W18"/>
      <c r="Z18"/>
      <c r="AA18"/>
    </row>
    <row r="19" spans="1:27" x14ac:dyDescent="0.3">
      <c r="B19" s="86" t="s">
        <v>58</v>
      </c>
      <c r="C19" s="87"/>
      <c r="T19"/>
      <c r="U19"/>
      <c r="V19"/>
      <c r="W19"/>
      <c r="Z19"/>
      <c r="AA19"/>
    </row>
    <row r="20" spans="1:27" x14ac:dyDescent="0.3">
      <c r="B20" s="86" t="s">
        <v>95</v>
      </c>
      <c r="C20" s="87"/>
      <c r="T20"/>
      <c r="U20"/>
      <c r="V20"/>
      <c r="W20"/>
      <c r="Z20"/>
      <c r="AA20"/>
    </row>
    <row r="21" spans="1:27" x14ac:dyDescent="0.3">
      <c r="B21" s="86" t="s">
        <v>96</v>
      </c>
      <c r="T21"/>
      <c r="U21"/>
      <c r="V21"/>
      <c r="W21"/>
      <c r="Z21"/>
      <c r="AA21"/>
    </row>
    <row r="22" spans="1:27" x14ac:dyDescent="0.3">
      <c r="T22"/>
      <c r="U22"/>
      <c r="V22"/>
      <c r="W22"/>
      <c r="Z22"/>
      <c r="AA22"/>
    </row>
    <row r="23" spans="1:27" x14ac:dyDescent="0.3">
      <c r="T23"/>
      <c r="U23"/>
      <c r="V23"/>
      <c r="W23"/>
    </row>
    <row r="24" spans="1:27" x14ac:dyDescent="0.3">
      <c r="A24" s="8" t="s">
        <v>217</v>
      </c>
      <c r="B24" s="102"/>
      <c r="T24"/>
      <c r="U24"/>
      <c r="V24"/>
      <c r="W24"/>
    </row>
    <row r="25" spans="1:27" x14ac:dyDescent="0.3">
      <c r="B25" s="23" t="s">
        <v>57</v>
      </c>
      <c r="T25"/>
      <c r="U25"/>
      <c r="V25"/>
      <c r="W25"/>
    </row>
    <row r="26" spans="1:27" x14ac:dyDescent="0.3">
      <c r="T26"/>
      <c r="U26"/>
      <c r="V26"/>
      <c r="W26"/>
    </row>
    <row r="27" spans="1:27" x14ac:dyDescent="0.3">
      <c r="T27"/>
      <c r="U27"/>
      <c r="V27"/>
      <c r="W27"/>
    </row>
    <row r="28" spans="1:27" x14ac:dyDescent="0.3">
      <c r="A28" s="14" t="s">
        <v>85</v>
      </c>
      <c r="T28"/>
      <c r="U28"/>
      <c r="V28"/>
      <c r="W28"/>
    </row>
    <row r="29" spans="1:27" x14ac:dyDescent="0.3">
      <c r="A29" s="14"/>
      <c r="B29" s="53"/>
      <c r="C29" s="53" t="s">
        <v>87</v>
      </c>
      <c r="T29"/>
      <c r="U29"/>
      <c r="V29"/>
      <c r="W29"/>
    </row>
    <row r="30" spans="1:27" x14ac:dyDescent="0.3">
      <c r="B30" s="23" t="s">
        <v>30</v>
      </c>
      <c r="C30" s="23">
        <v>-1</v>
      </c>
      <c r="T30"/>
      <c r="U30"/>
      <c r="V30"/>
      <c r="W30"/>
    </row>
    <row r="31" spans="1:27" x14ac:dyDescent="0.3">
      <c r="B31" s="23" t="s">
        <v>91</v>
      </c>
      <c r="C31" s="23">
        <v>-1</v>
      </c>
      <c r="T31"/>
      <c r="U31"/>
      <c r="V31"/>
      <c r="W31"/>
      <c r="AA31" s="66"/>
    </row>
    <row r="32" spans="1:27" x14ac:dyDescent="0.3">
      <c r="B32" s="23" t="s">
        <v>31</v>
      </c>
      <c r="C32" s="23">
        <v>-1</v>
      </c>
      <c r="T32"/>
      <c r="U32"/>
      <c r="V32"/>
      <c r="W32"/>
      <c r="AA32" s="66"/>
    </row>
    <row r="33" spans="1:23" x14ac:dyDescent="0.3">
      <c r="B33" s="23" t="s">
        <v>137</v>
      </c>
      <c r="C33" s="23">
        <v>1</v>
      </c>
      <c r="T33"/>
      <c r="U33"/>
      <c r="V33"/>
      <c r="W33"/>
    </row>
    <row r="34" spans="1:23" x14ac:dyDescent="0.3">
      <c r="B34" s="23" t="s">
        <v>120</v>
      </c>
      <c r="C34" s="23">
        <v>1</v>
      </c>
      <c r="T34"/>
      <c r="U34"/>
      <c r="V34"/>
      <c r="W34"/>
    </row>
    <row r="35" spans="1:23" x14ac:dyDescent="0.3">
      <c r="B35" s="23" t="s">
        <v>182</v>
      </c>
      <c r="C35" s="23">
        <v>1</v>
      </c>
      <c r="T35"/>
      <c r="U35"/>
      <c r="V35"/>
      <c r="W35"/>
    </row>
    <row r="36" spans="1:23" x14ac:dyDescent="0.3">
      <c r="B36" s="23" t="s">
        <v>167</v>
      </c>
      <c r="C36" s="23">
        <v>1</v>
      </c>
      <c r="T36"/>
      <c r="U36"/>
      <c r="V36"/>
      <c r="W36"/>
    </row>
    <row r="37" spans="1:23" x14ac:dyDescent="0.3">
      <c r="T37"/>
      <c r="U37"/>
      <c r="V37"/>
      <c r="W37"/>
    </row>
    <row r="38" spans="1:23" x14ac:dyDescent="0.3">
      <c r="T38"/>
      <c r="U38"/>
      <c r="V38"/>
      <c r="W38"/>
    </row>
    <row r="39" spans="1:23" x14ac:dyDescent="0.3">
      <c r="T39"/>
      <c r="U39"/>
      <c r="V39"/>
      <c r="W39"/>
    </row>
    <row r="40" spans="1:23" x14ac:dyDescent="0.3">
      <c r="T40"/>
      <c r="U40"/>
      <c r="V40"/>
      <c r="W40"/>
    </row>
    <row r="41" spans="1:23" x14ac:dyDescent="0.3">
      <c r="A41" s="14" t="s">
        <v>54</v>
      </c>
      <c r="T41"/>
      <c r="U41"/>
      <c r="V41"/>
      <c r="W41"/>
    </row>
    <row r="42" spans="1:23" x14ac:dyDescent="0.3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3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3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3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3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x14ac:dyDescent="0.3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3">
      <c r="O56"/>
      <c r="P56"/>
      <c r="Q56"/>
      <c r="R56"/>
      <c r="S56"/>
      <c r="T56"/>
      <c r="U56"/>
      <c r="V56"/>
      <c r="W56"/>
    </row>
    <row r="57" spans="1:23" x14ac:dyDescent="0.3">
      <c r="O57"/>
      <c r="P57"/>
      <c r="Q57"/>
      <c r="R57"/>
      <c r="S57"/>
      <c r="T57"/>
      <c r="U57"/>
      <c r="V57"/>
      <c r="W57"/>
    </row>
    <row r="58" spans="1:23" x14ac:dyDescent="0.3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3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3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3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3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3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3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3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3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3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3">
      <c r="A69" s="8" t="s">
        <v>156</v>
      </c>
      <c r="O69"/>
      <c r="P69"/>
      <c r="Q69"/>
      <c r="R69"/>
      <c r="S69"/>
      <c r="T69"/>
      <c r="U69"/>
      <c r="V69"/>
      <c r="W69"/>
    </row>
    <row r="70" spans="1:23" x14ac:dyDescent="0.3">
      <c r="B70" s="8" t="s">
        <v>157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3">
      <c r="B71" s="8" t="s">
        <v>158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3">
      <c r="O72"/>
      <c r="P72"/>
      <c r="Q72"/>
      <c r="R72"/>
      <c r="S72"/>
      <c r="T72"/>
      <c r="U72"/>
      <c r="V72"/>
      <c r="W72"/>
    </row>
    <row r="73" spans="1:23" x14ac:dyDescent="0.3">
      <c r="O73"/>
      <c r="P73"/>
      <c r="Q73"/>
      <c r="R73"/>
      <c r="S73"/>
      <c r="T73"/>
      <c r="U73"/>
      <c r="V73"/>
      <c r="W73"/>
    </row>
    <row r="74" spans="1:23" x14ac:dyDescent="0.3">
      <c r="A74" s="8" t="s">
        <v>160</v>
      </c>
      <c r="O74"/>
      <c r="P74"/>
      <c r="Q74"/>
      <c r="R74"/>
      <c r="S74"/>
      <c r="T74"/>
      <c r="U74"/>
      <c r="V74"/>
      <c r="W74"/>
    </row>
    <row r="75" spans="1:23" x14ac:dyDescent="0.3">
      <c r="B75" s="8" t="s">
        <v>160</v>
      </c>
      <c r="C75" s="153" t="s">
        <v>159</v>
      </c>
      <c r="O75"/>
      <c r="P75"/>
      <c r="Q75"/>
      <c r="R75"/>
      <c r="S75"/>
      <c r="T75"/>
      <c r="U75"/>
      <c r="V75"/>
      <c r="W75"/>
    </row>
    <row r="76" spans="1:23" x14ac:dyDescent="0.3">
      <c r="O76"/>
      <c r="P76"/>
      <c r="Q76"/>
      <c r="R76"/>
      <c r="S76"/>
      <c r="T76"/>
      <c r="U76"/>
      <c r="V76"/>
      <c r="W76"/>
    </row>
    <row r="77" spans="1:23" x14ac:dyDescent="0.3">
      <c r="O77"/>
      <c r="P77"/>
      <c r="Q77"/>
      <c r="R77"/>
      <c r="S77"/>
      <c r="T77"/>
      <c r="U77"/>
      <c r="V77"/>
      <c r="W77"/>
    </row>
    <row r="78" spans="1:23" x14ac:dyDescent="0.3">
      <c r="A78" s="8" t="s">
        <v>185</v>
      </c>
      <c r="C78" s="8" t="s">
        <v>186</v>
      </c>
      <c r="O78"/>
      <c r="P78"/>
      <c r="Q78"/>
      <c r="R78"/>
      <c r="S78"/>
      <c r="T78"/>
      <c r="U78"/>
      <c r="V78"/>
      <c r="W78"/>
    </row>
    <row r="79" spans="1:23" x14ac:dyDescent="0.3">
      <c r="O79"/>
      <c r="P79"/>
      <c r="Q79"/>
      <c r="R79"/>
      <c r="S79"/>
      <c r="T79"/>
      <c r="U79"/>
      <c r="V79"/>
      <c r="W79"/>
    </row>
    <row r="80" spans="1:23" x14ac:dyDescent="0.3">
      <c r="O80"/>
      <c r="P80"/>
      <c r="Q80"/>
      <c r="R80"/>
      <c r="S80"/>
      <c r="T80"/>
      <c r="U80"/>
      <c r="V80"/>
      <c r="W80"/>
    </row>
    <row r="81" spans="1:23" x14ac:dyDescent="0.3">
      <c r="O81"/>
      <c r="P81"/>
      <c r="Q81"/>
      <c r="R81"/>
      <c r="S81"/>
      <c r="T81"/>
      <c r="U81"/>
      <c r="V81"/>
      <c r="W81"/>
    </row>
    <row r="82" spans="1:23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3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3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3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3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3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3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3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172</v>
      </c>
      <c r="F92" s="155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173</v>
      </c>
      <c r="F93" s="155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5" t="s">
        <v>154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5" t="s">
        <v>122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5" t="s">
        <v>123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3">
      <c r="T102"/>
      <c r="U102"/>
      <c r="V102"/>
      <c r="W102"/>
    </row>
    <row r="103" spans="1:25" x14ac:dyDescent="0.3">
      <c r="T103"/>
      <c r="U103"/>
      <c r="V103"/>
      <c r="W103"/>
    </row>
    <row r="104" spans="1:25" ht="14.4" x14ac:dyDescent="0.3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3">
      <c r="U105"/>
      <c r="V105"/>
      <c r="W105"/>
      <c r="X105"/>
      <c r="Y105"/>
    </row>
    <row r="106" spans="1:25" x14ac:dyDescent="0.3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156</v>
      </c>
      <c r="R106" s="8" t="s">
        <v>27</v>
      </c>
      <c r="T106" s="8" t="s">
        <v>220</v>
      </c>
      <c r="U106"/>
      <c r="V106" s="8" t="s">
        <v>230</v>
      </c>
      <c r="W106"/>
      <c r="Y106"/>
    </row>
    <row r="107" spans="1:25" x14ac:dyDescent="0.3">
      <c r="B107" s="25" t="s">
        <v>42</v>
      </c>
      <c r="C107" s="130" t="s">
        <v>134</v>
      </c>
      <c r="D107" s="130" t="s">
        <v>226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222</v>
      </c>
      <c r="U107"/>
      <c r="V107" s="23" t="s">
        <v>19</v>
      </c>
      <c r="W107"/>
    </row>
    <row r="108" spans="1:25" x14ac:dyDescent="0.3">
      <c r="B108" s="25" t="s">
        <v>3</v>
      </c>
      <c r="C108" s="130" t="s">
        <v>135</v>
      </c>
      <c r="D108" s="130" t="s">
        <v>227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221</v>
      </c>
      <c r="U108"/>
      <c r="V108" s="23" t="s">
        <v>47</v>
      </c>
      <c r="W108"/>
    </row>
    <row r="109" spans="1:25" x14ac:dyDescent="0.3">
      <c r="B109" s="25" t="s">
        <v>43</v>
      </c>
      <c r="C109" s="130" t="s">
        <v>136</v>
      </c>
      <c r="D109" s="130" t="s">
        <v>228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231</v>
      </c>
      <c r="W109"/>
      <c r="X109"/>
      <c r="Y109"/>
    </row>
    <row r="110" spans="1:25" x14ac:dyDescent="0.3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3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3">
      <c r="R113" s="23">
        <f t="shared" si="1"/>
        <v>2020</v>
      </c>
      <c r="U113"/>
      <c r="V113" s="250"/>
      <c r="W113"/>
      <c r="X113"/>
      <c r="Y113"/>
    </row>
    <row r="114" spans="18:25" x14ac:dyDescent="0.3">
      <c r="R114" s="23"/>
      <c r="U114"/>
      <c r="V114" s="250"/>
      <c r="W114"/>
      <c r="X114"/>
      <c r="Y114"/>
    </row>
    <row r="115" spans="18:25" x14ac:dyDescent="0.3">
      <c r="U115"/>
      <c r="V115" s="250"/>
      <c r="W115"/>
      <c r="X115"/>
      <c r="Y115"/>
    </row>
    <row r="116" spans="18:25" x14ac:dyDescent="0.3">
      <c r="U116"/>
      <c r="V116" s="251"/>
      <c r="W116"/>
      <c r="X116"/>
      <c r="Y116"/>
    </row>
    <row r="117" spans="18:25" x14ac:dyDescent="0.3">
      <c r="U117"/>
      <c r="V117"/>
      <c r="W117"/>
      <c r="X117"/>
      <c r="Y117"/>
    </row>
    <row r="118" spans="18:25" x14ac:dyDescent="0.3">
      <c r="U118"/>
      <c r="V118"/>
      <c r="W118"/>
      <c r="X118"/>
    </row>
    <row r="119" spans="18:25" x14ac:dyDescent="0.3">
      <c r="U119"/>
      <c r="V119"/>
      <c r="W119"/>
      <c r="X119"/>
    </row>
    <row r="120" spans="18:25" x14ac:dyDescent="0.3">
      <c r="V120"/>
      <c r="W120"/>
      <c r="X120"/>
    </row>
    <row r="121" spans="18:25" x14ac:dyDescent="0.3">
      <c r="U121"/>
      <c r="V121"/>
      <c r="W121"/>
      <c r="X121"/>
    </row>
    <row r="122" spans="18:25" x14ac:dyDescent="0.3">
      <c r="U122"/>
      <c r="V122"/>
      <c r="W122"/>
      <c r="X122"/>
    </row>
    <row r="123" spans="18:25" x14ac:dyDescent="0.3">
      <c r="U123"/>
      <c r="V123"/>
      <c r="W123"/>
      <c r="X123"/>
    </row>
    <row r="124" spans="18:25" x14ac:dyDescent="0.3">
      <c r="U124"/>
      <c r="V124"/>
      <c r="W124"/>
      <c r="X124"/>
    </row>
    <row r="125" spans="18:25" x14ac:dyDescent="0.3">
      <c r="U125"/>
      <c r="V125"/>
      <c r="W125"/>
      <c r="X125"/>
    </row>
    <row r="126" spans="18:25" x14ac:dyDescent="0.3">
      <c r="U126"/>
      <c r="V126"/>
      <c r="W126"/>
      <c r="X126"/>
    </row>
    <row r="127" spans="18:25" x14ac:dyDescent="0.3">
      <c r="T127"/>
      <c r="U127"/>
      <c r="V127"/>
      <c r="W127"/>
    </row>
    <row r="128" spans="18:25" x14ac:dyDescent="0.3">
      <c r="T128"/>
      <c r="U128"/>
      <c r="V128"/>
      <c r="W128"/>
    </row>
    <row r="129" spans="20:23" x14ac:dyDescent="0.3">
      <c r="T129"/>
      <c r="U129"/>
      <c r="V129"/>
      <c r="W129"/>
    </row>
    <row r="130" spans="20:23" x14ac:dyDescent="0.3">
      <c r="T130"/>
      <c r="U130"/>
      <c r="V130"/>
      <c r="W130"/>
    </row>
    <row r="131" spans="20:23" x14ac:dyDescent="0.3">
      <c r="T131"/>
      <c r="U131"/>
      <c r="V131"/>
      <c r="W131"/>
    </row>
    <row r="132" spans="20:23" x14ac:dyDescent="0.3">
      <c r="T132"/>
      <c r="U132"/>
      <c r="V132"/>
      <c r="W132"/>
    </row>
    <row r="133" spans="20:23" x14ac:dyDescent="0.3">
      <c r="T133"/>
      <c r="U133"/>
      <c r="V133"/>
      <c r="W133"/>
    </row>
    <row r="134" spans="20:23" x14ac:dyDescent="0.3">
      <c r="T134"/>
      <c r="U134"/>
      <c r="V134"/>
      <c r="W134"/>
    </row>
    <row r="135" spans="20:23" x14ac:dyDescent="0.3">
      <c r="T135"/>
      <c r="U135"/>
      <c r="V135"/>
      <c r="W135"/>
    </row>
    <row r="136" spans="20:23" x14ac:dyDescent="0.3">
      <c r="T136"/>
      <c r="U136"/>
      <c r="V136"/>
      <c r="W136"/>
    </row>
    <row r="137" spans="20:23" x14ac:dyDescent="0.3">
      <c r="T137"/>
      <c r="U137"/>
      <c r="V137"/>
      <c r="W137"/>
    </row>
    <row r="138" spans="20:23" x14ac:dyDescent="0.3">
      <c r="T138"/>
      <c r="U138"/>
      <c r="V138"/>
      <c r="W138"/>
    </row>
    <row r="139" spans="20:23" x14ac:dyDescent="0.3">
      <c r="T139"/>
      <c r="U139"/>
      <c r="V139"/>
      <c r="W139"/>
    </row>
    <row r="140" spans="20:23" x14ac:dyDescent="0.3">
      <c r="T140"/>
      <c r="U140"/>
      <c r="V140"/>
      <c r="W140"/>
    </row>
    <row r="141" spans="20:23" x14ac:dyDescent="0.3">
      <c r="T141"/>
      <c r="U141"/>
      <c r="V141"/>
      <c r="W141"/>
    </row>
    <row r="142" spans="20:23" x14ac:dyDescent="0.3">
      <c r="T142"/>
      <c r="U142"/>
      <c r="V142"/>
      <c r="W142"/>
    </row>
    <row r="143" spans="20:23" x14ac:dyDescent="0.3">
      <c r="T143"/>
      <c r="U143"/>
      <c r="V143"/>
      <c r="W143"/>
    </row>
    <row r="144" spans="20:23" x14ac:dyDescent="0.3">
      <c r="T144"/>
      <c r="U144"/>
      <c r="V144"/>
      <c r="W144"/>
    </row>
    <row r="145" spans="20:23" x14ac:dyDescent="0.3">
      <c r="T145"/>
      <c r="U145"/>
      <c r="V145"/>
      <c r="W145"/>
    </row>
    <row r="146" spans="20:23" x14ac:dyDescent="0.3">
      <c r="T146"/>
      <c r="U146"/>
      <c r="V146"/>
      <c r="W146"/>
    </row>
    <row r="147" spans="20:23" x14ac:dyDescent="0.3">
      <c r="T147"/>
      <c r="U147"/>
      <c r="V147"/>
      <c r="W147"/>
    </row>
    <row r="148" spans="20:23" x14ac:dyDescent="0.3">
      <c r="T148"/>
      <c r="U148"/>
      <c r="V148"/>
      <c r="W148"/>
    </row>
    <row r="149" spans="20:23" x14ac:dyDescent="0.3">
      <c r="T149"/>
      <c r="U149"/>
      <c r="V149"/>
      <c r="W149"/>
    </row>
    <row r="150" spans="20:23" x14ac:dyDescent="0.3">
      <c r="T150"/>
      <c r="U150"/>
      <c r="V150"/>
      <c r="W150"/>
    </row>
    <row r="151" spans="20:23" x14ac:dyDescent="0.3">
      <c r="T151"/>
      <c r="U151"/>
      <c r="V151"/>
      <c r="W151"/>
    </row>
    <row r="152" spans="20:23" x14ac:dyDescent="0.3">
      <c r="T152"/>
      <c r="U152"/>
      <c r="V152"/>
      <c r="W152"/>
    </row>
    <row r="153" spans="20:23" x14ac:dyDescent="0.3">
      <c r="T153"/>
      <c r="U153"/>
      <c r="V153"/>
      <c r="W153"/>
    </row>
    <row r="154" spans="20:23" x14ac:dyDescent="0.3">
      <c r="T154"/>
      <c r="U154"/>
      <c r="V154"/>
      <c r="W154"/>
    </row>
    <row r="155" spans="20:23" x14ac:dyDescent="0.3">
      <c r="T155"/>
      <c r="U155"/>
      <c r="V155"/>
      <c r="W155"/>
    </row>
    <row r="156" spans="20:23" x14ac:dyDescent="0.3">
      <c r="T156"/>
      <c r="U156"/>
      <c r="V156"/>
      <c r="W156"/>
    </row>
    <row r="157" spans="20:23" x14ac:dyDescent="0.3">
      <c r="T157"/>
      <c r="U157"/>
      <c r="V157"/>
      <c r="W157"/>
    </row>
    <row r="158" spans="20:23" x14ac:dyDescent="0.3">
      <c r="T158"/>
      <c r="U158"/>
      <c r="V158"/>
      <c r="W158"/>
    </row>
    <row r="159" spans="20:23" x14ac:dyDescent="0.3">
      <c r="T159"/>
      <c r="U159"/>
      <c r="V159"/>
      <c r="W159"/>
    </row>
    <row r="160" spans="20:23" x14ac:dyDescent="0.3">
      <c r="T160"/>
      <c r="U160"/>
      <c r="V160"/>
      <c r="W160"/>
    </row>
    <row r="161" spans="20:23" x14ac:dyDescent="0.3">
      <c r="T161"/>
      <c r="U161"/>
      <c r="V161"/>
      <c r="W161"/>
    </row>
    <row r="162" spans="20:23" x14ac:dyDescent="0.3">
      <c r="T162"/>
      <c r="U162"/>
      <c r="V162"/>
      <c r="W162"/>
    </row>
    <row r="163" spans="20:23" x14ac:dyDescent="0.3">
      <c r="T163"/>
      <c r="U163"/>
      <c r="V163"/>
      <c r="W163"/>
    </row>
    <row r="164" spans="20:23" x14ac:dyDescent="0.3">
      <c r="T164"/>
      <c r="U164"/>
      <c r="V164"/>
      <c r="W164"/>
    </row>
    <row r="165" spans="20:23" x14ac:dyDescent="0.3">
      <c r="T165"/>
      <c r="U165"/>
      <c r="V165"/>
      <c r="W165"/>
    </row>
    <row r="166" spans="20:23" x14ac:dyDescent="0.3">
      <c r="T166"/>
      <c r="U166"/>
      <c r="V166"/>
      <c r="W166"/>
    </row>
    <row r="167" spans="20:23" x14ac:dyDescent="0.3">
      <c r="T167"/>
      <c r="U167"/>
      <c r="V167"/>
      <c r="W167"/>
    </row>
    <row r="168" spans="20:23" x14ac:dyDescent="0.3">
      <c r="T168"/>
      <c r="U168"/>
      <c r="V168"/>
      <c r="W168"/>
    </row>
    <row r="169" spans="20:23" x14ac:dyDescent="0.3">
      <c r="T169"/>
      <c r="U169"/>
      <c r="V169"/>
      <c r="W169"/>
    </row>
    <row r="170" spans="20:23" x14ac:dyDescent="0.3">
      <c r="T170"/>
      <c r="U170"/>
      <c r="V170"/>
      <c r="W170"/>
    </row>
    <row r="171" spans="20:23" x14ac:dyDescent="0.3">
      <c r="T171"/>
      <c r="U171"/>
      <c r="V171"/>
      <c r="W171"/>
    </row>
    <row r="172" spans="20:23" x14ac:dyDescent="0.3">
      <c r="T172"/>
      <c r="U172"/>
      <c r="V172"/>
      <c r="W172"/>
    </row>
    <row r="173" spans="20:23" x14ac:dyDescent="0.3">
      <c r="T173"/>
      <c r="U173"/>
      <c r="V173"/>
      <c r="W173"/>
    </row>
    <row r="174" spans="20:23" x14ac:dyDescent="0.3">
      <c r="T174"/>
      <c r="U174"/>
      <c r="V174"/>
      <c r="W174"/>
    </row>
    <row r="175" spans="20:23" x14ac:dyDescent="0.3">
      <c r="T175"/>
      <c r="U175"/>
      <c r="V175"/>
      <c r="W175"/>
    </row>
    <row r="176" spans="20:23" x14ac:dyDescent="0.3">
      <c r="T176"/>
      <c r="U176"/>
      <c r="V176"/>
      <c r="W176"/>
    </row>
    <row r="177" spans="20:23" x14ac:dyDescent="0.3">
      <c r="T177"/>
      <c r="U177"/>
      <c r="V177"/>
      <c r="W177"/>
    </row>
    <row r="178" spans="20:23" x14ac:dyDescent="0.3">
      <c r="T178"/>
      <c r="U178"/>
      <c r="V178"/>
      <c r="W178"/>
    </row>
    <row r="179" spans="20:23" x14ac:dyDescent="0.3">
      <c r="T179"/>
      <c r="U179"/>
      <c r="V179"/>
      <c r="W179"/>
    </row>
    <row r="180" spans="20:23" x14ac:dyDescent="0.3">
      <c r="T180"/>
      <c r="U180"/>
      <c r="V180"/>
      <c r="W180"/>
    </row>
    <row r="181" spans="20:23" x14ac:dyDescent="0.3">
      <c r="T181"/>
      <c r="U181"/>
      <c r="V181"/>
      <c r="W181"/>
    </row>
    <row r="182" spans="20:23" x14ac:dyDescent="0.3">
      <c r="T182"/>
      <c r="U182"/>
      <c r="V182"/>
      <c r="W182"/>
    </row>
    <row r="183" spans="20:23" x14ac:dyDescent="0.3">
      <c r="T183"/>
      <c r="U183"/>
      <c r="V183"/>
      <c r="W183"/>
    </row>
    <row r="184" spans="20:23" x14ac:dyDescent="0.3">
      <c r="T184"/>
      <c r="U184"/>
      <c r="V184"/>
      <c r="W184"/>
    </row>
    <row r="185" spans="20:23" x14ac:dyDescent="0.3">
      <c r="T185"/>
      <c r="U185"/>
      <c r="V185"/>
      <c r="W185"/>
    </row>
    <row r="186" spans="20:23" x14ac:dyDescent="0.3">
      <c r="T186"/>
      <c r="U186"/>
      <c r="V186"/>
      <c r="W186"/>
    </row>
    <row r="187" spans="20:23" x14ac:dyDescent="0.3">
      <c r="T187"/>
      <c r="U187"/>
      <c r="V187"/>
      <c r="W187"/>
    </row>
    <row r="188" spans="20:23" x14ac:dyDescent="0.3">
      <c r="T188"/>
      <c r="U188"/>
      <c r="V188"/>
      <c r="W188"/>
    </row>
    <row r="189" spans="20:23" x14ac:dyDescent="0.3">
      <c r="T189"/>
      <c r="U189"/>
      <c r="V189"/>
      <c r="W189"/>
    </row>
    <row r="190" spans="20:23" x14ac:dyDescent="0.3">
      <c r="T190"/>
      <c r="U190"/>
      <c r="V190"/>
      <c r="W190"/>
    </row>
    <row r="191" spans="20:23" x14ac:dyDescent="0.3">
      <c r="T191"/>
      <c r="U191"/>
      <c r="V191"/>
      <c r="W191"/>
    </row>
    <row r="192" spans="20:23" x14ac:dyDescent="0.3">
      <c r="T192"/>
      <c r="U192"/>
      <c r="V192"/>
      <c r="W192"/>
    </row>
    <row r="193" spans="20:23" x14ac:dyDescent="0.3">
      <c r="T193"/>
      <c r="U193"/>
      <c r="V193"/>
      <c r="W193"/>
    </row>
    <row r="194" spans="20:23" x14ac:dyDescent="0.3">
      <c r="T194"/>
      <c r="U194"/>
      <c r="V194"/>
      <c r="W194"/>
    </row>
    <row r="195" spans="20:23" x14ac:dyDescent="0.3">
      <c r="T195"/>
      <c r="U195"/>
      <c r="V195"/>
      <c r="W195"/>
    </row>
    <row r="196" spans="20:23" x14ac:dyDescent="0.3">
      <c r="T196"/>
      <c r="U196"/>
      <c r="V196"/>
      <c r="W196"/>
    </row>
    <row r="197" spans="20:23" x14ac:dyDescent="0.3">
      <c r="T197"/>
      <c r="U197"/>
      <c r="V197"/>
      <c r="W197"/>
    </row>
    <row r="198" spans="20:23" x14ac:dyDescent="0.3">
      <c r="T198"/>
      <c r="U198"/>
      <c r="V198"/>
      <c r="W198"/>
    </row>
    <row r="199" spans="20:23" x14ac:dyDescent="0.3">
      <c r="T199"/>
      <c r="U199"/>
      <c r="V199"/>
      <c r="W199"/>
    </row>
    <row r="200" spans="20:23" x14ac:dyDescent="0.3">
      <c r="T200"/>
      <c r="U200"/>
      <c r="V200"/>
      <c r="W200"/>
    </row>
    <row r="201" spans="20:23" x14ac:dyDescent="0.3">
      <c r="T201"/>
      <c r="U201"/>
      <c r="V201"/>
      <c r="W201"/>
    </row>
    <row r="202" spans="20:23" x14ac:dyDescent="0.3">
      <c r="T202"/>
      <c r="U202"/>
      <c r="V202"/>
      <c r="W202"/>
    </row>
    <row r="203" spans="20:23" x14ac:dyDescent="0.3">
      <c r="T203"/>
      <c r="U203"/>
      <c r="V203"/>
      <c r="W203"/>
    </row>
    <row r="204" spans="20:23" x14ac:dyDescent="0.3">
      <c r="T204"/>
      <c r="U204"/>
      <c r="V204"/>
      <c r="W204"/>
    </row>
    <row r="205" spans="20:23" x14ac:dyDescent="0.3">
      <c r="T205"/>
      <c r="U205"/>
      <c r="V205"/>
      <c r="W205"/>
    </row>
    <row r="206" spans="20:23" x14ac:dyDescent="0.3">
      <c r="T206"/>
      <c r="U206"/>
      <c r="V206"/>
      <c r="W206"/>
    </row>
    <row r="207" spans="20:23" x14ac:dyDescent="0.3">
      <c r="T207"/>
      <c r="U207"/>
      <c r="V207"/>
      <c r="W207"/>
    </row>
    <row r="208" spans="20:23" x14ac:dyDescent="0.3">
      <c r="T208"/>
      <c r="U208"/>
      <c r="V208"/>
      <c r="W208"/>
    </row>
    <row r="209" spans="20:23" x14ac:dyDescent="0.3">
      <c r="T209"/>
      <c r="U209"/>
      <c r="V209"/>
      <c r="W209"/>
    </row>
    <row r="210" spans="20:23" x14ac:dyDescent="0.3">
      <c r="T210"/>
      <c r="U210"/>
      <c r="V210"/>
      <c r="W210"/>
    </row>
    <row r="211" spans="20:23" x14ac:dyDescent="0.3">
      <c r="T211"/>
      <c r="U211"/>
      <c r="V211"/>
      <c r="W211"/>
    </row>
    <row r="212" spans="20:23" x14ac:dyDescent="0.3">
      <c r="T212"/>
      <c r="U212"/>
      <c r="V212"/>
      <c r="W212"/>
    </row>
    <row r="213" spans="20:23" x14ac:dyDescent="0.3">
      <c r="T213"/>
      <c r="U213"/>
      <c r="V213"/>
      <c r="W213"/>
    </row>
    <row r="214" spans="20:23" x14ac:dyDescent="0.3">
      <c r="T214"/>
      <c r="U214"/>
      <c r="V214"/>
      <c r="W214"/>
    </row>
    <row r="215" spans="20:23" x14ac:dyDescent="0.3">
      <c r="T215"/>
      <c r="U215"/>
      <c r="V215"/>
      <c r="W215"/>
    </row>
    <row r="216" spans="20:23" x14ac:dyDescent="0.3">
      <c r="T216"/>
      <c r="U216"/>
      <c r="V216"/>
      <c r="W216"/>
    </row>
    <row r="217" spans="20:23" x14ac:dyDescent="0.3">
      <c r="T217"/>
      <c r="U217"/>
      <c r="V217"/>
      <c r="W217"/>
    </row>
    <row r="218" spans="20:23" x14ac:dyDescent="0.3">
      <c r="T218"/>
      <c r="U218"/>
      <c r="V218"/>
      <c r="W218"/>
    </row>
    <row r="219" spans="20:23" x14ac:dyDescent="0.3">
      <c r="T219"/>
      <c r="U219"/>
      <c r="V219"/>
      <c r="W219"/>
    </row>
    <row r="220" spans="20:23" x14ac:dyDescent="0.3">
      <c r="T220"/>
      <c r="U220"/>
      <c r="V220"/>
      <c r="W220"/>
    </row>
    <row r="221" spans="20:23" x14ac:dyDescent="0.3">
      <c r="T221"/>
      <c r="U221"/>
      <c r="V221"/>
      <c r="W221"/>
    </row>
    <row r="222" spans="20:23" x14ac:dyDescent="0.3">
      <c r="T222"/>
      <c r="U222"/>
      <c r="V222"/>
      <c r="W222"/>
    </row>
    <row r="223" spans="20:23" x14ac:dyDescent="0.3">
      <c r="T223"/>
      <c r="U223"/>
      <c r="V223"/>
      <c r="W223"/>
    </row>
    <row r="224" spans="20:23" x14ac:dyDescent="0.3">
      <c r="T224"/>
      <c r="U224"/>
      <c r="V224"/>
      <c r="W224"/>
    </row>
    <row r="225" spans="20:23" x14ac:dyDescent="0.3">
      <c r="T225"/>
      <c r="U225"/>
      <c r="V225"/>
      <c r="W225"/>
    </row>
    <row r="226" spans="20:23" x14ac:dyDescent="0.3">
      <c r="T226"/>
      <c r="U226"/>
      <c r="V226"/>
      <c r="W226"/>
    </row>
    <row r="227" spans="20:23" x14ac:dyDescent="0.3">
      <c r="T227"/>
      <c r="U227"/>
      <c r="V227"/>
      <c r="W227"/>
    </row>
    <row r="228" spans="20:23" x14ac:dyDescent="0.3">
      <c r="T228"/>
      <c r="U228"/>
      <c r="V228"/>
      <c r="W228"/>
    </row>
    <row r="229" spans="20:23" x14ac:dyDescent="0.3">
      <c r="T229"/>
      <c r="U229"/>
      <c r="V229"/>
      <c r="W229"/>
    </row>
    <row r="230" spans="20:23" x14ac:dyDescent="0.3">
      <c r="T230"/>
      <c r="U230"/>
      <c r="V230"/>
      <c r="W230"/>
    </row>
    <row r="231" spans="20:23" x14ac:dyDescent="0.3">
      <c r="T231"/>
      <c r="U231"/>
      <c r="V231"/>
      <c r="W231"/>
    </row>
    <row r="232" spans="20:23" x14ac:dyDescent="0.3">
      <c r="T232"/>
      <c r="U232"/>
      <c r="V232"/>
      <c r="W232"/>
    </row>
    <row r="233" spans="20:23" x14ac:dyDescent="0.3">
      <c r="T233"/>
      <c r="U233"/>
      <c r="V233"/>
      <c r="W233"/>
    </row>
    <row r="234" spans="20:23" x14ac:dyDescent="0.3">
      <c r="T234"/>
      <c r="U234"/>
      <c r="V234"/>
      <c r="W234"/>
    </row>
    <row r="235" spans="20:23" x14ac:dyDescent="0.3">
      <c r="T235"/>
      <c r="U235"/>
      <c r="V235"/>
      <c r="W235"/>
    </row>
    <row r="236" spans="20:23" x14ac:dyDescent="0.3">
      <c r="T236"/>
      <c r="U236"/>
      <c r="V236"/>
      <c r="W236"/>
    </row>
    <row r="237" spans="20:23" x14ac:dyDescent="0.3">
      <c r="T237"/>
      <c r="U237"/>
      <c r="V237"/>
      <c r="W237"/>
    </row>
    <row r="238" spans="20:23" x14ac:dyDescent="0.3">
      <c r="T238"/>
      <c r="U238"/>
      <c r="V238"/>
      <c r="W238"/>
    </row>
    <row r="239" spans="20:23" x14ac:dyDescent="0.3">
      <c r="T239"/>
      <c r="U239"/>
      <c r="V239"/>
      <c r="W239"/>
    </row>
    <row r="240" spans="20:23" x14ac:dyDescent="0.3">
      <c r="T240"/>
      <c r="U240"/>
      <c r="V240"/>
      <c r="W240"/>
    </row>
    <row r="241" spans="20:23" x14ac:dyDescent="0.3">
      <c r="T241"/>
      <c r="U241"/>
      <c r="V241"/>
      <c r="W241"/>
    </row>
    <row r="242" spans="20:23" x14ac:dyDescent="0.3">
      <c r="T242"/>
      <c r="U242"/>
      <c r="V242"/>
      <c r="W242"/>
    </row>
    <row r="243" spans="20:23" x14ac:dyDescent="0.3">
      <c r="T243"/>
      <c r="U243"/>
      <c r="V243"/>
      <c r="W243"/>
    </row>
    <row r="244" spans="20:23" x14ac:dyDescent="0.3">
      <c r="T244"/>
      <c r="U244"/>
      <c r="V244"/>
      <c r="W244"/>
    </row>
    <row r="245" spans="20:23" x14ac:dyDescent="0.3">
      <c r="T245"/>
      <c r="U245"/>
      <c r="V245"/>
      <c r="W245"/>
    </row>
    <row r="246" spans="20:23" x14ac:dyDescent="0.3">
      <c r="T246"/>
      <c r="U246"/>
      <c r="V246"/>
      <c r="W246"/>
    </row>
    <row r="247" spans="20:23" x14ac:dyDescent="0.3">
      <c r="T247"/>
      <c r="U247"/>
      <c r="V247"/>
      <c r="W247"/>
    </row>
    <row r="248" spans="20:23" x14ac:dyDescent="0.3">
      <c r="T248"/>
      <c r="U248"/>
      <c r="V248"/>
      <c r="W248"/>
    </row>
    <row r="249" spans="20:23" x14ac:dyDescent="0.3">
      <c r="T249"/>
      <c r="U249"/>
      <c r="V249"/>
      <c r="W249"/>
    </row>
    <row r="250" spans="20:23" x14ac:dyDescent="0.3">
      <c r="T250"/>
      <c r="U250"/>
      <c r="V250"/>
      <c r="W250"/>
    </row>
    <row r="251" spans="20:23" x14ac:dyDescent="0.3">
      <c r="T251"/>
      <c r="U251"/>
      <c r="V251"/>
      <c r="W251"/>
    </row>
    <row r="252" spans="20:23" x14ac:dyDescent="0.3">
      <c r="T252"/>
      <c r="U252"/>
      <c r="V252"/>
      <c r="W252"/>
    </row>
    <row r="253" spans="20:23" x14ac:dyDescent="0.3">
      <c r="T253"/>
      <c r="U253"/>
      <c r="V253"/>
      <c r="W253"/>
    </row>
    <row r="254" spans="20:23" x14ac:dyDescent="0.3">
      <c r="T254"/>
      <c r="U254"/>
      <c r="V254"/>
      <c r="W254"/>
    </row>
    <row r="255" spans="20:23" x14ac:dyDescent="0.3">
      <c r="T255"/>
      <c r="U255"/>
      <c r="V255"/>
      <c r="W255"/>
    </row>
    <row r="256" spans="20:23" x14ac:dyDescent="0.3">
      <c r="T256"/>
      <c r="U256"/>
      <c r="V256"/>
      <c r="W256"/>
    </row>
    <row r="257" spans="20:23" x14ac:dyDescent="0.3">
      <c r="T257"/>
      <c r="U257"/>
      <c r="V257"/>
      <c r="W257"/>
    </row>
    <row r="258" spans="20:23" x14ac:dyDescent="0.3">
      <c r="T258"/>
      <c r="U258"/>
      <c r="V258"/>
      <c r="W258"/>
    </row>
    <row r="259" spans="20:23" x14ac:dyDescent="0.3">
      <c r="T259"/>
      <c r="U259"/>
      <c r="V259"/>
      <c r="W259"/>
    </row>
    <row r="260" spans="20:23" x14ac:dyDescent="0.3">
      <c r="T260"/>
      <c r="U260"/>
      <c r="V260"/>
      <c r="W260"/>
    </row>
    <row r="261" spans="20:23" x14ac:dyDescent="0.3">
      <c r="T261"/>
      <c r="U261"/>
      <c r="V261"/>
      <c r="W261"/>
    </row>
    <row r="262" spans="20:23" x14ac:dyDescent="0.3">
      <c r="T262"/>
      <c r="U262"/>
      <c r="V262"/>
      <c r="W262"/>
    </row>
    <row r="263" spans="20:23" x14ac:dyDescent="0.3">
      <c r="T263"/>
      <c r="U263"/>
      <c r="V263"/>
    </row>
    <row r="264" spans="20:23" x14ac:dyDescent="0.3">
      <c r="T264"/>
      <c r="U264"/>
      <c r="V264"/>
    </row>
    <row r="265" spans="20:23" x14ac:dyDescent="0.3">
      <c r="T265"/>
      <c r="U265"/>
      <c r="V265"/>
    </row>
    <row r="266" spans="20:23" x14ac:dyDescent="0.3">
      <c r="T266"/>
      <c r="U266"/>
      <c r="V266"/>
    </row>
    <row r="267" spans="20:23" x14ac:dyDescent="0.3">
      <c r="T267"/>
      <c r="U267"/>
      <c r="V267"/>
    </row>
    <row r="268" spans="20:23" x14ac:dyDescent="0.3">
      <c r="T268"/>
      <c r="U268"/>
      <c r="V268"/>
    </row>
    <row r="269" spans="20:23" x14ac:dyDescent="0.3">
      <c r="T269"/>
      <c r="U269"/>
      <c r="V269"/>
    </row>
    <row r="270" spans="20:23" x14ac:dyDescent="0.3">
      <c r="T270"/>
      <c r="U270"/>
      <c r="V270"/>
    </row>
    <row r="271" spans="20:23" x14ac:dyDescent="0.3">
      <c r="T271"/>
      <c r="U271"/>
      <c r="V271"/>
    </row>
    <row r="272" spans="20:23" x14ac:dyDescent="0.3">
      <c r="T272"/>
      <c r="U272"/>
      <c r="V272"/>
    </row>
    <row r="273" spans="20:22" x14ac:dyDescent="0.3">
      <c r="T273"/>
      <c r="U273"/>
      <c r="V273"/>
    </row>
    <row r="274" spans="20:22" x14ac:dyDescent="0.3">
      <c r="T274"/>
      <c r="U274"/>
      <c r="V274"/>
    </row>
    <row r="275" spans="20:22" x14ac:dyDescent="0.3">
      <c r="T275"/>
      <c r="U275"/>
      <c r="V275"/>
    </row>
    <row r="276" spans="20:22" x14ac:dyDescent="0.3">
      <c r="T276"/>
      <c r="U276"/>
      <c r="V276"/>
    </row>
    <row r="277" spans="20:22" x14ac:dyDescent="0.3">
      <c r="T277"/>
      <c r="U277"/>
      <c r="V277"/>
    </row>
    <row r="278" spans="20:22" x14ac:dyDescent="0.3">
      <c r="T278"/>
      <c r="U278"/>
      <c r="V278"/>
    </row>
    <row r="279" spans="20:22" x14ac:dyDescent="0.3">
      <c r="T279"/>
      <c r="U279"/>
      <c r="V279"/>
    </row>
    <row r="280" spans="20:22" x14ac:dyDescent="0.3">
      <c r="T280"/>
      <c r="U280"/>
      <c r="V280"/>
    </row>
    <row r="281" spans="20:22" x14ac:dyDescent="0.3">
      <c r="T281"/>
      <c r="U281"/>
      <c r="V281"/>
    </row>
    <row r="282" spans="20:22" x14ac:dyDescent="0.3">
      <c r="T282"/>
      <c r="U282"/>
      <c r="V282"/>
    </row>
    <row r="283" spans="20:22" x14ac:dyDescent="0.3">
      <c r="T283"/>
      <c r="U283"/>
      <c r="V283"/>
    </row>
    <row r="284" spans="20:22" x14ac:dyDescent="0.3">
      <c r="T284"/>
      <c r="U284"/>
      <c r="V284"/>
    </row>
    <row r="285" spans="20:22" x14ac:dyDescent="0.3">
      <c r="T285"/>
      <c r="U285"/>
      <c r="V285"/>
    </row>
    <row r="286" spans="20:22" x14ac:dyDescent="0.3">
      <c r="T286"/>
      <c r="U286"/>
      <c r="V286"/>
    </row>
    <row r="287" spans="20:22" x14ac:dyDescent="0.3">
      <c r="T287"/>
      <c r="U287"/>
      <c r="V287"/>
    </row>
    <row r="288" spans="20:22" x14ac:dyDescent="0.3">
      <c r="T288"/>
      <c r="U288"/>
      <c r="V288"/>
    </row>
    <row r="289" spans="20:22" x14ac:dyDescent="0.3">
      <c r="T289"/>
      <c r="U289"/>
      <c r="V289"/>
    </row>
    <row r="290" spans="20:22" x14ac:dyDescent="0.3">
      <c r="T290"/>
      <c r="U290"/>
      <c r="V290"/>
    </row>
    <row r="291" spans="20:22" x14ac:dyDescent="0.3">
      <c r="T291"/>
      <c r="U291"/>
      <c r="V291"/>
    </row>
    <row r="292" spans="20:22" x14ac:dyDescent="0.3">
      <c r="T292"/>
      <c r="U292"/>
      <c r="V292"/>
    </row>
    <row r="293" spans="20:22" x14ac:dyDescent="0.3">
      <c r="T293"/>
      <c r="U293"/>
      <c r="V293"/>
    </row>
    <row r="294" spans="20:22" x14ac:dyDescent="0.3">
      <c r="T294"/>
      <c r="U294"/>
      <c r="V294"/>
    </row>
    <row r="295" spans="20:22" x14ac:dyDescent="0.3">
      <c r="T295"/>
      <c r="U295"/>
      <c r="V295"/>
    </row>
    <row r="296" spans="20:22" x14ac:dyDescent="0.3">
      <c r="T296"/>
      <c r="U296"/>
      <c r="V296"/>
    </row>
    <row r="297" spans="20:22" x14ac:dyDescent="0.3">
      <c r="T297"/>
      <c r="U297"/>
      <c r="V297"/>
    </row>
    <row r="298" spans="20:22" x14ac:dyDescent="0.3">
      <c r="T298"/>
      <c r="U298"/>
      <c r="V298"/>
    </row>
    <row r="299" spans="20:22" x14ac:dyDescent="0.3">
      <c r="T299"/>
      <c r="U299"/>
      <c r="V299"/>
    </row>
    <row r="300" spans="20:22" x14ac:dyDescent="0.3">
      <c r="T300"/>
      <c r="U300"/>
      <c r="V300"/>
    </row>
    <row r="301" spans="20:22" x14ac:dyDescent="0.3">
      <c r="T301"/>
      <c r="U301"/>
      <c r="V301"/>
    </row>
    <row r="302" spans="20:22" x14ac:dyDescent="0.3">
      <c r="T302"/>
      <c r="U302"/>
      <c r="V302"/>
    </row>
    <row r="303" spans="20:22" x14ac:dyDescent="0.3">
      <c r="T303"/>
      <c r="U303"/>
      <c r="V303"/>
    </row>
    <row r="304" spans="20:22" x14ac:dyDescent="0.3">
      <c r="T304"/>
      <c r="U304"/>
      <c r="V304"/>
    </row>
    <row r="305" spans="20:22" x14ac:dyDescent="0.3">
      <c r="T305"/>
      <c r="U305"/>
      <c r="V305"/>
    </row>
    <row r="306" spans="20:22" x14ac:dyDescent="0.3">
      <c r="T306"/>
      <c r="U306"/>
      <c r="V306"/>
    </row>
    <row r="307" spans="20:22" x14ac:dyDescent="0.3">
      <c r="T307"/>
      <c r="U307"/>
      <c r="V307"/>
    </row>
    <row r="308" spans="20:22" x14ac:dyDescent="0.3">
      <c r="T308"/>
      <c r="U308"/>
      <c r="V308"/>
    </row>
    <row r="309" spans="20:22" x14ac:dyDescent="0.3">
      <c r="T309"/>
      <c r="U309"/>
      <c r="V309"/>
    </row>
    <row r="310" spans="20:22" x14ac:dyDescent="0.3">
      <c r="T310"/>
      <c r="U310"/>
      <c r="V310"/>
    </row>
    <row r="311" spans="20:22" x14ac:dyDescent="0.3">
      <c r="T311"/>
      <c r="U311"/>
      <c r="V311"/>
    </row>
    <row r="312" spans="20:22" x14ac:dyDescent="0.3">
      <c r="T312"/>
      <c r="U312"/>
      <c r="V312"/>
    </row>
    <row r="313" spans="20:22" x14ac:dyDescent="0.3">
      <c r="T313"/>
      <c r="U313"/>
      <c r="V313"/>
    </row>
    <row r="314" spans="20:22" x14ac:dyDescent="0.3">
      <c r="T314"/>
      <c r="U314"/>
      <c r="V314"/>
    </row>
    <row r="315" spans="20:22" x14ac:dyDescent="0.3">
      <c r="T315"/>
      <c r="U315"/>
    </row>
    <row r="316" spans="20:22" x14ac:dyDescent="0.3">
      <c r="T316"/>
      <c r="U316"/>
    </row>
    <row r="317" spans="20:22" x14ac:dyDescent="0.3">
      <c r="T317"/>
      <c r="U317"/>
    </row>
    <row r="318" spans="20:22" x14ac:dyDescent="0.3">
      <c r="T318"/>
      <c r="U318"/>
    </row>
    <row r="319" spans="20:22" x14ac:dyDescent="0.3">
      <c r="T319"/>
      <c r="U319"/>
    </row>
    <row r="320" spans="20:22" x14ac:dyDescent="0.3">
      <c r="T320"/>
    </row>
    <row r="321" spans="20:20" x14ac:dyDescent="0.3">
      <c r="T321"/>
    </row>
    <row r="322" spans="20:20" x14ac:dyDescent="0.3">
      <c r="T322"/>
    </row>
    <row r="323" spans="20:20" x14ac:dyDescent="0.3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2025-01-31T05:24:17Z</dcterms:modified>
</cp:coreProperties>
</file>