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1E1C3740-A851-4646-BE4C-32F87BBD2F62}" xr6:coauthVersionLast="47" xr6:coauthVersionMax="47" xr10:uidLastSave="{00000000-0000-0000-0000-000000000000}"/>
  <bookViews>
    <workbookView xWindow="-28920" yWindow="-120" windowWidth="29040" windowHeight="15720" tabRatio="896" activeTab="3" xr2:uid="{00000000-000D-0000-FFFF-FFFF00000000}"/>
  </bookViews>
  <sheets>
    <sheet name="Cover" sheetId="91" r:id="rId1"/>
    <sheet name="CitiPower summary" sheetId="92" r:id="rId2"/>
    <sheet name="Project summary" sheetId="82" r:id="rId3"/>
    <sheet name="Assumptions" sheetId="74" r:id="rId4"/>
    <sheet name="Option 1" sheetId="79" r:id="rId5"/>
    <sheet name="Option 2" sheetId="84" r:id="rId6"/>
    <sheet name="Option 3" sheetId="85" r:id="rId7"/>
  </sheets>
  <definedNames>
    <definedName name="Business">Assumptions!$B$8</definedName>
    <definedName name="business_case_dollars">Assumptions!$C$37</definedName>
    <definedName name="_xlnm.Print_Area" localSheetId="2">'Project summary'!$A$1:$J$53</definedName>
    <definedName name="Project_name">Assumptions!$B$6</definedName>
    <definedName name="Real_Discount_rate">Assumptions!$B$10</definedName>
    <definedName name="years" localSheetId="4">'Option 1'!$P$8:$T$8</definedName>
    <definedName name="years" localSheetId="5">'Option 2'!$P$8:$T$8</definedName>
    <definedName name="years" localSheetId="6">'Option 3'!$P$8:$T$8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92" l="1"/>
  <c r="H33" i="92"/>
  <c r="I33" i="92"/>
  <c r="J33" i="92"/>
  <c r="G34" i="92"/>
  <c r="G36" i="92" s="1"/>
  <c r="H34" i="92"/>
  <c r="I34" i="92"/>
  <c r="J34" i="92"/>
  <c r="F34" i="92"/>
  <c r="F33" i="92"/>
  <c r="G22" i="92"/>
  <c r="H22" i="92"/>
  <c r="I22" i="92"/>
  <c r="J22" i="92"/>
  <c r="G23" i="92"/>
  <c r="G25" i="92" s="1"/>
  <c r="H23" i="92"/>
  <c r="H25" i="92" s="1"/>
  <c r="I23" i="92"/>
  <c r="J23" i="92"/>
  <c r="J25" i="92" s="1"/>
  <c r="F23" i="92"/>
  <c r="F22" i="92"/>
  <c r="K22" i="92" s="1"/>
  <c r="I25" i="92"/>
  <c r="F16" i="92"/>
  <c r="J12" i="92"/>
  <c r="J14" i="92" s="1"/>
  <c r="I12" i="92"/>
  <c r="I14" i="92" s="1"/>
  <c r="H12" i="92"/>
  <c r="H14" i="92" s="1"/>
  <c r="G12" i="92"/>
  <c r="J11" i="92"/>
  <c r="I11" i="92"/>
  <c r="H11" i="92"/>
  <c r="G11" i="92"/>
  <c r="K11" i="92" s="1"/>
  <c r="F12" i="92"/>
  <c r="F11" i="92"/>
  <c r="A3" i="92"/>
  <c r="A1" i="92"/>
  <c r="K33" i="92" l="1"/>
  <c r="K34" i="92"/>
  <c r="F36" i="92"/>
  <c r="H36" i="92"/>
  <c r="I36" i="92"/>
  <c r="J36" i="92"/>
  <c r="K35" i="92"/>
  <c r="K36" i="92"/>
  <c r="K24" i="92"/>
  <c r="K25" i="92" s="1"/>
  <c r="K23" i="92"/>
  <c r="F25" i="92"/>
  <c r="F27" i="92" s="1"/>
  <c r="G14" i="92"/>
  <c r="K12" i="92"/>
  <c r="K13" i="92"/>
  <c r="K14" i="92" s="1"/>
  <c r="F14" i="92"/>
  <c r="D6" i="91" a="1"/>
  <c r="D6" i="91" s="1"/>
  <c r="C5" i="91" a="1"/>
  <c r="C5" i="91" s="1"/>
  <c r="F38" i="92" l="1"/>
  <c r="N14" i="79"/>
  <c r="M14" i="79"/>
  <c r="L14" i="79"/>
  <c r="K14" i="79"/>
  <c r="J14" i="79"/>
  <c r="N13" i="79"/>
  <c r="M13" i="79"/>
  <c r="L13" i="79"/>
  <c r="K13" i="79"/>
  <c r="J13" i="79"/>
  <c r="S53" i="85" l="1"/>
  <c r="P53" i="85"/>
  <c r="Q52" i="85"/>
  <c r="P51" i="85"/>
  <c r="R49" i="85"/>
  <c r="R47" i="85"/>
  <c r="T45" i="85"/>
  <c r="Q44" i="85"/>
  <c r="S40" i="85"/>
  <c r="R37" i="85"/>
  <c r="Q34" i="85"/>
  <c r="S32" i="85"/>
  <c r="S54" i="84"/>
  <c r="R54" i="84"/>
  <c r="T53" i="84"/>
  <c r="S53" i="84"/>
  <c r="R53" i="84"/>
  <c r="P53" i="84"/>
  <c r="R52" i="84"/>
  <c r="Q52" i="84"/>
  <c r="P52" i="84"/>
  <c r="S51" i="84"/>
  <c r="T50" i="84"/>
  <c r="Q49" i="84"/>
  <c r="S45" i="84"/>
  <c r="P44" i="84"/>
  <c r="N12" i="79"/>
  <c r="T12" i="79" s="1"/>
  <c r="M12" i="79"/>
  <c r="S12" i="79" s="1"/>
  <c r="L12" i="79"/>
  <c r="R12" i="79" s="1"/>
  <c r="K12" i="79"/>
  <c r="J12" i="79"/>
  <c r="P12" i="79" s="1"/>
  <c r="T58" i="79"/>
  <c r="S58" i="79"/>
  <c r="R58" i="79"/>
  <c r="Q58" i="79"/>
  <c r="P58" i="79"/>
  <c r="H58" i="79"/>
  <c r="G58" i="79"/>
  <c r="T57" i="79"/>
  <c r="S57" i="79"/>
  <c r="R57" i="79"/>
  <c r="Q57" i="79"/>
  <c r="P57" i="79"/>
  <c r="H57" i="79"/>
  <c r="G57" i="79"/>
  <c r="T56" i="79"/>
  <c r="S56" i="79"/>
  <c r="R56" i="79"/>
  <c r="Q56" i="79"/>
  <c r="P56" i="79"/>
  <c r="H56" i="79"/>
  <c r="G56" i="79"/>
  <c r="T55" i="79"/>
  <c r="S55" i="79"/>
  <c r="R55" i="79"/>
  <c r="Q55" i="79"/>
  <c r="P55" i="79"/>
  <c r="H55" i="79"/>
  <c r="G55" i="79"/>
  <c r="T54" i="79"/>
  <c r="S54" i="79"/>
  <c r="R54" i="79"/>
  <c r="Q54" i="79"/>
  <c r="P54" i="79"/>
  <c r="H54" i="79"/>
  <c r="G54" i="79"/>
  <c r="T53" i="79"/>
  <c r="S53" i="79"/>
  <c r="R53" i="79"/>
  <c r="Q53" i="79"/>
  <c r="P53" i="79"/>
  <c r="H53" i="79"/>
  <c r="G53" i="79"/>
  <c r="T54" i="84"/>
  <c r="Q54" i="84"/>
  <c r="P54" i="84"/>
  <c r="H54" i="84"/>
  <c r="G54" i="84"/>
  <c r="Q53" i="84"/>
  <c r="H53" i="84"/>
  <c r="G53" i="84"/>
  <c r="T52" i="84"/>
  <c r="S52" i="84"/>
  <c r="H52" i="84"/>
  <c r="G52" i="84"/>
  <c r="H51" i="84"/>
  <c r="G51" i="84"/>
  <c r="T51" i="84" s="1"/>
  <c r="H50" i="84"/>
  <c r="G50" i="84"/>
  <c r="R50" i="84" s="1"/>
  <c r="H49" i="84"/>
  <c r="G49" i="84"/>
  <c r="T49" i="84" s="1"/>
  <c r="T59" i="85"/>
  <c r="S59" i="85"/>
  <c r="R59" i="85"/>
  <c r="Q59" i="85"/>
  <c r="P59" i="85"/>
  <c r="H59" i="85"/>
  <c r="G59" i="85"/>
  <c r="T58" i="85"/>
  <c r="S58" i="85"/>
  <c r="R58" i="85"/>
  <c r="Q58" i="85"/>
  <c r="P58" i="85"/>
  <c r="H58" i="85"/>
  <c r="G58" i="85"/>
  <c r="T57" i="85"/>
  <c r="S57" i="85"/>
  <c r="R57" i="85"/>
  <c r="Q57" i="85"/>
  <c r="P57" i="85"/>
  <c r="H57" i="85"/>
  <c r="G57" i="85"/>
  <c r="T56" i="85"/>
  <c r="S56" i="85"/>
  <c r="R56" i="85"/>
  <c r="Q56" i="85"/>
  <c r="P56" i="85"/>
  <c r="H56" i="85"/>
  <c r="G56" i="85"/>
  <c r="T55" i="85"/>
  <c r="S55" i="85"/>
  <c r="R55" i="85"/>
  <c r="Q55" i="85"/>
  <c r="P55" i="85"/>
  <c r="H55" i="85"/>
  <c r="G55" i="85"/>
  <c r="T54" i="85"/>
  <c r="S54" i="85"/>
  <c r="R54" i="85"/>
  <c r="Q54" i="85"/>
  <c r="P54" i="85"/>
  <c r="H54" i="85"/>
  <c r="G54" i="85"/>
  <c r="T53" i="85"/>
  <c r="R53" i="85"/>
  <c r="Q53" i="85"/>
  <c r="H53" i="85"/>
  <c r="G53" i="85"/>
  <c r="C89" i="85"/>
  <c r="C89" i="84"/>
  <c r="C73" i="85"/>
  <c r="C73" i="84"/>
  <c r="T68" i="79"/>
  <c r="S68" i="79"/>
  <c r="R68" i="79"/>
  <c r="Q68" i="79"/>
  <c r="P68" i="79"/>
  <c r="B14" i="74"/>
  <c r="G29" i="85" s="1"/>
  <c r="D6" i="92"/>
  <c r="C50" i="82"/>
  <c r="C35" i="82"/>
  <c r="C20" i="82"/>
  <c r="A3" i="82"/>
  <c r="B21" i="74"/>
  <c r="C91" i="85"/>
  <c r="C76" i="85"/>
  <c r="T60" i="85"/>
  <c r="S60" i="85"/>
  <c r="R60" i="85"/>
  <c r="Q60" i="85"/>
  <c r="P60" i="85"/>
  <c r="H60" i="85"/>
  <c r="G60" i="85"/>
  <c r="T52" i="85"/>
  <c r="S52" i="85"/>
  <c r="R52" i="85"/>
  <c r="P52" i="85"/>
  <c r="H52" i="85"/>
  <c r="G52" i="85"/>
  <c r="H51" i="85"/>
  <c r="G51" i="85"/>
  <c r="T51" i="85" s="1"/>
  <c r="H50" i="85"/>
  <c r="G50" i="85"/>
  <c r="S50" i="85" s="1"/>
  <c r="H49" i="85"/>
  <c r="G49" i="85"/>
  <c r="P49" i="85" s="1"/>
  <c r="H48" i="85"/>
  <c r="G48" i="85"/>
  <c r="T48" i="85" s="1"/>
  <c r="T47" i="85"/>
  <c r="S47" i="85"/>
  <c r="H47" i="85"/>
  <c r="G47" i="85"/>
  <c r="P47" i="85" s="1"/>
  <c r="H46" i="85"/>
  <c r="G46" i="85"/>
  <c r="T46" i="85" s="1"/>
  <c r="H45" i="85"/>
  <c r="G45" i="85"/>
  <c r="R45" i="85" s="1"/>
  <c r="H44" i="85"/>
  <c r="G44" i="85"/>
  <c r="T44" i="85" s="1"/>
  <c r="H43" i="85"/>
  <c r="G43" i="85"/>
  <c r="T43" i="85" s="1"/>
  <c r="H42" i="85"/>
  <c r="G42" i="85"/>
  <c r="Q42" i="85" s="1"/>
  <c r="H41" i="85"/>
  <c r="G41" i="85"/>
  <c r="T41" i="85" s="1"/>
  <c r="H40" i="85"/>
  <c r="G40" i="85"/>
  <c r="Q40" i="85" s="1"/>
  <c r="H39" i="85"/>
  <c r="G39" i="85"/>
  <c r="T39" i="85" s="1"/>
  <c r="H38" i="85"/>
  <c r="G38" i="85"/>
  <c r="S38" i="85" s="1"/>
  <c r="H37" i="85"/>
  <c r="G37" i="85"/>
  <c r="P37" i="85" s="1"/>
  <c r="H36" i="85"/>
  <c r="G36" i="85"/>
  <c r="T36" i="85" s="1"/>
  <c r="H35" i="85"/>
  <c r="H34" i="85"/>
  <c r="G34" i="85"/>
  <c r="T34" i="85" s="1"/>
  <c r="H33" i="85"/>
  <c r="H32" i="85"/>
  <c r="G32" i="85"/>
  <c r="Q32" i="85" s="1"/>
  <c r="H31" i="85"/>
  <c r="H30" i="85"/>
  <c r="S70" i="85"/>
  <c r="H29" i="85"/>
  <c r="H28" i="85"/>
  <c r="H27" i="85"/>
  <c r="H26" i="85"/>
  <c r="H25" i="85"/>
  <c r="H24" i="85"/>
  <c r="H23" i="85"/>
  <c r="H22" i="85"/>
  <c r="H21" i="85"/>
  <c r="H20" i="85"/>
  <c r="H19" i="85"/>
  <c r="H18" i="85"/>
  <c r="H17" i="85"/>
  <c r="T16" i="85"/>
  <c r="S16" i="85"/>
  <c r="R16" i="85"/>
  <c r="Q16" i="85"/>
  <c r="P16" i="85"/>
  <c r="H16" i="85"/>
  <c r="G16" i="85"/>
  <c r="H15" i="85"/>
  <c r="H14" i="85"/>
  <c r="H13" i="85"/>
  <c r="T68" i="85"/>
  <c r="H12" i="85"/>
  <c r="H11" i="85"/>
  <c r="H10" i="85"/>
  <c r="G10" i="85"/>
  <c r="R10" i="85"/>
  <c r="A5" i="85"/>
  <c r="V3" i="85"/>
  <c r="A2" i="85"/>
  <c r="A1" i="85"/>
  <c r="C91" i="84"/>
  <c r="C76" i="84"/>
  <c r="T60" i="84"/>
  <c r="S60" i="84"/>
  <c r="R60" i="84"/>
  <c r="Q60" i="84"/>
  <c r="P60" i="84"/>
  <c r="H60" i="84"/>
  <c r="G60" i="84"/>
  <c r="T59" i="84"/>
  <c r="S59" i="84"/>
  <c r="R59" i="84"/>
  <c r="Q59" i="84"/>
  <c r="P59" i="84"/>
  <c r="H59" i="84"/>
  <c r="G59" i="84"/>
  <c r="T58" i="84"/>
  <c r="S58" i="84"/>
  <c r="R58" i="84"/>
  <c r="Q58" i="84"/>
  <c r="P58" i="84"/>
  <c r="H58" i="84"/>
  <c r="G58" i="84"/>
  <c r="T57" i="84"/>
  <c r="S57" i="84"/>
  <c r="R57" i="84"/>
  <c r="Q57" i="84"/>
  <c r="P57" i="84"/>
  <c r="H57" i="84"/>
  <c r="G57" i="84"/>
  <c r="T56" i="84"/>
  <c r="S56" i="84"/>
  <c r="R56" i="84"/>
  <c r="Q56" i="84"/>
  <c r="P56" i="84"/>
  <c r="H56" i="84"/>
  <c r="G56" i="84"/>
  <c r="T55" i="84"/>
  <c r="S55" i="84"/>
  <c r="R55" i="84"/>
  <c r="Q55" i="84"/>
  <c r="P55" i="84"/>
  <c r="H55" i="84"/>
  <c r="G55" i="84"/>
  <c r="H48" i="84"/>
  <c r="G48" i="84"/>
  <c r="T48" i="84" s="1"/>
  <c r="S47" i="84"/>
  <c r="H47" i="84"/>
  <c r="G47" i="84"/>
  <c r="R47" i="84" s="1"/>
  <c r="T47" i="84"/>
  <c r="H46" i="84"/>
  <c r="G46" i="84"/>
  <c r="T46" i="84" s="1"/>
  <c r="H45" i="84"/>
  <c r="G45" i="84"/>
  <c r="Q45" i="84" s="1"/>
  <c r="H44" i="84"/>
  <c r="G44" i="84"/>
  <c r="T44" i="84" s="1"/>
  <c r="H43" i="84"/>
  <c r="G43" i="84"/>
  <c r="S43" i="84" s="1"/>
  <c r="H42" i="84"/>
  <c r="G42" i="84"/>
  <c r="P42" i="84" s="1"/>
  <c r="H41" i="84"/>
  <c r="G41" i="84"/>
  <c r="S41" i="84" s="1"/>
  <c r="H40" i="84"/>
  <c r="G40" i="84"/>
  <c r="P40" i="84" s="1"/>
  <c r="H39" i="84"/>
  <c r="G39" i="84"/>
  <c r="T39" i="84" s="1"/>
  <c r="H38" i="84"/>
  <c r="G38" i="84"/>
  <c r="R38" i="84" s="1"/>
  <c r="H37" i="84"/>
  <c r="G37" i="84"/>
  <c r="Q37" i="84" s="1"/>
  <c r="H36" i="84"/>
  <c r="G36" i="84"/>
  <c r="T36" i="84" s="1"/>
  <c r="H35" i="84"/>
  <c r="H34" i="84"/>
  <c r="G34" i="84"/>
  <c r="Q34" i="84" s="1"/>
  <c r="H33" i="84"/>
  <c r="H32" i="84"/>
  <c r="G32" i="84"/>
  <c r="P32" i="84" s="1"/>
  <c r="H31" i="84"/>
  <c r="H30" i="84"/>
  <c r="H29" i="84"/>
  <c r="H28" i="84"/>
  <c r="R68" i="84"/>
  <c r="H27" i="84"/>
  <c r="T68" i="84"/>
  <c r="H26" i="84"/>
  <c r="H25" i="84"/>
  <c r="H24" i="84"/>
  <c r="H23" i="84"/>
  <c r="H22" i="84"/>
  <c r="H21" i="84"/>
  <c r="H20" i="84"/>
  <c r="H19" i="84"/>
  <c r="H18" i="84"/>
  <c r="H17" i="84"/>
  <c r="T16" i="84"/>
  <c r="S16" i="84"/>
  <c r="R16" i="84"/>
  <c r="Q16" i="84"/>
  <c r="P16" i="84"/>
  <c r="H16" i="84"/>
  <c r="G16" i="84"/>
  <c r="H15" i="84"/>
  <c r="H14" i="84"/>
  <c r="H13" i="84"/>
  <c r="H12" i="84"/>
  <c r="H11" i="84"/>
  <c r="H10" i="84"/>
  <c r="G10" i="84"/>
  <c r="P10" i="84"/>
  <c r="A5" i="84"/>
  <c r="V3" i="84"/>
  <c r="A2" i="84"/>
  <c r="A1" i="84"/>
  <c r="J40" i="82"/>
  <c r="I40" i="82"/>
  <c r="H40" i="82"/>
  <c r="G40" i="82"/>
  <c r="F40" i="82"/>
  <c r="J25" i="82"/>
  <c r="I25" i="82"/>
  <c r="H25" i="82"/>
  <c r="G25" i="82"/>
  <c r="F25" i="82"/>
  <c r="A2" i="82"/>
  <c r="A1" i="82"/>
  <c r="C91" i="79"/>
  <c r="C89" i="79"/>
  <c r="C36" i="74"/>
  <c r="C37" i="74" s="1"/>
  <c r="P70" i="85"/>
  <c r="Q70" i="85"/>
  <c r="R70" i="85"/>
  <c r="T70" i="85"/>
  <c r="Q68" i="84"/>
  <c r="S68" i="84"/>
  <c r="Q47" i="84"/>
  <c r="P68" i="84"/>
  <c r="Q70" i="84"/>
  <c r="T70" i="84"/>
  <c r="P70" i="84"/>
  <c r="R70" i="84"/>
  <c r="S70" i="84"/>
  <c r="S69" i="85"/>
  <c r="R69" i="85"/>
  <c r="T69" i="85"/>
  <c r="P69" i="85"/>
  <c r="Q69" i="85"/>
  <c r="P69" i="84"/>
  <c r="T69" i="84"/>
  <c r="R69" i="84"/>
  <c r="S69" i="84"/>
  <c r="Q69" i="84"/>
  <c r="T66" i="85"/>
  <c r="P66" i="85"/>
  <c r="S66" i="85"/>
  <c r="S10" i="85"/>
  <c r="Q10" i="84"/>
  <c r="S66" i="84"/>
  <c r="T10" i="85"/>
  <c r="Q66" i="85"/>
  <c r="R10" i="84"/>
  <c r="T66" i="84"/>
  <c r="R66" i="85"/>
  <c r="Q66" i="84"/>
  <c r="S10" i="84"/>
  <c r="R66" i="84"/>
  <c r="T10" i="84"/>
  <c r="P66" i="84"/>
  <c r="Q68" i="85"/>
  <c r="P68" i="85"/>
  <c r="R68" i="85"/>
  <c r="P10" i="85"/>
  <c r="S68" i="85"/>
  <c r="Q10" i="85"/>
  <c r="C76" i="79"/>
  <c r="A2" i="79"/>
  <c r="A1" i="79"/>
  <c r="A2" i="74"/>
  <c r="A1" i="74"/>
  <c r="C73" i="79"/>
  <c r="T60" i="79"/>
  <c r="S60" i="79"/>
  <c r="R60" i="79"/>
  <c r="Q60" i="79"/>
  <c r="P60" i="79"/>
  <c r="H60" i="79"/>
  <c r="G60" i="79"/>
  <c r="T59" i="79"/>
  <c r="S59" i="79"/>
  <c r="R59" i="79"/>
  <c r="Q59" i="79"/>
  <c r="P59" i="79"/>
  <c r="H59" i="79"/>
  <c r="G59" i="79"/>
  <c r="T52" i="79"/>
  <c r="S52" i="79"/>
  <c r="R52" i="79"/>
  <c r="Q52" i="79"/>
  <c r="P52" i="79"/>
  <c r="H52" i="79"/>
  <c r="G52" i="79"/>
  <c r="T51" i="79"/>
  <c r="S51" i="79"/>
  <c r="R51" i="79"/>
  <c r="Q51" i="79"/>
  <c r="P51" i="79"/>
  <c r="H51" i="79"/>
  <c r="G51" i="79"/>
  <c r="T50" i="79"/>
  <c r="S50" i="79"/>
  <c r="R50" i="79"/>
  <c r="Q50" i="79"/>
  <c r="P50" i="79"/>
  <c r="H50" i="79"/>
  <c r="G50" i="79"/>
  <c r="T49" i="79"/>
  <c r="S49" i="79"/>
  <c r="R49" i="79"/>
  <c r="Q49" i="79"/>
  <c r="P49" i="79"/>
  <c r="H49" i="79"/>
  <c r="G49" i="79"/>
  <c r="T48" i="79"/>
  <c r="S48" i="79"/>
  <c r="R48" i="79"/>
  <c r="Q48" i="79"/>
  <c r="P48" i="79"/>
  <c r="H48" i="79"/>
  <c r="G48" i="79"/>
  <c r="T47" i="79"/>
  <c r="S47" i="79"/>
  <c r="R47" i="79"/>
  <c r="Q47" i="79"/>
  <c r="P47" i="79"/>
  <c r="H47" i="79"/>
  <c r="G47" i="79"/>
  <c r="T46" i="79"/>
  <c r="S46" i="79"/>
  <c r="R46" i="79"/>
  <c r="Q46" i="79"/>
  <c r="P46" i="79"/>
  <c r="H46" i="79"/>
  <c r="G46" i="79"/>
  <c r="T45" i="79"/>
  <c r="S45" i="79"/>
  <c r="R45" i="79"/>
  <c r="Q45" i="79"/>
  <c r="P45" i="79"/>
  <c r="H45" i="79"/>
  <c r="G45" i="79"/>
  <c r="T44" i="79"/>
  <c r="S44" i="79"/>
  <c r="R44" i="79"/>
  <c r="Q44" i="79"/>
  <c r="P44" i="79"/>
  <c r="H44" i="79"/>
  <c r="G44" i="79"/>
  <c r="T43" i="79"/>
  <c r="S43" i="79"/>
  <c r="R43" i="79"/>
  <c r="Q43" i="79"/>
  <c r="P43" i="79"/>
  <c r="H43" i="79"/>
  <c r="G43" i="79"/>
  <c r="T42" i="79"/>
  <c r="S42" i="79"/>
  <c r="R42" i="79"/>
  <c r="Q42" i="79"/>
  <c r="P42" i="79"/>
  <c r="H42" i="79"/>
  <c r="G42" i="79"/>
  <c r="T41" i="79"/>
  <c r="S41" i="79"/>
  <c r="R41" i="79"/>
  <c r="Q41" i="79"/>
  <c r="P41" i="79"/>
  <c r="H41" i="79"/>
  <c r="G41" i="79"/>
  <c r="T40" i="79"/>
  <c r="S40" i="79"/>
  <c r="R40" i="79"/>
  <c r="Q40" i="79"/>
  <c r="P40" i="79"/>
  <c r="H40" i="79"/>
  <c r="G40" i="79"/>
  <c r="T39" i="79"/>
  <c r="S39" i="79"/>
  <c r="R39" i="79"/>
  <c r="Q39" i="79"/>
  <c r="P39" i="79"/>
  <c r="H39" i="79"/>
  <c r="G39" i="79"/>
  <c r="T38" i="79"/>
  <c r="S38" i="79"/>
  <c r="R38" i="79"/>
  <c r="Q38" i="79"/>
  <c r="P38" i="79"/>
  <c r="H38" i="79"/>
  <c r="G38" i="79"/>
  <c r="T37" i="79"/>
  <c r="S37" i="79"/>
  <c r="R37" i="79"/>
  <c r="Q37" i="79"/>
  <c r="P37" i="79"/>
  <c r="H37" i="79"/>
  <c r="G37" i="79"/>
  <c r="T36" i="79"/>
  <c r="S36" i="79"/>
  <c r="R36" i="79"/>
  <c r="Q36" i="79"/>
  <c r="P36" i="79"/>
  <c r="H36" i="79"/>
  <c r="G36" i="79"/>
  <c r="T35" i="79"/>
  <c r="S35" i="79"/>
  <c r="R35" i="79"/>
  <c r="Q35" i="79"/>
  <c r="P35" i="79"/>
  <c r="H35" i="79"/>
  <c r="G35" i="79"/>
  <c r="T34" i="79"/>
  <c r="S34" i="79"/>
  <c r="R34" i="79"/>
  <c r="Q34" i="79"/>
  <c r="P34" i="79"/>
  <c r="H34" i="79"/>
  <c r="G34" i="79"/>
  <c r="T33" i="79"/>
  <c r="S33" i="79"/>
  <c r="R33" i="79"/>
  <c r="Q33" i="79"/>
  <c r="P33" i="79"/>
  <c r="H33" i="79"/>
  <c r="G33" i="79"/>
  <c r="T32" i="79"/>
  <c r="S32" i="79"/>
  <c r="R32" i="79"/>
  <c r="Q32" i="79"/>
  <c r="P32" i="79"/>
  <c r="H32" i="79"/>
  <c r="G32" i="79"/>
  <c r="T31" i="79"/>
  <c r="S31" i="79"/>
  <c r="R31" i="79"/>
  <c r="Q31" i="79"/>
  <c r="P31" i="79"/>
  <c r="H31" i="79"/>
  <c r="G31" i="79"/>
  <c r="T30" i="79"/>
  <c r="S30" i="79"/>
  <c r="R30" i="79"/>
  <c r="Q30" i="79"/>
  <c r="P30" i="79"/>
  <c r="H30" i="79"/>
  <c r="G30" i="79"/>
  <c r="T29" i="79"/>
  <c r="S29" i="79"/>
  <c r="R29" i="79"/>
  <c r="Q29" i="79"/>
  <c r="P29" i="79"/>
  <c r="H29" i="79"/>
  <c r="G29" i="79"/>
  <c r="T28" i="79"/>
  <c r="S28" i="79"/>
  <c r="R28" i="79"/>
  <c r="Q28" i="79"/>
  <c r="P28" i="79"/>
  <c r="H28" i="79"/>
  <c r="G28" i="79"/>
  <c r="T27" i="79"/>
  <c r="S27" i="79"/>
  <c r="R27" i="79"/>
  <c r="Q27" i="79"/>
  <c r="P27" i="79"/>
  <c r="H27" i="79"/>
  <c r="G27" i="79"/>
  <c r="T26" i="79"/>
  <c r="S26" i="79"/>
  <c r="R26" i="79"/>
  <c r="Q26" i="79"/>
  <c r="P26" i="79"/>
  <c r="H26" i="79"/>
  <c r="G26" i="79"/>
  <c r="T25" i="79"/>
  <c r="S25" i="79"/>
  <c r="R25" i="79"/>
  <c r="Q25" i="79"/>
  <c r="P25" i="79"/>
  <c r="H25" i="79"/>
  <c r="G25" i="79"/>
  <c r="H24" i="79"/>
  <c r="G24" i="79"/>
  <c r="P24" i="79"/>
  <c r="T23" i="79"/>
  <c r="S23" i="79"/>
  <c r="R23" i="79"/>
  <c r="Q23" i="79"/>
  <c r="P23" i="79"/>
  <c r="H23" i="79"/>
  <c r="G23" i="79"/>
  <c r="T22" i="79"/>
  <c r="S22" i="79"/>
  <c r="R22" i="79"/>
  <c r="Q22" i="79"/>
  <c r="P22" i="79"/>
  <c r="H22" i="79"/>
  <c r="G22" i="79"/>
  <c r="H21" i="79"/>
  <c r="G21" i="79"/>
  <c r="T21" i="79"/>
  <c r="T20" i="79"/>
  <c r="S20" i="79"/>
  <c r="R20" i="79"/>
  <c r="Q20" i="79"/>
  <c r="P20" i="79"/>
  <c r="H20" i="79"/>
  <c r="G20" i="79"/>
  <c r="T19" i="79"/>
  <c r="S19" i="79"/>
  <c r="R19" i="79"/>
  <c r="Q19" i="79"/>
  <c r="P19" i="79"/>
  <c r="H19" i="79"/>
  <c r="G19" i="79"/>
  <c r="T18" i="79"/>
  <c r="S18" i="79"/>
  <c r="R18" i="79"/>
  <c r="Q18" i="79"/>
  <c r="P18" i="79"/>
  <c r="H18" i="79"/>
  <c r="G18" i="79"/>
  <c r="T17" i="79"/>
  <c r="S17" i="79"/>
  <c r="R17" i="79"/>
  <c r="Q17" i="79"/>
  <c r="P17" i="79"/>
  <c r="H17" i="79"/>
  <c r="G17" i="79"/>
  <c r="T16" i="79"/>
  <c r="S16" i="79"/>
  <c r="S65" i="79" s="1"/>
  <c r="R16" i="79"/>
  <c r="Q16" i="79"/>
  <c r="P16" i="79"/>
  <c r="H16" i="79"/>
  <c r="G16" i="79"/>
  <c r="S15" i="79"/>
  <c r="R15" i="79"/>
  <c r="Q15" i="79"/>
  <c r="H15" i="79"/>
  <c r="G15" i="79"/>
  <c r="P15" i="79" s="1"/>
  <c r="T14" i="79"/>
  <c r="S14" i="79"/>
  <c r="R14" i="79"/>
  <c r="R65" i="79" s="1"/>
  <c r="Q14" i="79"/>
  <c r="Q65" i="79" s="1"/>
  <c r="P14" i="79"/>
  <c r="P65" i="79" s="1"/>
  <c r="H14" i="79"/>
  <c r="G14" i="79"/>
  <c r="H13" i="79"/>
  <c r="G13" i="79"/>
  <c r="P13" i="79" s="1"/>
  <c r="T13" i="79"/>
  <c r="H12" i="79"/>
  <c r="G12" i="79"/>
  <c r="H11" i="79"/>
  <c r="G11" i="79"/>
  <c r="S11" i="79"/>
  <c r="H10" i="79"/>
  <c r="G10" i="79"/>
  <c r="T10" i="79"/>
  <c r="A5" i="79"/>
  <c r="V3" i="79"/>
  <c r="P69" i="79"/>
  <c r="Q69" i="79"/>
  <c r="T69" i="79"/>
  <c r="S69" i="79"/>
  <c r="R69" i="79"/>
  <c r="T24" i="79"/>
  <c r="S24" i="79"/>
  <c r="Q24" i="79"/>
  <c r="R24" i="79"/>
  <c r="Q12" i="79"/>
  <c r="R66" i="79"/>
  <c r="Q66" i="79"/>
  <c r="P66" i="79"/>
  <c r="Q21" i="79"/>
  <c r="P21" i="79"/>
  <c r="S21" i="79"/>
  <c r="R21" i="79"/>
  <c r="S66" i="79"/>
  <c r="T66" i="79"/>
  <c r="P10" i="79"/>
  <c r="T65" i="79"/>
  <c r="T11" i="79"/>
  <c r="S10" i="79"/>
  <c r="R11" i="79"/>
  <c r="Q10" i="79"/>
  <c r="R10" i="79"/>
  <c r="Q11" i="79"/>
  <c r="P11" i="79"/>
  <c r="S13" i="79"/>
  <c r="G15" i="85" l="1"/>
  <c r="R15" i="85" s="1"/>
  <c r="G14" i="84"/>
  <c r="P14" i="84" s="1"/>
  <c r="G18" i="85"/>
  <c r="P18" i="85" s="1"/>
  <c r="G22" i="84"/>
  <c r="G23" i="84"/>
  <c r="Q23" i="84" s="1"/>
  <c r="G33" i="84"/>
  <c r="S33" i="84" s="1"/>
  <c r="G11" i="85"/>
  <c r="S11" i="85" s="1"/>
  <c r="G23" i="85"/>
  <c r="G13" i="84"/>
  <c r="S13" i="84" s="1"/>
  <c r="G17" i="84"/>
  <c r="P17" i="84" s="1"/>
  <c r="S70" i="79"/>
  <c r="G28" i="84"/>
  <c r="Q28" i="84" s="1"/>
  <c r="G35" i="85"/>
  <c r="R35" i="85" s="1"/>
  <c r="G18" i="84"/>
  <c r="T18" i="84" s="1"/>
  <c r="G24" i="85"/>
  <c r="G15" i="84"/>
  <c r="P15" i="84" s="1"/>
  <c r="G24" i="84"/>
  <c r="G29" i="84"/>
  <c r="G35" i="84"/>
  <c r="Q35" i="84" s="1"/>
  <c r="G12" i="85"/>
  <c r="G19" i="85"/>
  <c r="G30" i="85"/>
  <c r="G19" i="84"/>
  <c r="G25" i="85"/>
  <c r="G25" i="84"/>
  <c r="G30" i="84"/>
  <c r="G20" i="85"/>
  <c r="S20" i="85" s="1"/>
  <c r="G31" i="85"/>
  <c r="Q84" i="79"/>
  <c r="G15" i="82" s="1"/>
  <c r="T22" i="84"/>
  <c r="S22" i="84"/>
  <c r="R22" i="84"/>
  <c r="Q22" i="84"/>
  <c r="P22" i="84"/>
  <c r="R29" i="85"/>
  <c r="Q29" i="85"/>
  <c r="P29" i="85"/>
  <c r="S29" i="85"/>
  <c r="T29" i="85"/>
  <c r="G11" i="84"/>
  <c r="G20" i="84"/>
  <c r="R20" i="84" s="1"/>
  <c r="G13" i="85"/>
  <c r="G26" i="85"/>
  <c r="T70" i="79"/>
  <c r="G26" i="84"/>
  <c r="G31" i="84"/>
  <c r="G21" i="85"/>
  <c r="G27" i="85"/>
  <c r="G12" i="84"/>
  <c r="G21" i="84"/>
  <c r="P21" i="84" s="1"/>
  <c r="G14" i="85"/>
  <c r="P14" i="85" s="1"/>
  <c r="G17" i="85"/>
  <c r="R17" i="85" s="1"/>
  <c r="G33" i="85"/>
  <c r="T33" i="85" s="1"/>
  <c r="G27" i="84"/>
  <c r="G22" i="85"/>
  <c r="G28" i="85"/>
  <c r="R85" i="79"/>
  <c r="H16" i="82" s="1"/>
  <c r="S81" i="79"/>
  <c r="I12" i="82" s="1"/>
  <c r="P84" i="79"/>
  <c r="F15" i="82" s="1"/>
  <c r="R82" i="79"/>
  <c r="H13" i="82" s="1"/>
  <c r="S86" i="84"/>
  <c r="I32" i="82" s="1"/>
  <c r="P86" i="85"/>
  <c r="F47" i="82" s="1"/>
  <c r="R84" i="85"/>
  <c r="H45" i="82" s="1"/>
  <c r="Q84" i="84"/>
  <c r="G30" i="82" s="1"/>
  <c r="Q82" i="84"/>
  <c r="G28" i="82" s="1"/>
  <c r="T86" i="84"/>
  <c r="J32" i="82" s="1"/>
  <c r="T85" i="84"/>
  <c r="J31" i="82" s="1"/>
  <c r="P81" i="79"/>
  <c r="F12" i="82" s="1"/>
  <c r="P85" i="85"/>
  <c r="F46" i="82" s="1"/>
  <c r="R84" i="79"/>
  <c r="H15" i="82" s="1"/>
  <c r="P70" i="79"/>
  <c r="Q14" i="84"/>
  <c r="T15" i="84"/>
  <c r="T64" i="79"/>
  <c r="T80" i="79" s="1"/>
  <c r="T15" i="79"/>
  <c r="P64" i="79"/>
  <c r="S64" i="79"/>
  <c r="Q82" i="79"/>
  <c r="G13" i="82" s="1"/>
  <c r="R13" i="79"/>
  <c r="Q13" i="79"/>
  <c r="T14" i="84"/>
  <c r="S14" i="84"/>
  <c r="T15" i="85"/>
  <c r="S15" i="85"/>
  <c r="Q15" i="85"/>
  <c r="P15" i="85"/>
  <c r="S18" i="85"/>
  <c r="R18" i="85"/>
  <c r="P82" i="85"/>
  <c r="F43" i="82" s="1"/>
  <c r="R32" i="85"/>
  <c r="P34" i="85"/>
  <c r="Q37" i="85"/>
  <c r="T38" i="85"/>
  <c r="R40" i="85"/>
  <c r="T32" i="85"/>
  <c r="T65" i="85" s="1"/>
  <c r="R34" i="85"/>
  <c r="P36" i="85"/>
  <c r="S37" i="85"/>
  <c r="Q39" i="85"/>
  <c r="T40" i="85"/>
  <c r="P39" i="85"/>
  <c r="S34" i="85"/>
  <c r="Q36" i="85"/>
  <c r="Q65" i="85" s="1"/>
  <c r="T37" i="85"/>
  <c r="R39" i="85"/>
  <c r="P41" i="85"/>
  <c r="R36" i="85"/>
  <c r="P38" i="85"/>
  <c r="S39" i="85"/>
  <c r="Q41" i="85"/>
  <c r="S36" i="85"/>
  <c r="Q38" i="85"/>
  <c r="R41" i="85"/>
  <c r="P32" i="85"/>
  <c r="R38" i="85"/>
  <c r="P40" i="85"/>
  <c r="S41" i="85"/>
  <c r="S85" i="85"/>
  <c r="I46" i="82" s="1"/>
  <c r="R85" i="85"/>
  <c r="H46" i="82" s="1"/>
  <c r="S82" i="85"/>
  <c r="I43" i="82" s="1"/>
  <c r="T84" i="85"/>
  <c r="J45" i="82" s="1"/>
  <c r="R82" i="85"/>
  <c r="H43" i="82" s="1"/>
  <c r="R42" i="85"/>
  <c r="P44" i="85"/>
  <c r="S45" i="85"/>
  <c r="Q47" i="85"/>
  <c r="Q49" i="85"/>
  <c r="T50" i="85"/>
  <c r="T42" i="85"/>
  <c r="R44" i="85"/>
  <c r="P46" i="85"/>
  <c r="P48" i="85"/>
  <c r="S49" i="85"/>
  <c r="Q51" i="85"/>
  <c r="Q85" i="85"/>
  <c r="G46" i="82" s="1"/>
  <c r="P43" i="85"/>
  <c r="S44" i="85"/>
  <c r="Q46" i="85"/>
  <c r="Q48" i="85"/>
  <c r="T49" i="85"/>
  <c r="R51" i="85"/>
  <c r="S42" i="85"/>
  <c r="Q43" i="85"/>
  <c r="R46" i="85"/>
  <c r="R48" i="85"/>
  <c r="P50" i="85"/>
  <c r="S51" i="85"/>
  <c r="R43" i="85"/>
  <c r="P45" i="85"/>
  <c r="S46" i="85"/>
  <c r="S48" i="85"/>
  <c r="Q50" i="85"/>
  <c r="P42" i="85"/>
  <c r="S43" i="85"/>
  <c r="Q45" i="85"/>
  <c r="R50" i="85"/>
  <c r="Q86" i="85"/>
  <c r="G47" i="82" s="1"/>
  <c r="Q82" i="85"/>
  <c r="G43" i="82" s="1"/>
  <c r="Q32" i="84"/>
  <c r="T41" i="84"/>
  <c r="S38" i="84"/>
  <c r="T38" i="84"/>
  <c r="P39" i="84"/>
  <c r="Q39" i="84"/>
  <c r="R37" i="84"/>
  <c r="S34" i="84"/>
  <c r="Q36" i="84"/>
  <c r="T37" i="84"/>
  <c r="R39" i="84"/>
  <c r="P41" i="84"/>
  <c r="Q40" i="84"/>
  <c r="R40" i="84"/>
  <c r="T32" i="84"/>
  <c r="R34" i="84"/>
  <c r="P36" i="84"/>
  <c r="S37" i="84"/>
  <c r="T40" i="84"/>
  <c r="T34" i="84"/>
  <c r="R36" i="84"/>
  <c r="P38" i="84"/>
  <c r="S39" i="84"/>
  <c r="Q41" i="84"/>
  <c r="S36" i="84"/>
  <c r="Q38" i="84"/>
  <c r="R41" i="84"/>
  <c r="P37" i="84"/>
  <c r="R32" i="84"/>
  <c r="P34" i="84"/>
  <c r="S32" i="84"/>
  <c r="S40" i="84"/>
  <c r="Q42" i="84"/>
  <c r="T43" i="84"/>
  <c r="R45" i="84"/>
  <c r="P47" i="84"/>
  <c r="P49" i="84"/>
  <c r="S50" i="84"/>
  <c r="R42" i="84"/>
  <c r="S42" i="84"/>
  <c r="Q44" i="84"/>
  <c r="T45" i="84"/>
  <c r="R49" i="84"/>
  <c r="P51" i="84"/>
  <c r="T42" i="84"/>
  <c r="R44" i="84"/>
  <c r="P46" i="84"/>
  <c r="P48" i="84"/>
  <c r="S49" i="84"/>
  <c r="Q51" i="84"/>
  <c r="P43" i="84"/>
  <c r="S44" i="84"/>
  <c r="Q46" i="84"/>
  <c r="Q48" i="84"/>
  <c r="R51" i="84"/>
  <c r="Q43" i="84"/>
  <c r="R46" i="84"/>
  <c r="R48" i="84"/>
  <c r="P50" i="84"/>
  <c r="T82" i="84"/>
  <c r="J28" i="82" s="1"/>
  <c r="R43" i="84"/>
  <c r="P45" i="84"/>
  <c r="S46" i="84"/>
  <c r="S48" i="84"/>
  <c r="Q50" i="84"/>
  <c r="R82" i="84"/>
  <c r="H28" i="82" s="1"/>
  <c r="R86" i="84"/>
  <c r="H32" i="82" s="1"/>
  <c r="P86" i="84"/>
  <c r="F32" i="82" s="1"/>
  <c r="R84" i="84"/>
  <c r="H30" i="82" s="1"/>
  <c r="S84" i="84"/>
  <c r="I30" i="82" s="1"/>
  <c r="P85" i="84"/>
  <c r="F31" i="82" s="1"/>
  <c r="R85" i="84"/>
  <c r="H31" i="82" s="1"/>
  <c r="U70" i="84"/>
  <c r="T71" i="84"/>
  <c r="S82" i="79"/>
  <c r="I13" i="82" s="1"/>
  <c r="T85" i="79"/>
  <c r="J16" i="82" s="1"/>
  <c r="U69" i="79"/>
  <c r="U65" i="79"/>
  <c r="T84" i="79"/>
  <c r="J15" i="82" s="1"/>
  <c r="T81" i="79"/>
  <c r="J12" i="82" s="1"/>
  <c r="P85" i="79"/>
  <c r="U66" i="79"/>
  <c r="R81" i="79"/>
  <c r="H12" i="82" s="1"/>
  <c r="T82" i="79"/>
  <c r="J13" i="82" s="1"/>
  <c r="S85" i="79"/>
  <c r="I16" i="82" s="1"/>
  <c r="Q81" i="79"/>
  <c r="Q85" i="79"/>
  <c r="U68" i="79"/>
  <c r="S84" i="79"/>
  <c r="P82" i="79"/>
  <c r="S84" i="85"/>
  <c r="I45" i="82" s="1"/>
  <c r="T85" i="85"/>
  <c r="J46" i="82" s="1"/>
  <c r="Q71" i="85"/>
  <c r="U69" i="85"/>
  <c r="Q84" i="85"/>
  <c r="G45" i="82" s="1"/>
  <c r="S85" i="84"/>
  <c r="I31" i="82" s="1"/>
  <c r="U69" i="84"/>
  <c r="T84" i="84"/>
  <c r="P82" i="84"/>
  <c r="F28" i="82" s="1"/>
  <c r="S82" i="84"/>
  <c r="I28" i="82" s="1"/>
  <c r="S71" i="84"/>
  <c r="Q86" i="84"/>
  <c r="R71" i="84"/>
  <c r="Q85" i="84"/>
  <c r="Q71" i="84"/>
  <c r="U66" i="84"/>
  <c r="T82" i="85"/>
  <c r="U66" i="85"/>
  <c r="R86" i="85"/>
  <c r="H47" i="82" s="1"/>
  <c r="U70" i="85"/>
  <c r="S86" i="85"/>
  <c r="I47" i="82" s="1"/>
  <c r="S71" i="85"/>
  <c r="P84" i="85"/>
  <c r="U68" i="85"/>
  <c r="P71" i="85"/>
  <c r="P84" i="84"/>
  <c r="U68" i="84"/>
  <c r="T71" i="85"/>
  <c r="T86" i="85"/>
  <c r="J47" i="82" s="1"/>
  <c r="P71" i="84"/>
  <c r="R71" i="85"/>
  <c r="T18" i="85" l="1"/>
  <c r="R20" i="85"/>
  <c r="S23" i="84"/>
  <c r="S71" i="79"/>
  <c r="R23" i="84"/>
  <c r="T33" i="84"/>
  <c r="T23" i="84"/>
  <c r="Q33" i="84"/>
  <c r="P23" i="84"/>
  <c r="P33" i="84"/>
  <c r="R14" i="84"/>
  <c r="Q18" i="85"/>
  <c r="R11" i="85"/>
  <c r="T20" i="84"/>
  <c r="R33" i="84"/>
  <c r="S35" i="85"/>
  <c r="T35" i="84"/>
  <c r="P65" i="84"/>
  <c r="P81" i="84" s="1"/>
  <c r="F27" i="82" s="1"/>
  <c r="T17" i="84"/>
  <c r="R28" i="84"/>
  <c r="P80" i="79"/>
  <c r="P83" i="79" s="1"/>
  <c r="S86" i="79"/>
  <c r="I17" i="82" s="1"/>
  <c r="Q33" i="85"/>
  <c r="T71" i="79"/>
  <c r="S17" i="84"/>
  <c r="T28" i="84"/>
  <c r="P23" i="85"/>
  <c r="T21" i="84"/>
  <c r="P28" i="84"/>
  <c r="Q23" i="85"/>
  <c r="R35" i="84"/>
  <c r="P20" i="84"/>
  <c r="Q17" i="84"/>
  <c r="T23" i="85"/>
  <c r="Q11" i="85"/>
  <c r="P33" i="85"/>
  <c r="S20" i="84"/>
  <c r="R17" i="84"/>
  <c r="P35" i="85"/>
  <c r="S23" i="85"/>
  <c r="T13" i="84"/>
  <c r="T86" i="79"/>
  <c r="J17" i="82" s="1"/>
  <c r="J18" i="82" s="1"/>
  <c r="R33" i="85"/>
  <c r="S67" i="79"/>
  <c r="S73" i="79" s="1"/>
  <c r="S74" i="79" s="1"/>
  <c r="T35" i="85"/>
  <c r="Q20" i="85"/>
  <c r="R21" i="84"/>
  <c r="Q14" i="85"/>
  <c r="S28" i="84"/>
  <c r="R13" i="84"/>
  <c r="P20" i="85"/>
  <c r="Q21" i="84"/>
  <c r="T11" i="85"/>
  <c r="T20" i="85"/>
  <c r="S21" i="84"/>
  <c r="P11" i="85"/>
  <c r="Q13" i="84"/>
  <c r="Q35" i="85"/>
  <c r="Q20" i="84"/>
  <c r="R23" i="85"/>
  <c r="S33" i="85"/>
  <c r="P13" i="84"/>
  <c r="P71" i="79"/>
  <c r="P12" i="84"/>
  <c r="T12" i="84"/>
  <c r="S12" i="84"/>
  <c r="Q12" i="84"/>
  <c r="R12" i="84"/>
  <c r="P11" i="84"/>
  <c r="S11" i="84"/>
  <c r="R11" i="84"/>
  <c r="T11" i="84"/>
  <c r="T19" i="84"/>
  <c r="S19" i="84"/>
  <c r="R19" i="84"/>
  <c r="Q19" i="84"/>
  <c r="P19" i="84"/>
  <c r="P27" i="85"/>
  <c r="T27" i="85"/>
  <c r="S27" i="85"/>
  <c r="R27" i="85"/>
  <c r="Q27" i="85"/>
  <c r="P30" i="85"/>
  <c r="T30" i="85"/>
  <c r="S30" i="85"/>
  <c r="R30" i="85"/>
  <c r="Q30" i="85"/>
  <c r="Q11" i="84"/>
  <c r="P86" i="79"/>
  <c r="F17" i="82" s="1"/>
  <c r="S21" i="85"/>
  <c r="T21" i="85"/>
  <c r="R21" i="85"/>
  <c r="Q21" i="85"/>
  <c r="P21" i="85"/>
  <c r="Q19" i="85"/>
  <c r="R19" i="85"/>
  <c r="T28" i="85"/>
  <c r="S28" i="85"/>
  <c r="R28" i="85"/>
  <c r="Q28" i="85"/>
  <c r="P28" i="85"/>
  <c r="Q12" i="85"/>
  <c r="P12" i="85"/>
  <c r="S12" i="85"/>
  <c r="R12" i="85"/>
  <c r="T12" i="85"/>
  <c r="Q22" i="85"/>
  <c r="P22" i="85"/>
  <c r="S22" i="85"/>
  <c r="T22" i="85"/>
  <c r="R22" i="85"/>
  <c r="P19" i="85"/>
  <c r="T27" i="84"/>
  <c r="S27" i="84"/>
  <c r="R27" i="84"/>
  <c r="Q27" i="84"/>
  <c r="P27" i="84"/>
  <c r="P31" i="84"/>
  <c r="T31" i="84"/>
  <c r="S31" i="84"/>
  <c r="R31" i="84"/>
  <c r="Q31" i="84"/>
  <c r="T31" i="85"/>
  <c r="S31" i="85"/>
  <c r="R31" i="85"/>
  <c r="Q31" i="85"/>
  <c r="P31" i="85"/>
  <c r="T29" i="84"/>
  <c r="S29" i="84"/>
  <c r="R29" i="84"/>
  <c r="Q29" i="84"/>
  <c r="P29" i="84"/>
  <c r="S19" i="85"/>
  <c r="Q26" i="84"/>
  <c r="T26" i="84"/>
  <c r="S26" i="84"/>
  <c r="R26" i="84"/>
  <c r="P26" i="84"/>
  <c r="T24" i="84"/>
  <c r="S24" i="84"/>
  <c r="R24" i="84"/>
  <c r="Q24" i="84"/>
  <c r="P24" i="84"/>
  <c r="T19" i="85"/>
  <c r="R30" i="84"/>
  <c r="Q30" i="84"/>
  <c r="P30" i="84"/>
  <c r="T30" i="84"/>
  <c r="S30" i="84"/>
  <c r="S15" i="84"/>
  <c r="R15" i="84"/>
  <c r="P35" i="84"/>
  <c r="P17" i="85"/>
  <c r="S17" i="85"/>
  <c r="T17" i="85"/>
  <c r="T26" i="85"/>
  <c r="S26" i="85"/>
  <c r="R26" i="85"/>
  <c r="Q26" i="85"/>
  <c r="P26" i="85"/>
  <c r="S25" i="84"/>
  <c r="R25" i="84"/>
  <c r="Q25" i="84"/>
  <c r="P25" i="84"/>
  <c r="T25" i="84"/>
  <c r="S14" i="85"/>
  <c r="T14" i="85"/>
  <c r="R14" i="85"/>
  <c r="T13" i="85"/>
  <c r="R13" i="85"/>
  <c r="Q13" i="85"/>
  <c r="P13" i="85"/>
  <c r="S13" i="85"/>
  <c r="S24" i="85"/>
  <c r="R24" i="85"/>
  <c r="Q24" i="85"/>
  <c r="P24" i="85"/>
  <c r="T24" i="85"/>
  <c r="S35" i="84"/>
  <c r="Q17" i="85"/>
  <c r="Q15" i="84"/>
  <c r="R25" i="85"/>
  <c r="Q25" i="85"/>
  <c r="P25" i="85"/>
  <c r="T25" i="85"/>
  <c r="S25" i="85"/>
  <c r="R18" i="84"/>
  <c r="S18" i="84"/>
  <c r="P18" i="84"/>
  <c r="Q18" i="84"/>
  <c r="S80" i="79"/>
  <c r="I11" i="82" s="1"/>
  <c r="I14" i="82" s="1"/>
  <c r="R64" i="79"/>
  <c r="R80" i="79" s="1"/>
  <c r="H11" i="82" s="1"/>
  <c r="H14" i="82" s="1"/>
  <c r="R70" i="79"/>
  <c r="Q64" i="79"/>
  <c r="Q70" i="79"/>
  <c r="S65" i="84"/>
  <c r="S81" i="84" s="1"/>
  <c r="I27" i="82" s="1"/>
  <c r="T65" i="84"/>
  <c r="S65" i="85"/>
  <c r="R65" i="84"/>
  <c r="R81" i="84" s="1"/>
  <c r="P65" i="85"/>
  <c r="R65" i="85"/>
  <c r="Q65" i="84"/>
  <c r="Q81" i="84" s="1"/>
  <c r="G27" i="82" s="1"/>
  <c r="P67" i="79"/>
  <c r="T67" i="79"/>
  <c r="Q81" i="85"/>
  <c r="G42" i="82" s="1"/>
  <c r="T81" i="85"/>
  <c r="J42" i="82" s="1"/>
  <c r="Q87" i="85"/>
  <c r="G48" i="82"/>
  <c r="I48" i="82"/>
  <c r="I33" i="82"/>
  <c r="U71" i="84"/>
  <c r="H33" i="82"/>
  <c r="K28" i="82"/>
  <c r="R87" i="84"/>
  <c r="U82" i="84"/>
  <c r="U85" i="79"/>
  <c r="F16" i="82"/>
  <c r="T83" i="79"/>
  <c r="J11" i="82"/>
  <c r="J14" i="82" s="1"/>
  <c r="F13" i="82"/>
  <c r="K13" i="82" s="1"/>
  <c r="U82" i="79"/>
  <c r="U81" i="79"/>
  <c r="G12" i="82"/>
  <c r="I15" i="82"/>
  <c r="U84" i="79"/>
  <c r="G16" i="82"/>
  <c r="U85" i="85"/>
  <c r="K46" i="82"/>
  <c r="U71" i="85"/>
  <c r="S87" i="84"/>
  <c r="G32" i="82"/>
  <c r="K32" i="82" s="1"/>
  <c r="U86" i="84"/>
  <c r="T87" i="84"/>
  <c r="J30" i="82"/>
  <c r="J33" i="82" s="1"/>
  <c r="Q87" i="84"/>
  <c r="G31" i="82"/>
  <c r="U85" i="84"/>
  <c r="T87" i="85"/>
  <c r="F45" i="82"/>
  <c r="P87" i="85"/>
  <c r="U84" i="85"/>
  <c r="J48" i="82"/>
  <c r="S87" i="85"/>
  <c r="R87" i="85"/>
  <c r="F30" i="82"/>
  <c r="U84" i="84"/>
  <c r="P87" i="84"/>
  <c r="H48" i="82"/>
  <c r="K47" i="82"/>
  <c r="U82" i="85"/>
  <c r="J43" i="82"/>
  <c r="K43" i="82" s="1"/>
  <c r="U86" i="85"/>
  <c r="F11" i="82" l="1"/>
  <c r="P73" i="79"/>
  <c r="P74" i="79"/>
  <c r="F18" i="82"/>
  <c r="T73" i="79"/>
  <c r="T74" i="79" s="1"/>
  <c r="S83" i="79"/>
  <c r="S87" i="79"/>
  <c r="S89" i="79" s="1"/>
  <c r="S90" i="79" s="1"/>
  <c r="U64" i="79"/>
  <c r="U67" i="79" s="1"/>
  <c r="T87" i="79"/>
  <c r="T89" i="79" s="1"/>
  <c r="T90" i="79" s="1"/>
  <c r="T64" i="85"/>
  <c r="T80" i="85" s="1"/>
  <c r="J41" i="82" s="1"/>
  <c r="J44" i="82" s="1"/>
  <c r="R64" i="84"/>
  <c r="S64" i="85"/>
  <c r="S80" i="85" s="1"/>
  <c r="R64" i="85"/>
  <c r="Q64" i="84"/>
  <c r="Q80" i="84" s="1"/>
  <c r="G26" i="82" s="1"/>
  <c r="G29" i="82" s="1"/>
  <c r="T64" i="84"/>
  <c r="S64" i="84"/>
  <c r="P64" i="84"/>
  <c r="P67" i="84" s="1"/>
  <c r="P73" i="84" s="1"/>
  <c r="P64" i="85"/>
  <c r="Q64" i="85"/>
  <c r="Q67" i="85" s="1"/>
  <c r="Q73" i="85" s="1"/>
  <c r="Q74" i="85" s="1"/>
  <c r="P87" i="79"/>
  <c r="P89" i="79" s="1"/>
  <c r="R67" i="79"/>
  <c r="Q80" i="79"/>
  <c r="G11" i="82" s="1"/>
  <c r="G14" i="82" s="1"/>
  <c r="Q86" i="79"/>
  <c r="U70" i="79"/>
  <c r="U71" i="79" s="1"/>
  <c r="Q71" i="79"/>
  <c r="R83" i="79"/>
  <c r="R86" i="79"/>
  <c r="R71" i="79"/>
  <c r="Q67" i="79"/>
  <c r="T81" i="84"/>
  <c r="J27" i="82" s="1"/>
  <c r="S81" i="85"/>
  <c r="I42" i="82" s="1"/>
  <c r="U65" i="85"/>
  <c r="U65" i="84"/>
  <c r="P81" i="85"/>
  <c r="F42" i="82" s="1"/>
  <c r="R81" i="85"/>
  <c r="H42" i="82" s="1"/>
  <c r="J20" i="82"/>
  <c r="K16" i="82"/>
  <c r="I18" i="82"/>
  <c r="I20" i="82" s="1"/>
  <c r="K15" i="82"/>
  <c r="F14" i="82"/>
  <c r="K12" i="82"/>
  <c r="U87" i="84"/>
  <c r="K31" i="82"/>
  <c r="G33" i="82"/>
  <c r="U87" i="85"/>
  <c r="F33" i="82"/>
  <c r="K30" i="82"/>
  <c r="H27" i="82"/>
  <c r="K45" i="82"/>
  <c r="K48" i="82" s="1"/>
  <c r="F48" i="82"/>
  <c r="P90" i="79" l="1"/>
  <c r="F20" i="82"/>
  <c r="P74" i="84"/>
  <c r="Q80" i="85"/>
  <c r="R80" i="85"/>
  <c r="H41" i="82" s="1"/>
  <c r="H44" i="82" s="1"/>
  <c r="H50" i="82" s="1"/>
  <c r="S67" i="85"/>
  <c r="S73" i="85" s="1"/>
  <c r="S74" i="85" s="1"/>
  <c r="K11" i="82"/>
  <c r="K14" i="82" s="1"/>
  <c r="R67" i="84"/>
  <c r="R73" i="84" s="1"/>
  <c r="R74" i="84" s="1"/>
  <c r="T67" i="84"/>
  <c r="T73" i="84" s="1"/>
  <c r="T74" i="84" s="1"/>
  <c r="R67" i="85"/>
  <c r="R73" i="85" s="1"/>
  <c r="R74" i="85" s="1"/>
  <c r="R80" i="84"/>
  <c r="H26" i="82" s="1"/>
  <c r="H29" i="82" s="1"/>
  <c r="T67" i="85"/>
  <c r="T73" i="85" s="1"/>
  <c r="T74" i="85" s="1"/>
  <c r="U64" i="85"/>
  <c r="U67" i="85" s="1"/>
  <c r="S80" i="84"/>
  <c r="I26" i="82" s="1"/>
  <c r="I29" i="82" s="1"/>
  <c r="T80" i="84"/>
  <c r="T83" i="84" s="1"/>
  <c r="T89" i="84" s="1"/>
  <c r="T90" i="84" s="1"/>
  <c r="T83" i="85"/>
  <c r="T89" i="85" s="1"/>
  <c r="T90" i="85" s="1"/>
  <c r="S67" i="84"/>
  <c r="S73" i="84" s="1"/>
  <c r="S74" i="84" s="1"/>
  <c r="K27" i="82"/>
  <c r="Q67" i="84"/>
  <c r="Q73" i="84" s="1"/>
  <c r="Q74" i="84" s="1"/>
  <c r="P80" i="84"/>
  <c r="F26" i="82" s="1"/>
  <c r="F29" i="82" s="1"/>
  <c r="P80" i="85"/>
  <c r="P83" i="85" s="1"/>
  <c r="P89" i="85" s="1"/>
  <c r="Q83" i="84"/>
  <c r="Q89" i="84" s="1"/>
  <c r="Q90" i="84" s="1"/>
  <c r="P67" i="85"/>
  <c r="P73" i="85" s="1"/>
  <c r="R73" i="79"/>
  <c r="R74" i="79" s="1"/>
  <c r="Q83" i="79"/>
  <c r="U80" i="79"/>
  <c r="U83" i="79" s="1"/>
  <c r="U64" i="84"/>
  <c r="U67" i="84" s="1"/>
  <c r="S83" i="85"/>
  <c r="S89" i="85" s="1"/>
  <c r="S90" i="85" s="1"/>
  <c r="Q73" i="79"/>
  <c r="G17" i="82"/>
  <c r="Q87" i="79"/>
  <c r="U86" i="79"/>
  <c r="U87" i="79" s="1"/>
  <c r="H17" i="82"/>
  <c r="H18" i="82" s="1"/>
  <c r="H20" i="82" s="1"/>
  <c r="R87" i="79"/>
  <c r="R89" i="79" s="1"/>
  <c r="R90" i="79" s="1"/>
  <c r="U81" i="84"/>
  <c r="I41" i="82"/>
  <c r="I44" i="82" s="1"/>
  <c r="I50" i="82" s="1"/>
  <c r="K42" i="82"/>
  <c r="Q83" i="85"/>
  <c r="Q89" i="85" s="1"/>
  <c r="Q90" i="85" s="1"/>
  <c r="G41" i="82"/>
  <c r="G44" i="82" s="1"/>
  <c r="G50" i="82" s="1"/>
  <c r="G35" i="82"/>
  <c r="U81" i="85"/>
  <c r="K33" i="82"/>
  <c r="J50" i="82"/>
  <c r="D76" i="79" l="1"/>
  <c r="D76" i="84"/>
  <c r="P74" i="85"/>
  <c r="D76" i="85"/>
  <c r="P90" i="85"/>
  <c r="D91" i="85"/>
  <c r="F35" i="82"/>
  <c r="H35" i="82"/>
  <c r="I35" i="82"/>
  <c r="R83" i="85"/>
  <c r="R89" i="85" s="1"/>
  <c r="R90" i="85" s="1"/>
  <c r="R83" i="84"/>
  <c r="R89" i="84" s="1"/>
  <c r="R90" i="84" s="1"/>
  <c r="S83" i="84"/>
  <c r="S89" i="84" s="1"/>
  <c r="S90" i="84" s="1"/>
  <c r="U73" i="85"/>
  <c r="U74" i="85" s="1"/>
  <c r="V74" i="85" s="1"/>
  <c r="U73" i="84"/>
  <c r="J26" i="82"/>
  <c r="J29" i="82" s="1"/>
  <c r="U80" i="85"/>
  <c r="U83" i="85" s="1"/>
  <c r="F41" i="82"/>
  <c r="F44" i="82" s="1"/>
  <c r="F50" i="82" s="1"/>
  <c r="F52" i="82" s="1"/>
  <c r="U80" i="84"/>
  <c r="U83" i="84" s="1"/>
  <c r="P83" i="84"/>
  <c r="P89" i="84" s="1"/>
  <c r="Q89" i="79"/>
  <c r="K17" i="82"/>
  <c r="K18" i="82" s="1"/>
  <c r="K20" i="82" s="1"/>
  <c r="G18" i="82"/>
  <c r="G20" i="82" s="1"/>
  <c r="F22" i="82" s="1"/>
  <c r="Q74" i="79"/>
  <c r="U73" i="79"/>
  <c r="Q90" i="79" l="1"/>
  <c r="D91" i="79"/>
  <c r="P90" i="84"/>
  <c r="D91" i="84"/>
  <c r="U89" i="85"/>
  <c r="U90" i="85" s="1"/>
  <c r="V90" i="85" s="1"/>
  <c r="J35" i="82"/>
  <c r="F37" i="82" s="1"/>
  <c r="U89" i="84"/>
  <c r="K26" i="82"/>
  <c r="K29" i="82" s="1"/>
  <c r="K35" i="82" s="1"/>
  <c r="U74" i="84"/>
  <c r="V74" i="84" s="1"/>
  <c r="U89" i="79"/>
  <c r="K41" i="82"/>
  <c r="K44" i="82" s="1"/>
  <c r="K50" i="82" s="1"/>
  <c r="U74" i="79"/>
  <c r="V74" i="79" s="1"/>
  <c r="U90" i="84" l="1"/>
  <c r="V90" i="84" s="1"/>
  <c r="U90" i="79"/>
  <c r="V90" i="79" s="1"/>
  <c r="L20" i="82"/>
  <c r="L50" i="82"/>
  <c r="L35" i="8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<sst xmlns="http://schemas.openxmlformats.org/spreadsheetml/2006/main" count="534" uniqueCount="103">
  <si>
    <t>Total</t>
  </si>
  <si>
    <t>Powercor</t>
  </si>
  <si>
    <t>Preferred option:</t>
  </si>
  <si>
    <t>Option 3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</si>
  <si>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</si>
  <si>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</si>
  <si>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</si>
  <si>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</si>
  <si>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</si>
  <si>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</si>
  <si>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</si>
  <si>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</si>
  <si>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</si>
  <si>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</si>
  <si>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</si>
  <si>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</si>
  <si>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</si>
  <si>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</si>
  <si>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</si>
  <si>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</si>
  <si>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</si>
  <si>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</si>
  <si>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</si>
  <si>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</si>
  <si>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</si>
  <si>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</si>
  <si>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</si>
  <si>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</si>
  <si>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</si>
  <si>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</si>
  <si>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</si>
  <si>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</si>
  <si>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</si>
  <si>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</si>
  <si>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</si>
  <si>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</si>
  <si>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</si>
  <si>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</si>
  <si>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</si>
  <si>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</si>
  <si>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</si>
  <si>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>Units</t>
  </si>
  <si>
    <t>Quantity of units</t>
  </si>
  <si>
    <t>Cost ($)</t>
  </si>
  <si>
    <t>Opex</t>
  </si>
  <si>
    <t>unit rate</t>
  </si>
  <si>
    <t>webMethods API - EME Opex - VPN - TBC with vendor</t>
  </si>
  <si>
    <t>IEE  &amp; FCS Additional support opex - TBC with vendor</t>
  </si>
  <si>
    <t>Summary</t>
  </si>
  <si>
    <t>Capex</t>
  </si>
  <si>
    <t>Capex &amp; Opex</t>
  </si>
  <si>
    <t>Check</t>
  </si>
  <si>
    <t>Summary for Regulation - for Business Case</t>
  </si>
  <si>
    <t>Upgrade webMethods API Gateway - Infrastructure</t>
  </si>
  <si>
    <t>Upgrade webMethods API Gateway - Project Management</t>
  </si>
  <si>
    <t>Upgrade webMethods API Gateway - Analysis &amp; Design</t>
  </si>
  <si>
    <t>Upgrade webMethods API Gateway - Build</t>
  </si>
  <si>
    <t>Upgrade webMethods API Gateway - Test</t>
  </si>
  <si>
    <t>Upgrade webMethods API Gateway - Release</t>
  </si>
  <si>
    <t>Upgrade Fusion - Infrastructure</t>
  </si>
  <si>
    <t>Upgrade Fusion - Project Management</t>
  </si>
  <si>
    <t>Upgrade Fusion - Analysis &amp; Design</t>
  </si>
  <si>
    <t>Upgrade Fusion - Build</t>
  </si>
  <si>
    <t>Upgrade Fusion - Test</t>
  </si>
  <si>
    <t>Upgrade Fusion - Release</t>
  </si>
  <si>
    <t>IEE &amp; FCS  technical design and development</t>
  </si>
  <si>
    <t>IEE &amp; FCS internal integration</t>
  </si>
  <si>
    <t>IEE &amp; FCS internal market systems</t>
  </si>
  <si>
    <t>IEE &amp; FCS Integrated Systems</t>
  </si>
  <si>
    <t>IEE &amp; FCS testing</t>
  </si>
  <si>
    <t xml:space="preserve">IEE &amp; FCS release management </t>
  </si>
  <si>
    <t>IEE &amp; FCS environment management</t>
  </si>
  <si>
    <t>IEE &amp; FCS project management</t>
  </si>
  <si>
    <t>IEE &amp; FCS business analysis</t>
  </si>
  <si>
    <t>IEE &amp; FCS architecture</t>
  </si>
  <si>
    <t>Currency maintenance MTS</t>
  </si>
  <si>
    <t xml:space="preserve">Currency maintenance Network Billing </t>
  </si>
  <si>
    <t>MTS additional support opex - TBC with vendor</t>
  </si>
  <si>
    <t>CIS OV  -  TBC with vendor</t>
  </si>
  <si>
    <t>Lagged conversion to Jun 26</t>
  </si>
  <si>
    <t>Regulatory proposal 2026-31</t>
  </si>
  <si>
    <t>Model number:</t>
  </si>
  <si>
    <t>June 2023</t>
  </si>
  <si>
    <t>June 2024</t>
  </si>
  <si>
    <t>June 2025</t>
  </si>
  <si>
    <t>June 2026</t>
  </si>
  <si>
    <t>Totex</t>
  </si>
  <si>
    <t>Market systems</t>
  </si>
  <si>
    <t>$ June 2018 (2021-26 reset)</t>
  </si>
  <si>
    <t>$ June 2023</t>
  </si>
  <si>
    <t>$ June 2024</t>
  </si>
  <si>
    <t>Oracle Fusion (USB)  - Extended Maintenance Opex - TBC with vendor</t>
  </si>
  <si>
    <t>CP &amp; PAL</t>
  </si>
  <si>
    <t>Opex (excl real price escalation)</t>
  </si>
  <si>
    <t xml:space="preserve">Opex (incl real price escalation) * </t>
  </si>
  <si>
    <t>($ June 2026)</t>
  </si>
  <si>
    <t>* refer to CP MOD 8.03 - Opex step changes - Jan 2025 - Public for the Real price escalation</t>
  </si>
  <si>
    <t>Opex (incl real price escalation) **</t>
  </si>
  <si>
    <t>** refer to CP MOD 8.03 - Opex step changes - Jan 2025</t>
  </si>
  <si>
    <t xml:space="preserve">Escalation: </t>
  </si>
  <si>
    <t xml:space="preserve">Do not maintain currency </t>
  </si>
  <si>
    <t>Maintain currency</t>
  </si>
  <si>
    <t>Maintain currency with more frequent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</si>
</sst>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_-* #,##0.000000_-;\-* #,##0.000000_-;_-* &quot;-&quot;??_-;_-@_-"/>
    <numFmt numFmtId="174" formatCode="dd\ mmmm\ yyyy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172" fontId="41" fillId="0" borderId="0">
      <alignment horizontal="center" vertical="center"/>
    </xf>
    <xf numFmtId="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0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6" fillId="0" borderId="0" xfId="13" applyFont="1" applyAlignment="1">
      <alignment horizontal="left" vertical="center"/>
    </xf>
    <xf numFmtId="1" fontId="27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8" fillId="6" borderId="0" xfId="0" applyFont="1" applyFill="1"/>
    <xf numFmtId="167" fontId="29" fillId="6" borderId="0" xfId="0" applyNumberFormat="1" applyFont="1" applyFill="1"/>
    <xf numFmtId="0" fontId="33" fillId="5" borderId="0" xfId="14" applyFont="1" applyFill="1"/>
    <xf numFmtId="0" fontId="34" fillId="0" borderId="0" xfId="0" applyFont="1"/>
    <xf numFmtId="0" fontId="35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6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1" fontId="32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6" fillId="0" borderId="2" xfId="0" applyFont="1" applyBorder="1"/>
    <xf numFmtId="0" fontId="12" fillId="0" borderId="2" xfId="0" applyFont="1" applyBorder="1" applyAlignment="1">
      <alignment horizontal="center"/>
    </xf>
    <xf numFmtId="0" fontId="36" fillId="0" borderId="0" xfId="0" applyFont="1"/>
    <xf numFmtId="0" fontId="13" fillId="0" borderId="0" xfId="0" applyFont="1" applyAlignment="1">
      <alignment horizontal="center"/>
    </xf>
    <xf numFmtId="10" fontId="30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7" fillId="0" borderId="3" xfId="0" applyFont="1" applyBorder="1"/>
    <xf numFmtId="10" fontId="30" fillId="2" borderId="1" xfId="26" applyNumberFormat="1" applyFont="1" applyFill="1" applyBorder="1" applyProtection="1">
      <protection locked="0"/>
    </xf>
    <xf numFmtId="10" fontId="30" fillId="2" borderId="1" xfId="26" applyNumberFormat="1" applyFont="1" applyFill="1" applyBorder="1" applyAlignment="1" applyProtection="1">
      <alignment horizontal="right"/>
      <protection locked="0"/>
    </xf>
    <xf numFmtId="1" fontId="30" fillId="2" borderId="1" xfId="26" applyNumberFormat="1" applyFont="1" applyFill="1" applyBorder="1" applyAlignment="1" applyProtection="1">
      <alignment horizontal="right"/>
      <protection locked="0"/>
    </xf>
    <xf numFmtId="0" fontId="32" fillId="2" borderId="7" xfId="0" applyFont="1" applyFill="1" applyBorder="1" applyAlignment="1" applyProtection="1">
      <alignment vertical="center"/>
      <protection locked="0"/>
    </xf>
    <xf numFmtId="0" fontId="32" fillId="2" borderId="6" xfId="0" applyFont="1" applyFill="1" applyBorder="1" applyAlignment="1" applyProtection="1">
      <alignment vertical="center"/>
      <protection locked="0"/>
    </xf>
    <xf numFmtId="0" fontId="32" fillId="2" borderId="5" xfId="0" applyFont="1" applyFill="1" applyBorder="1" applyAlignment="1" applyProtection="1">
      <alignment vertical="center"/>
      <protection locked="0"/>
    </xf>
    <xf numFmtId="168" fontId="32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9" fillId="0" borderId="0" xfId="0" applyFont="1" applyAlignment="1">
      <alignment horizontal="left"/>
    </xf>
    <xf numFmtId="10" fontId="30" fillId="2" borderId="13" xfId="26" applyNumberFormat="1" applyFont="1" applyFill="1" applyBorder="1" applyProtection="1">
      <protection locked="0"/>
    </xf>
    <xf numFmtId="10" fontId="30" fillId="2" borderId="2" xfId="26" applyNumberFormat="1" applyFont="1" applyFill="1" applyBorder="1" applyProtection="1">
      <protection locked="0"/>
    </xf>
    <xf numFmtId="10" fontId="30" fillId="2" borderId="12" xfId="26" applyNumberFormat="1" applyFont="1" applyFill="1" applyBorder="1" applyProtection="1">
      <protection locked="0"/>
    </xf>
    <xf numFmtId="10" fontId="30" fillId="2" borderId="6" xfId="26" applyNumberFormat="1" applyFont="1" applyFill="1" applyBorder="1" applyProtection="1">
      <protection locked="0"/>
    </xf>
    <xf numFmtId="10" fontId="30" fillId="2" borderId="5" xfId="26" applyNumberFormat="1" applyFont="1" applyFill="1" applyBorder="1" applyProtection="1">
      <protection locked="0"/>
    </xf>
    <xf numFmtId="10" fontId="30" fillId="2" borderId="7" xfId="26" applyNumberFormat="1" applyFont="1" applyFill="1" applyBorder="1" applyProtection="1">
      <protection locked="0"/>
    </xf>
    <xf numFmtId="10" fontId="30" fillId="0" borderId="0" xfId="26" applyNumberFormat="1" applyFont="1" applyFill="1" applyBorder="1" applyProtection="1">
      <protection locked="0"/>
    </xf>
    <xf numFmtId="9" fontId="30" fillId="2" borderId="1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0" fontId="13" fillId="0" borderId="1" xfId="0" applyFont="1" applyBorder="1"/>
    <xf numFmtId="7" fontId="27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6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2" fillId="0" borderId="0" xfId="0" applyFont="1"/>
    <xf numFmtId="0" fontId="35" fillId="0" borderId="5" xfId="0" applyFont="1" applyBorder="1"/>
    <xf numFmtId="0" fontId="13" fillId="4" borderId="2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43" fillId="0" borderId="5" xfId="0" applyFont="1" applyBorder="1"/>
    <xf numFmtId="0" fontId="38" fillId="0" borderId="2" xfId="0" applyFont="1" applyBorder="1"/>
    <xf numFmtId="0" fontId="44" fillId="0" borderId="2" xfId="0" applyFont="1" applyBorder="1"/>
    <xf numFmtId="10" fontId="27" fillId="0" borderId="0" xfId="26" applyNumberFormat="1" applyFont="1" applyFill="1"/>
    <xf numFmtId="0" fontId="44" fillId="0" borderId="0" xfId="0" applyFont="1"/>
    <xf numFmtId="0" fontId="27" fillId="0" borderId="2" xfId="0" applyFont="1" applyBorder="1" applyAlignment="1">
      <alignment horizontal="left"/>
    </xf>
    <xf numFmtId="0" fontId="27" fillId="0" borderId="2" xfId="0" applyFont="1" applyBorder="1" applyAlignment="1">
      <alignment horizontal="right"/>
    </xf>
    <xf numFmtId="0" fontId="27" fillId="0" borderId="0" xfId="0" applyFont="1" applyAlignment="1">
      <alignment horizontal="right"/>
    </xf>
    <xf numFmtId="169" fontId="27" fillId="0" borderId="2" xfId="0" applyNumberFormat="1" applyFont="1" applyBorder="1" applyAlignment="1">
      <alignment horizontal="right"/>
    </xf>
    <xf numFmtId="173" fontId="12" fillId="0" borderId="1" xfId="27" applyNumberFormat="1" applyFont="1" applyBorder="1"/>
    <xf numFmtId="0" fontId="1" fillId="9" borderId="0" xfId="33" applyFill="1"/>
    <xf numFmtId="0" fontId="1" fillId="0" borderId="0" xfId="33"/>
    <xf numFmtId="0" fontId="11" fillId="0" borderId="0" xfId="34"/>
    <xf numFmtId="0" fontId="45" fillId="0" borderId="0" xfId="33" applyFont="1"/>
    <xf numFmtId="0" fontId="46" fillId="0" borderId="0" xfId="33" applyFont="1"/>
    <xf numFmtId="0" fontId="47" fillId="0" borderId="0" xfId="33" applyFont="1"/>
    <xf numFmtId="0" fontId="48" fillId="0" borderId="0" xfId="33" applyFont="1"/>
    <xf numFmtId="0" fontId="49" fillId="0" borderId="0" xfId="33" applyFont="1"/>
    <xf numFmtId="2" fontId="49" fillId="0" borderId="0" xfId="33" applyNumberFormat="1" applyFont="1" applyAlignment="1">
      <alignment horizontal="left"/>
    </xf>
    <xf numFmtId="0" fontId="50" fillId="0" borderId="0" xfId="33" applyFont="1"/>
    <xf numFmtId="174" fontId="51" fillId="0" borderId="0" xfId="33" applyNumberFormat="1" applyFont="1" applyAlignment="1">
      <alignment horizontal="left"/>
    </xf>
    <xf numFmtId="0" fontId="52" fillId="0" borderId="0" xfId="33" applyFont="1"/>
    <xf numFmtId="49" fontId="23" fillId="0" borderId="0" xfId="0" applyNumberFormat="1" applyFont="1" applyAlignment="1">
      <alignment horizontal="right"/>
    </xf>
    <xf numFmtId="0" fontId="53" fillId="0" borderId="5" xfId="0" applyFont="1" applyBorder="1"/>
    <xf numFmtId="10" fontId="30" fillId="2" borderId="1" xfId="26" applyNumberFormat="1" applyFont="1" applyFill="1" applyBorder="1" applyAlignment="1">
      <alignment horizontal="right"/>
    </xf>
    <xf numFmtId="8" fontId="32" fillId="2" borderId="1" xfId="0" applyNumberFormat="1" applyFont="1" applyFill="1" applyBorder="1" applyAlignment="1">
      <alignment horizontal="right"/>
    </xf>
    <xf numFmtId="49" fontId="30" fillId="2" borderId="1" xfId="26" applyNumberFormat="1" applyFont="1" applyFill="1" applyBorder="1" applyAlignment="1">
      <alignment horizontal="right"/>
    </xf>
    <xf numFmtId="7" fontId="30" fillId="2" borderId="1" xfId="26" applyNumberFormat="1" applyFont="1" applyFill="1" applyBorder="1" applyAlignment="1">
      <alignment horizontal="right"/>
    </xf>
    <xf numFmtId="6" fontId="53" fillId="0" borderId="5" xfId="0" applyNumberFormat="1" applyFont="1" applyBorder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D4EAF43A-02A6-41AA-9FB5-51476A928D54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37E726BA-DBA2-4E3A-AB0B-592623B14999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3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3FE45978-C8B5-4DD1-B59C-9DA78823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3054-78B0-4711-99C6-CA413503FE3A}">
  <dimension ref="A1:K43"/>
  <sheetViews>
    <sheetView showGridLines="0" workbookViewId="0">
      <selection activeCell="C14" sqref="C14"/>
    </sheetView>
  </sheetViews>
  <sheetFormatPr defaultColWidth="0" defaultRowHeight="12.95" customHeight="1" zeroHeight="1" x14ac:dyDescent="0.2"/>
  <cols>
    <col min="1" max="1" width="12.85546875" style="123" customWidth="1"/>
    <col min="2" max="2" width="2.5703125" style="123" customWidth="1"/>
    <col min="3" max="3" width="16.85546875" style="123" customWidth="1"/>
    <col min="4" max="11" width="10.5703125" style="123" customWidth="1"/>
    <col min="12" max="16384" width="10.5703125" style="123" hidden="1"/>
  </cols>
  <sheetData>
    <row r="1" spans="1:11" ht="15" x14ac:dyDescent="0.2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23.25" x14ac:dyDescent="0.35">
      <c r="A2" s="121"/>
      <c r="B2" s="122"/>
      <c r="C2" s="124" t="s">
        <v>31</v>
      </c>
      <c r="D2" s="125"/>
      <c r="E2" s="125"/>
      <c r="F2" s="122"/>
      <c r="G2" s="122"/>
      <c r="H2" s="122"/>
      <c r="I2" s="122"/>
      <c r="J2" s="122"/>
      <c r="K2" s="122"/>
    </row>
    <row r="3" spans="1:11" ht="15.75" x14ac:dyDescent="0.25">
      <c r="A3" s="121"/>
      <c r="B3" s="122"/>
      <c r="C3" s="126" t="s">
        <v>80</v>
      </c>
      <c r="D3" s="125"/>
      <c r="E3" s="125"/>
      <c r="F3" s="122"/>
      <c r="G3" s="122"/>
      <c r="H3" s="122"/>
      <c r="I3" s="122"/>
      <c r="J3" s="122"/>
      <c r="K3" s="122"/>
    </row>
    <row r="4" spans="1:11" ht="15" x14ac:dyDescent="0.25">
      <c r="A4" s="121"/>
      <c r="B4" s="122"/>
      <c r="C4" s="122"/>
      <c r="D4" s="125"/>
      <c r="E4" s="125"/>
      <c r="F4" s="122"/>
      <c r="G4" s="122"/>
      <c r="H4" s="122"/>
      <c r="I4" s="122"/>
      <c r="J4" s="122"/>
      <c r="K4" s="122"/>
    </row>
    <row r="5" spans="1:11" ht="15" x14ac:dyDescent="0.25">
      <c r="A5" s="121"/>
      <c r="B5" s="122"/>
      <c r="C5" s="127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Market systems cost</v>
      </c>
      <c r="D5" s="122"/>
      <c r="E5" s="122"/>
      <c r="F5" s="122"/>
      <c r="G5" s="122"/>
      <c r="H5" s="122"/>
      <c r="I5" s="122"/>
      <c r="J5" s="122"/>
      <c r="K5" s="122"/>
    </row>
    <row r="6" spans="1:11" ht="15" x14ac:dyDescent="0.25">
      <c r="A6" s="121"/>
      <c r="B6" s="122"/>
      <c r="C6" s="128" t="s">
        <v>81</v>
      </c>
      <c r="D6" s="129" t="str" cm="1">
        <f t="array" aca="1" ref="D6" ca="1">LEFT(_xlfn.TEXTAFTER(CELL("filename")," MOD "),FIND(" - ",_xlfn.TEXTAFTER(CELL("filename")," MOD "),1)-1)</f>
        <v>6.11</v>
      </c>
      <c r="E6" s="128"/>
      <c r="F6" s="122"/>
      <c r="G6" s="122"/>
      <c r="H6" s="122"/>
      <c r="I6" s="122"/>
      <c r="J6" s="122"/>
      <c r="K6" s="122"/>
    </row>
    <row r="7" spans="1:11" ht="15" x14ac:dyDescent="0.25">
      <c r="A7" s="121"/>
      <c r="B7" s="122"/>
      <c r="C7" s="122"/>
      <c r="D7" s="122"/>
      <c r="E7" s="122"/>
      <c r="F7" s="130"/>
      <c r="G7" s="130"/>
      <c r="H7" s="130"/>
      <c r="I7" s="122"/>
      <c r="J7" s="130"/>
      <c r="K7" s="130"/>
    </row>
    <row r="8" spans="1:11" ht="15" x14ac:dyDescent="0.25">
      <c r="A8" s="121"/>
      <c r="B8" s="122"/>
      <c r="C8" s="131">
        <v>45688</v>
      </c>
      <c r="D8" s="122"/>
      <c r="E8" s="122"/>
      <c r="F8" s="130"/>
      <c r="G8" s="130"/>
      <c r="H8" s="130"/>
      <c r="I8" s="122"/>
      <c r="J8" s="130"/>
      <c r="K8" s="130"/>
    </row>
    <row r="9" spans="1:11" ht="15" x14ac:dyDescent="0.25">
      <c r="A9" s="121"/>
      <c r="B9" s="122"/>
      <c r="C9" s="132"/>
      <c r="D9" s="132"/>
      <c r="E9" s="122"/>
      <c r="F9" s="130"/>
      <c r="G9" s="130"/>
      <c r="H9" s="130"/>
      <c r="I9" s="130"/>
      <c r="J9" s="130"/>
      <c r="K9" s="130"/>
    </row>
    <row r="10" spans="1:11" ht="15" x14ac:dyDescent="0.25">
      <c r="A10" s="121"/>
      <c r="B10" s="122"/>
      <c r="C10" s="132"/>
      <c r="D10" s="132"/>
      <c r="E10" s="122"/>
      <c r="F10" s="130"/>
      <c r="G10" s="130"/>
      <c r="H10" s="130"/>
      <c r="I10" s="130"/>
      <c r="J10" s="130"/>
      <c r="K10" s="130"/>
    </row>
    <row r="11" spans="1:11" ht="15" x14ac:dyDescent="0.25">
      <c r="A11" s="121"/>
      <c r="B11" s="122"/>
      <c r="C11" s="132"/>
      <c r="D11" s="132"/>
      <c r="E11" s="122"/>
      <c r="F11" s="130"/>
      <c r="G11" s="130"/>
      <c r="H11" s="130"/>
      <c r="I11" s="130"/>
      <c r="J11" s="130"/>
      <c r="K11" s="130"/>
    </row>
    <row r="12" spans="1:11" ht="15" x14ac:dyDescent="0.25">
      <c r="A12" s="121"/>
      <c r="B12" s="122"/>
      <c r="C12" s="132"/>
      <c r="D12" s="132"/>
      <c r="E12" s="122"/>
      <c r="F12" s="130"/>
      <c r="G12" s="130"/>
      <c r="H12" s="130"/>
      <c r="I12" s="130"/>
      <c r="J12" s="130"/>
      <c r="K12" s="130"/>
    </row>
    <row r="13" spans="1:11" ht="15" x14ac:dyDescent="0.25">
      <c r="A13" s="121"/>
      <c r="B13" s="122"/>
      <c r="C13" s="132"/>
      <c r="D13" s="132"/>
      <c r="E13" s="122"/>
      <c r="F13" s="130"/>
      <c r="G13" s="130"/>
      <c r="H13" s="130"/>
      <c r="I13" s="130"/>
      <c r="J13" s="130"/>
      <c r="K13" s="130"/>
    </row>
    <row r="14" spans="1:11" ht="15" x14ac:dyDescent="0.25">
      <c r="A14" s="121"/>
      <c r="B14" s="122"/>
      <c r="C14" s="130"/>
      <c r="D14" s="130"/>
      <c r="E14" s="130"/>
      <c r="F14" s="130"/>
      <c r="G14" s="130"/>
      <c r="H14" s="130"/>
      <c r="I14" s="130"/>
      <c r="J14" s="130"/>
      <c r="K14" s="130"/>
    </row>
    <row r="15" spans="1:11" ht="15" x14ac:dyDescent="0.25">
      <c r="A15" s="121"/>
      <c r="B15" s="122"/>
      <c r="C15" s="127"/>
      <c r="D15" s="130"/>
      <c r="E15" s="130"/>
      <c r="F15" s="130"/>
      <c r="G15" s="130"/>
      <c r="H15" s="130"/>
      <c r="I15" s="130"/>
      <c r="J15" s="130"/>
      <c r="K15" s="130"/>
    </row>
    <row r="16" spans="1:11" ht="15" x14ac:dyDescent="0.25">
      <c r="A16" s="121"/>
      <c r="B16" s="122"/>
      <c r="C16" s="127"/>
      <c r="D16" s="130"/>
      <c r="E16" s="130"/>
      <c r="F16" s="130"/>
      <c r="G16" s="130"/>
      <c r="H16" s="130"/>
      <c r="I16" s="130"/>
      <c r="J16" s="130"/>
      <c r="K16" s="130"/>
    </row>
    <row r="17" spans="1:11" ht="15" x14ac:dyDescent="0.25">
      <c r="A17" s="121"/>
      <c r="B17" s="122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1" ht="15" x14ac:dyDescent="0.25">
      <c r="A18" s="121"/>
      <c r="B18" s="122"/>
      <c r="C18" s="130"/>
      <c r="D18" s="130"/>
      <c r="E18" s="130"/>
      <c r="F18" s="130"/>
      <c r="G18" s="130"/>
      <c r="H18" s="130"/>
      <c r="I18" s="130"/>
      <c r="J18" s="130"/>
      <c r="K18" s="130"/>
    </row>
    <row r="19" spans="1:11" ht="15" x14ac:dyDescent="0.25">
      <c r="A19" s="121"/>
      <c r="B19" s="122"/>
      <c r="C19" s="130"/>
      <c r="D19" s="130"/>
      <c r="E19" s="130"/>
      <c r="F19" s="130"/>
      <c r="H19" s="130"/>
      <c r="I19" s="130"/>
      <c r="J19" s="130"/>
      <c r="K19" s="130"/>
    </row>
    <row r="20" spans="1:11" ht="15" x14ac:dyDescent="0.25">
      <c r="A20" s="121"/>
      <c r="B20" s="122"/>
      <c r="C20" s="130"/>
      <c r="D20" s="130"/>
      <c r="E20" s="130"/>
      <c r="F20" s="130"/>
      <c r="G20" s="130"/>
      <c r="H20" s="130"/>
      <c r="I20" s="130"/>
      <c r="J20" s="130"/>
      <c r="K20" s="130"/>
    </row>
    <row r="21" spans="1:11" ht="15" x14ac:dyDescent="0.25">
      <c r="A21" s="121"/>
      <c r="B21" s="122"/>
      <c r="C21" s="130"/>
      <c r="D21" s="130"/>
      <c r="E21" s="130"/>
      <c r="F21" s="130"/>
      <c r="G21" s="130"/>
      <c r="H21" s="130"/>
      <c r="I21" s="130"/>
      <c r="J21" s="130"/>
      <c r="K21" s="130"/>
    </row>
    <row r="22" spans="1:11" ht="15" x14ac:dyDescent="0.25">
      <c r="A22" s="121"/>
      <c r="B22" s="122"/>
      <c r="C22" s="130"/>
      <c r="D22" s="130"/>
      <c r="E22" s="130"/>
      <c r="F22" s="130"/>
      <c r="G22" s="130"/>
      <c r="H22" s="130"/>
      <c r="I22" s="130"/>
      <c r="J22" s="130"/>
      <c r="K22" s="130"/>
    </row>
    <row r="23" spans="1:11" ht="15" x14ac:dyDescent="0.25">
      <c r="A23" s="121"/>
      <c r="B23" s="122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1:11" ht="15" x14ac:dyDescent="0.25">
      <c r="A24" s="121"/>
      <c r="B24" s="122"/>
      <c r="C24" s="130"/>
      <c r="D24" s="130"/>
      <c r="E24" s="130"/>
      <c r="F24" s="130"/>
      <c r="G24" s="130"/>
      <c r="H24" s="130"/>
      <c r="I24" s="130"/>
      <c r="J24" s="130"/>
      <c r="K24" s="130"/>
    </row>
    <row r="25" spans="1:11" ht="15" x14ac:dyDescent="0.25">
      <c r="A25" s="121"/>
      <c r="B25" s="122"/>
      <c r="C25" s="130"/>
      <c r="D25" s="130"/>
      <c r="E25" s="130"/>
      <c r="F25" s="130"/>
      <c r="G25" s="130"/>
      <c r="H25" s="130"/>
      <c r="I25" s="130"/>
      <c r="J25" s="130"/>
      <c r="K25" s="130"/>
    </row>
    <row r="26" spans="1:11" ht="15" x14ac:dyDescent="0.25">
      <c r="A26" s="121"/>
      <c r="B26" s="122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 ht="15" x14ac:dyDescent="0.25">
      <c r="A27" s="121"/>
      <c r="B27" s="122"/>
      <c r="C27" s="130"/>
      <c r="D27" s="130"/>
      <c r="E27" s="130"/>
      <c r="F27" s="130"/>
      <c r="G27" s="130"/>
      <c r="H27" s="130"/>
      <c r="I27" s="130"/>
      <c r="J27" s="130"/>
      <c r="K27" s="130"/>
    </row>
    <row r="28" spans="1:11" ht="15" x14ac:dyDescent="0.25">
      <c r="A28" s="121"/>
      <c r="B28" s="122"/>
      <c r="C28" s="130"/>
      <c r="D28" s="130"/>
      <c r="E28" s="130"/>
      <c r="F28" s="130"/>
      <c r="G28" s="130"/>
      <c r="H28" s="130"/>
      <c r="I28" s="130"/>
      <c r="J28" s="130"/>
      <c r="K28" s="130"/>
    </row>
    <row r="29" spans="1:11" ht="15" x14ac:dyDescent="0.25">
      <c r="A29" s="121"/>
      <c r="B29" s="122"/>
      <c r="C29" s="130"/>
      <c r="D29" s="130"/>
      <c r="E29" s="130"/>
      <c r="F29" s="130"/>
      <c r="G29" s="130"/>
      <c r="H29" s="130"/>
      <c r="I29" s="130"/>
      <c r="J29" s="130"/>
      <c r="K29" s="130"/>
    </row>
    <row r="30" spans="1:11" ht="15" x14ac:dyDescent="0.25">
      <c r="A30" s="121"/>
      <c r="B30" s="122"/>
      <c r="C30" s="130"/>
      <c r="D30" s="122"/>
      <c r="E30" s="130"/>
      <c r="F30" s="130"/>
      <c r="G30" s="130"/>
      <c r="H30" s="130"/>
      <c r="I30" s="130"/>
      <c r="J30" s="130"/>
      <c r="K30" s="130"/>
    </row>
    <row r="31" spans="1:11" ht="15" x14ac:dyDescent="0.25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1" ht="15" x14ac:dyDescent="0.25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spans="1:11" ht="15" x14ac:dyDescent="0.25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spans="1:11" ht="15" x14ac:dyDescent="0.25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11" ht="15" x14ac:dyDescent="0.25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spans="1:11" ht="15" x14ac:dyDescent="0.2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spans="1:11" ht="15" x14ac:dyDescent="0.25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1:11" ht="15" x14ac:dyDescent="0.25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1:11" ht="15" x14ac:dyDescent="0.25">
      <c r="A39" s="121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1:11" ht="15" x14ac:dyDescent="0.25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1:11" ht="15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1:11" ht="15" x14ac:dyDescent="0.25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1:11" ht="15" x14ac:dyDescent="0.25">
      <c r="A43" s="121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</sheetData>
  <conditionalFormatting sqref="C5">
    <cfRule type="expression" dxfId="22" priority="1">
      <formula>LEFT(C5,1)="&lt;"</formula>
    </cfRule>
  </conditionalFormatting>
  <conditionalFormatting sqref="D6">
    <cfRule type="expression" dxfId="21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D1581-58F0-43DE-B872-8EC4C5323A48}">
  <dimension ref="A1:P40"/>
  <sheetViews>
    <sheetView showGridLines="0" workbookViewId="0">
      <selection activeCell="N28" sqref="N28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63" t="str">
        <f>Project_name</f>
        <v>Market systems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31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5" t="str">
        <f>'Project summary'!D6</f>
        <v>Option 2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/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P10"/>
    </row>
    <row r="11" spans="1:16" ht="12.75" customHeight="1" x14ac:dyDescent="0.25">
      <c r="C11" s="1" t="s">
        <v>49</v>
      </c>
      <c r="D11" s="107"/>
      <c r="E11" s="2"/>
      <c r="F11" s="6">
        <f>'Project summary'!F14*Assumptions!$B$19</f>
        <v>0</v>
      </c>
      <c r="G11" s="6">
        <f>'Project summary'!G14*Assumptions!$B$19</f>
        <v>0</v>
      </c>
      <c r="H11" s="6">
        <f>'Project summary'!H14*Assumptions!$B$19</f>
        <v>0</v>
      </c>
      <c r="I11" s="6">
        <f>'Project summary'!I14*Assumptions!$B$19</f>
        <v>0</v>
      </c>
      <c r="J11" s="6">
        <f>'Project summary'!J14*Assumptions!$B$19</f>
        <v>0</v>
      </c>
      <c r="K11" s="6">
        <f>SUM(F11:J11)</f>
        <v>0</v>
      </c>
      <c r="M11" s="6"/>
      <c r="P11"/>
    </row>
    <row r="12" spans="1:16" ht="12.75" customHeight="1" x14ac:dyDescent="0.25">
      <c r="C12" s="1" t="s">
        <v>93</v>
      </c>
      <c r="D12" s="107"/>
      <c r="E12" s="2"/>
      <c r="F12" s="6">
        <f>'Project summary'!F18*Assumptions!$B$19</f>
        <v>258418.3164979337</v>
      </c>
      <c r="G12" s="6">
        <f>'Project summary'!G18*Assumptions!$B$19</f>
        <v>258418.3164979337</v>
      </c>
      <c r="H12" s="6">
        <f>'Project summary'!H18*Assumptions!$B$19</f>
        <v>261372.43182658192</v>
      </c>
      <c r="I12" s="6">
        <f>'Project summary'!I18*Assumptions!$B$19</f>
        <v>262110.96065874398</v>
      </c>
      <c r="J12" s="6">
        <f>'Project summary'!J18*Assumptions!$B$19</f>
        <v>262849.48949090601</v>
      </c>
      <c r="K12" s="6">
        <f>SUM(F12:J12)</f>
        <v>1303169.5149720993</v>
      </c>
      <c r="M12" s="98"/>
      <c r="P12"/>
    </row>
    <row r="13" spans="1:16" x14ac:dyDescent="0.2">
      <c r="C13" s="1" t="s">
        <v>94</v>
      </c>
      <c r="D13" s="107"/>
      <c r="F13" s="6">
        <v>268704.78803694248</v>
      </c>
      <c r="G13" s="6">
        <v>270858.27545587928</v>
      </c>
      <c r="H13" s="6">
        <v>276468.07193643448</v>
      </c>
      <c r="I13" s="6">
        <v>280058.79099703341</v>
      </c>
      <c r="J13" s="6">
        <v>283567.89430058183</v>
      </c>
      <c r="K13" s="6">
        <f>SUM(F13:J13)</f>
        <v>1379657.8207268715</v>
      </c>
      <c r="M13" s="98"/>
    </row>
    <row r="14" spans="1:16" x14ac:dyDescent="0.2">
      <c r="C14" s="101" t="s">
        <v>86</v>
      </c>
      <c r="D14" s="134" t="s">
        <v>95</v>
      </c>
      <c r="E14" s="101"/>
      <c r="F14" s="105">
        <f>F11+F13</f>
        <v>268704.78803694248</v>
      </c>
      <c r="G14" s="105">
        <f t="shared" ref="G14:K14" si="0">G11+G13</f>
        <v>270858.27545587928</v>
      </c>
      <c r="H14" s="105">
        <f t="shared" si="0"/>
        <v>276468.07193643448</v>
      </c>
      <c r="I14" s="105">
        <f t="shared" si="0"/>
        <v>280058.79099703341</v>
      </c>
      <c r="J14" s="105">
        <f t="shared" si="0"/>
        <v>283567.89430058183</v>
      </c>
      <c r="K14" s="105">
        <f t="shared" si="0"/>
        <v>1379657.8207268715</v>
      </c>
      <c r="M14" s="98"/>
    </row>
    <row r="15" spans="1:16" x14ac:dyDescent="0.2">
      <c r="D15" s="107"/>
      <c r="F15" s="6"/>
      <c r="G15" s="6"/>
      <c r="H15" s="6"/>
      <c r="I15" s="6"/>
      <c r="J15" s="6"/>
      <c r="K15" s="6"/>
      <c r="M15" s="98"/>
    </row>
    <row r="16" spans="1:16" x14ac:dyDescent="0.2">
      <c r="C16" s="101" t="s">
        <v>18</v>
      </c>
      <c r="D16" s="134"/>
      <c r="E16" s="134"/>
      <c r="F16" s="139">
        <f>NPV(Real_Discount_rate,F14:J14)</f>
        <v>1244637.2266434091</v>
      </c>
      <c r="G16" s="6"/>
      <c r="H16" s="6"/>
      <c r="I16" s="6"/>
      <c r="J16" s="6"/>
      <c r="K16" s="6"/>
    </row>
    <row r="17" spans="2:11" x14ac:dyDescent="0.2">
      <c r="D17" s="107"/>
      <c r="F17" s="6"/>
      <c r="G17" s="6"/>
      <c r="H17" s="6"/>
      <c r="I17" s="6"/>
      <c r="J17" s="6"/>
      <c r="K17" s="6"/>
    </row>
    <row r="18" spans="2:11" x14ac:dyDescent="0.2">
      <c r="C18" s="1" t="s">
        <v>96</v>
      </c>
    </row>
    <row r="21" spans="2:11" x14ac:dyDescent="0.2">
      <c r="B21" s="36" t="s">
        <v>19</v>
      </c>
      <c r="C21" s="36"/>
      <c r="D21" s="36"/>
      <c r="E21" s="37"/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74" t="s">
        <v>0</v>
      </c>
    </row>
    <row r="22" spans="2:11" x14ac:dyDescent="0.2">
      <c r="C22" s="1" t="s">
        <v>49</v>
      </c>
      <c r="D22" s="107"/>
      <c r="E22" s="2"/>
      <c r="F22" s="6">
        <f>'Project summary'!F29*Assumptions!$B$19</f>
        <v>3379717.8136807578</v>
      </c>
      <c r="G22" s="6">
        <f>'Project summary'!G29*Assumptions!$B$19</f>
        <v>217197.3166073121</v>
      </c>
      <c r="H22" s="6">
        <f>'Project summary'!H29*Assumptions!$B$19</f>
        <v>0</v>
      </c>
      <c r="I22" s="6">
        <f>'Project summary'!I29*Assumptions!$B$19</f>
        <v>0</v>
      </c>
      <c r="J22" s="6">
        <f>'Project summary'!J29*Assumptions!$B$19</f>
        <v>2859420.5768248835</v>
      </c>
      <c r="K22" s="6">
        <f>SUM(F22:J22)</f>
        <v>6456335.7071129531</v>
      </c>
    </row>
    <row r="23" spans="2:11" x14ac:dyDescent="0.2">
      <c r="C23" s="1" t="s">
        <v>93</v>
      </c>
      <c r="D23" s="107"/>
      <c r="E23" s="2"/>
      <c r="F23" s="6">
        <f>'Project summary'!F33*Assumptions!$B$19</f>
        <v>0</v>
      </c>
      <c r="G23" s="6">
        <f>'Project summary'!G33*Assumptions!$B$19</f>
        <v>0</v>
      </c>
      <c r="H23" s="6">
        <f>'Project summary'!H33*Assumptions!$B$19</f>
        <v>0</v>
      </c>
      <c r="I23" s="6">
        <f>'Project summary'!I33*Assumptions!$B$19</f>
        <v>0</v>
      </c>
      <c r="J23" s="6">
        <f>'Project summary'!J33*Assumptions!$B$19</f>
        <v>0</v>
      </c>
      <c r="K23" s="6">
        <f>SUM(F23:J23)</f>
        <v>0</v>
      </c>
    </row>
    <row r="24" spans="2:11" x14ac:dyDescent="0.2">
      <c r="C24" s="1" t="s">
        <v>97</v>
      </c>
      <c r="D24" s="107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>SUM(F24:J24)</f>
        <v>0</v>
      </c>
    </row>
    <row r="25" spans="2:11" x14ac:dyDescent="0.2">
      <c r="C25" s="101" t="s">
        <v>86</v>
      </c>
      <c r="D25" s="134" t="s">
        <v>95</v>
      </c>
      <c r="E25" s="101"/>
      <c r="F25" s="105">
        <f>F22+F24</f>
        <v>3379717.8136807578</v>
      </c>
      <c r="G25" s="105">
        <f t="shared" ref="G25:K25" si="1">G22+G24</f>
        <v>217197.3166073121</v>
      </c>
      <c r="H25" s="105">
        <f t="shared" si="1"/>
        <v>0</v>
      </c>
      <c r="I25" s="105">
        <f t="shared" si="1"/>
        <v>0</v>
      </c>
      <c r="J25" s="105">
        <f t="shared" si="1"/>
        <v>2859420.5768248835</v>
      </c>
      <c r="K25" s="105">
        <f t="shared" si="1"/>
        <v>6456335.7071129531</v>
      </c>
    </row>
    <row r="27" spans="2:11" x14ac:dyDescent="0.2">
      <c r="C27" s="101" t="s">
        <v>18</v>
      </c>
      <c r="D27" s="134"/>
      <c r="E27" s="134"/>
      <c r="F27" s="139">
        <f>NPV(Real_Discount_rate,F25:J25)</f>
        <v>5875739.2568985503</v>
      </c>
    </row>
    <row r="29" spans="2:11" x14ac:dyDescent="0.2">
      <c r="C29" s="1" t="s">
        <v>98</v>
      </c>
    </row>
    <row r="32" spans="2:11" x14ac:dyDescent="0.2">
      <c r="B32" s="36" t="s">
        <v>3</v>
      </c>
      <c r="C32" s="36"/>
      <c r="D32" s="36"/>
      <c r="E32" s="37"/>
      <c r="F32" s="38" t="s">
        <v>6</v>
      </c>
      <c r="G32" s="38" t="s">
        <v>7</v>
      </c>
      <c r="H32" s="38" t="s">
        <v>8</v>
      </c>
      <c r="I32" s="38" t="s">
        <v>9</v>
      </c>
      <c r="J32" s="38" t="s">
        <v>10</v>
      </c>
      <c r="K32" s="74" t="s">
        <v>0</v>
      </c>
    </row>
    <row r="33" spans="3:11" x14ac:dyDescent="0.2">
      <c r="C33" s="1" t="s">
        <v>49</v>
      </c>
      <c r="D33" s="107"/>
      <c r="E33" s="2"/>
      <c r="F33" s="6">
        <f>'Project summary'!F44*Assumptions!$B$19</f>
        <v>2799451.4659350235</v>
      </c>
      <c r="G33" s="6">
        <f>'Project summary'!G44*Assumptions!$B$19</f>
        <v>177968.28378974189</v>
      </c>
      <c r="H33" s="6">
        <f>'Project summary'!H44*Assumptions!$B$19</f>
        <v>1046829.1125143945</v>
      </c>
      <c r="I33" s="6">
        <f>'Project summary'!I44*Assumptions!$B$19</f>
        <v>78458.06563514036</v>
      </c>
      <c r="J33" s="6">
        <f>'Project summary'!J44*Assumptions!$B$19</f>
        <v>2560011.5573084727</v>
      </c>
      <c r="K33" s="6">
        <f>SUM(F33:J33)</f>
        <v>6662718.4851827733</v>
      </c>
    </row>
    <row r="34" spans="3:11" x14ac:dyDescent="0.2">
      <c r="C34" s="1" t="s">
        <v>93</v>
      </c>
      <c r="D34" s="107"/>
      <c r="E34" s="2"/>
      <c r="F34" s="6">
        <f>'Project summary'!F48*Assumptions!$B$19</f>
        <v>0</v>
      </c>
      <c r="G34" s="6">
        <f>'Project summary'!G48*Assumptions!$B$19</f>
        <v>0</v>
      </c>
      <c r="H34" s="6">
        <f>'Project summary'!H48*Assumptions!$B$19</f>
        <v>0</v>
      </c>
      <c r="I34" s="6">
        <f>'Project summary'!I48*Assumptions!$B$19</f>
        <v>0</v>
      </c>
      <c r="J34" s="6">
        <f>'Project summary'!J48*Assumptions!$B$19</f>
        <v>0</v>
      </c>
      <c r="K34" s="6">
        <f>SUM(F34:J34)</f>
        <v>0</v>
      </c>
    </row>
    <row r="35" spans="3:11" x14ac:dyDescent="0.2">
      <c r="C35" s="1" t="s">
        <v>94</v>
      </c>
      <c r="D35" s="107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>SUM(F35:J35)</f>
        <v>0</v>
      </c>
    </row>
    <row r="36" spans="3:11" x14ac:dyDescent="0.2">
      <c r="C36" s="101" t="s">
        <v>86</v>
      </c>
      <c r="D36" s="134" t="s">
        <v>95</v>
      </c>
      <c r="E36" s="101"/>
      <c r="F36" s="105">
        <f>F33+F35</f>
        <v>2799451.4659350235</v>
      </c>
      <c r="G36" s="105">
        <f t="shared" ref="G36:K36" si="2">G33+G35</f>
        <v>177968.28378974189</v>
      </c>
      <c r="H36" s="105">
        <f t="shared" si="2"/>
        <v>1046829.1125143945</v>
      </c>
      <c r="I36" s="105">
        <f t="shared" si="2"/>
        <v>78458.06563514036</v>
      </c>
      <c r="J36" s="105">
        <f t="shared" si="2"/>
        <v>2560011.5573084727</v>
      </c>
      <c r="K36" s="105">
        <f t="shared" si="2"/>
        <v>6662718.4851827733</v>
      </c>
    </row>
    <row r="38" spans="3:11" x14ac:dyDescent="0.2">
      <c r="C38" s="101" t="s">
        <v>18</v>
      </c>
      <c r="D38" s="134"/>
      <c r="E38" s="134"/>
      <c r="F38" s="139">
        <f>NPV(Real_Discount_rate,F36:J36)</f>
        <v>6038931.9140142938</v>
      </c>
    </row>
    <row r="40" spans="3:11" x14ac:dyDescent="0.2">
      <c r="C40" s="1" t="s">
        <v>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52"/>
  <sheetViews>
    <sheetView showGridLines="0" zoomScale="85" zoomScaleNormal="85" workbookViewId="0">
      <selection activeCell="F22" sqref="F22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Market systems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 &amp; PAL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84" t="s">
        <v>19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P10"/>
    </row>
    <row r="11" spans="1:16" ht="12.75" customHeight="1" x14ac:dyDescent="0.25">
      <c r="C11" s="1" t="s">
        <v>11</v>
      </c>
      <c r="D11" s="107" t="s">
        <v>12</v>
      </c>
      <c r="E11" s="2"/>
      <c r="F11" s="6">
        <f>'Option 1'!P80</f>
        <v>0</v>
      </c>
      <c r="G11" s="6">
        <f>'Option 1'!Q80</f>
        <v>0</v>
      </c>
      <c r="H11" s="6">
        <f>'Option 1'!R80</f>
        <v>0</v>
      </c>
      <c r="I11" s="6">
        <f>'Option 1'!S80</f>
        <v>0</v>
      </c>
      <c r="J11" s="6">
        <f>'Option 1'!T80</f>
        <v>0</v>
      </c>
      <c r="K11" s="6">
        <f>SUM(F11:J11)</f>
        <v>0</v>
      </c>
      <c r="M11" s="98"/>
      <c r="P11"/>
    </row>
    <row r="12" spans="1:16" ht="12.75" customHeight="1" x14ac:dyDescent="0.25">
      <c r="C12" s="1" t="s">
        <v>13</v>
      </c>
      <c r="D12" s="107" t="s">
        <v>12</v>
      </c>
      <c r="E12" s="2"/>
      <c r="F12" s="6">
        <f>'Option 1'!P81</f>
        <v>0</v>
      </c>
      <c r="G12" s="6">
        <f>'Option 1'!Q81</f>
        <v>0</v>
      </c>
      <c r="H12" s="6">
        <f>'Option 1'!R81</f>
        <v>0</v>
      </c>
      <c r="I12" s="6">
        <f>'Option 1'!S81</f>
        <v>0</v>
      </c>
      <c r="J12" s="6">
        <f>'Option 1'!T81</f>
        <v>0</v>
      </c>
      <c r="K12" s="6">
        <f t="shared" ref="K12:K13" si="0">SUM(F12:J12)</f>
        <v>0</v>
      </c>
      <c r="M12" s="98"/>
      <c r="P12"/>
    </row>
    <row r="13" spans="1:16" ht="12.75" customHeight="1" x14ac:dyDescent="0.2">
      <c r="C13" s="1" t="s">
        <v>14</v>
      </c>
      <c r="D13" s="107" t="s">
        <v>12</v>
      </c>
      <c r="F13" s="6">
        <f>'Option 1'!P82</f>
        <v>0</v>
      </c>
      <c r="G13" s="6">
        <f>'Option 1'!Q82</f>
        <v>0</v>
      </c>
      <c r="H13" s="6">
        <f>'Option 1'!R82</f>
        <v>0</v>
      </c>
      <c r="I13" s="6">
        <f>'Option 1'!S82</f>
        <v>0</v>
      </c>
      <c r="J13" s="6">
        <f>'Option 1'!T82</f>
        <v>0</v>
      </c>
      <c r="K13" s="6">
        <f t="shared" si="0"/>
        <v>0</v>
      </c>
      <c r="M13" s="98"/>
    </row>
    <row r="14" spans="1:16" ht="12.75" customHeight="1" x14ac:dyDescent="0.2">
      <c r="C14" s="101" t="s">
        <v>15</v>
      </c>
      <c r="D14" s="108"/>
      <c r="E14" s="101"/>
      <c r="F14" s="105">
        <f>SUM(F11:F13)</f>
        <v>0</v>
      </c>
      <c r="G14" s="105">
        <f t="shared" ref="G14:K14" si="1">SUM(G11:G13)</f>
        <v>0</v>
      </c>
      <c r="H14" s="105">
        <f t="shared" si="1"/>
        <v>0</v>
      </c>
      <c r="I14" s="105">
        <f t="shared" si="1"/>
        <v>0</v>
      </c>
      <c r="J14" s="105">
        <f t="shared" si="1"/>
        <v>0</v>
      </c>
      <c r="K14" s="105">
        <f t="shared" si="1"/>
        <v>0</v>
      </c>
      <c r="M14" s="98"/>
    </row>
    <row r="15" spans="1:16" ht="12.75" customHeight="1" x14ac:dyDescent="0.2">
      <c r="C15" s="1" t="s">
        <v>11</v>
      </c>
      <c r="D15" s="107" t="s">
        <v>16</v>
      </c>
      <c r="F15" s="6">
        <f>'Option 1'!P84</f>
        <v>0</v>
      </c>
      <c r="G15" s="6">
        <f>'Option 1'!Q84</f>
        <v>0</v>
      </c>
      <c r="H15" s="6">
        <f>'Option 1'!R84</f>
        <v>0</v>
      </c>
      <c r="I15" s="6">
        <f>'Option 1'!S84</f>
        <v>0</v>
      </c>
      <c r="J15" s="6">
        <f>'Option 1'!T84</f>
        <v>0</v>
      </c>
      <c r="K15" s="6">
        <f>SUM(F15:J15)</f>
        <v>0</v>
      </c>
      <c r="M15" s="98"/>
    </row>
    <row r="16" spans="1:16" ht="12.75" customHeight="1" x14ac:dyDescent="0.2">
      <c r="C16" s="1" t="s">
        <v>13</v>
      </c>
      <c r="D16" s="107" t="s">
        <v>16</v>
      </c>
      <c r="F16" s="6">
        <f>'Option 1'!P85</f>
        <v>0</v>
      </c>
      <c r="G16" s="6">
        <f>'Option 1'!Q85</f>
        <v>0</v>
      </c>
      <c r="H16" s="6">
        <f>'Option 1'!R85</f>
        <v>0</v>
      </c>
      <c r="I16" s="6">
        <f>'Option 1'!S85</f>
        <v>0</v>
      </c>
      <c r="J16" s="6">
        <f>'Option 1'!T85</f>
        <v>0</v>
      </c>
      <c r="K16" s="6">
        <f t="shared" ref="K16:K17" si="2">SUM(F16:J16)</f>
        <v>0</v>
      </c>
      <c r="M16" s="98"/>
    </row>
    <row r="17" spans="2:13" ht="12.75" customHeight="1" x14ac:dyDescent="0.2">
      <c r="C17" s="1" t="s">
        <v>14</v>
      </c>
      <c r="D17" s="107" t="s">
        <v>16</v>
      </c>
      <c r="F17" s="6">
        <f>'Option 1'!P86</f>
        <v>861394.38832644571</v>
      </c>
      <c r="G17" s="6">
        <f>'Option 1'!Q86</f>
        <v>861394.38832644571</v>
      </c>
      <c r="H17" s="6">
        <f>'Option 1'!R86</f>
        <v>871241.43942193978</v>
      </c>
      <c r="I17" s="6">
        <f>'Option 1'!S86</f>
        <v>873703.2021958133</v>
      </c>
      <c r="J17" s="6">
        <f>'Option 1'!T86</f>
        <v>876164.96496968681</v>
      </c>
      <c r="K17" s="6">
        <f t="shared" si="2"/>
        <v>4343898.3832403319</v>
      </c>
      <c r="M17" s="98"/>
    </row>
    <row r="18" spans="2:13" ht="12.75" customHeight="1" x14ac:dyDescent="0.2">
      <c r="C18" s="101" t="s">
        <v>17</v>
      </c>
      <c r="D18" s="108"/>
      <c r="E18" s="101"/>
      <c r="F18" s="105">
        <f>SUM(F15:F17)</f>
        <v>861394.38832644571</v>
      </c>
      <c r="G18" s="105">
        <f t="shared" ref="G18:K18" si="3">SUM(G15:G17)</f>
        <v>861394.38832644571</v>
      </c>
      <c r="H18" s="105">
        <f t="shared" si="3"/>
        <v>871241.43942193978</v>
      </c>
      <c r="I18" s="105">
        <f t="shared" si="3"/>
        <v>873703.2021958133</v>
      </c>
      <c r="J18" s="105">
        <f t="shared" si="3"/>
        <v>876164.96496968681</v>
      </c>
      <c r="K18" s="105">
        <f t="shared" si="3"/>
        <v>4343898.3832403319</v>
      </c>
      <c r="M18" s="98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98"/>
    </row>
    <row r="20" spans="2:13" ht="12.75" customHeight="1" x14ac:dyDescent="0.2">
      <c r="C20" s="111" t="str">
        <f>"Total Cost ($ "&amp;Assumptions!$C35&amp;")"</f>
        <v>Total Cost ($ June 2026)</v>
      </c>
      <c r="D20" s="21"/>
      <c r="E20" s="21"/>
      <c r="F20" s="22">
        <f t="shared" ref="F20:K20" si="4">F14+F18</f>
        <v>861394.38832644571</v>
      </c>
      <c r="G20" s="22">
        <f t="shared" si="4"/>
        <v>861394.38832644571</v>
      </c>
      <c r="H20" s="22">
        <f t="shared" si="4"/>
        <v>871241.43942193978</v>
      </c>
      <c r="I20" s="22">
        <f t="shared" si="4"/>
        <v>873703.2021958133</v>
      </c>
      <c r="J20" s="22">
        <f t="shared" si="4"/>
        <v>876164.96496968681</v>
      </c>
      <c r="K20" s="22">
        <f t="shared" si="4"/>
        <v>4343898.3832403319</v>
      </c>
      <c r="L20" s="59">
        <f>K20-'Option 1'!$U$89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18</v>
      </c>
      <c r="D22" s="22"/>
      <c r="E22" s="22"/>
      <c r="F22" s="22">
        <f>NPV(Assumptions!$B$10,F20:J20)</f>
        <v>3921285.1045096982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19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4" t="s">
        <v>0</v>
      </c>
    </row>
    <row r="26" spans="2:13" ht="12.75" customHeight="1" x14ac:dyDescent="0.2">
      <c r="C26" s="1" t="s">
        <v>11</v>
      </c>
      <c r="D26" s="107" t="s">
        <v>12</v>
      </c>
      <c r="E26" s="2"/>
      <c r="F26" s="6">
        <f>'Option 2'!P80</f>
        <v>11075133.784599172</v>
      </c>
      <c r="G26" s="6">
        <f>'Option 2'!Q80</f>
        <v>653654.97610417812</v>
      </c>
      <c r="H26" s="6">
        <f>'Option 2'!R80</f>
        <v>0</v>
      </c>
      <c r="I26" s="6">
        <f>'Option 2'!S80</f>
        <v>0</v>
      </c>
      <c r="J26" s="6">
        <f>'Option 2'!T80</f>
        <v>8671754.2875657436</v>
      </c>
      <c r="K26" s="6">
        <f>SUM(F26:J26)</f>
        <v>20400543.048269093</v>
      </c>
      <c r="M26" s="98"/>
    </row>
    <row r="27" spans="2:13" x14ac:dyDescent="0.2">
      <c r="C27" s="1" t="s">
        <v>13</v>
      </c>
      <c r="D27" s="107" t="s">
        <v>12</v>
      </c>
      <c r="E27" s="2"/>
      <c r="F27" s="6">
        <f>'Option 2'!P81</f>
        <v>190592.2610033541</v>
      </c>
      <c r="G27" s="6">
        <f>'Option 2'!Q81</f>
        <v>70336.079253528907</v>
      </c>
      <c r="H27" s="6">
        <f>'Option 2'!R81</f>
        <v>0</v>
      </c>
      <c r="I27" s="6">
        <f>'Option 2'!S81</f>
        <v>0</v>
      </c>
      <c r="J27" s="6">
        <f>'Option 2'!T81</f>
        <v>859647.63518386823</v>
      </c>
      <c r="K27" s="6">
        <f t="shared" ref="K27:K28" si="6">SUM(F27:J27)</f>
        <v>1120575.9754407513</v>
      </c>
      <c r="M27" s="98"/>
    </row>
    <row r="28" spans="2:13" x14ac:dyDescent="0.2">
      <c r="C28" s="1" t="s">
        <v>14</v>
      </c>
      <c r="D28" s="107" t="s">
        <v>12</v>
      </c>
      <c r="F28" s="6">
        <f>'Option 2'!P82</f>
        <v>0</v>
      </c>
      <c r="G28" s="6">
        <f>'Option 2'!Q82</f>
        <v>0</v>
      </c>
      <c r="H28" s="6">
        <f>'Option 2'!R82</f>
        <v>0</v>
      </c>
      <c r="I28" s="6">
        <f>'Option 2'!S82</f>
        <v>0</v>
      </c>
      <c r="J28" s="6">
        <f>'Option 2'!T82</f>
        <v>0</v>
      </c>
      <c r="K28" s="6">
        <f t="shared" si="6"/>
        <v>0</v>
      </c>
      <c r="M28" s="98"/>
    </row>
    <row r="29" spans="2:13" x14ac:dyDescent="0.2">
      <c r="C29" s="101" t="s">
        <v>15</v>
      </c>
      <c r="D29" s="108"/>
      <c r="E29" s="101"/>
      <c r="F29" s="105">
        <f>SUM(F26:F28)</f>
        <v>11265726.045602527</v>
      </c>
      <c r="G29" s="105">
        <f t="shared" ref="G29" si="7">SUM(G26:G28)</f>
        <v>723991.05535770697</v>
      </c>
      <c r="H29" s="105">
        <f t="shared" ref="H29" si="8">SUM(H26:H28)</f>
        <v>0</v>
      </c>
      <c r="I29" s="105">
        <f t="shared" ref="I29" si="9">SUM(I26:I28)</f>
        <v>0</v>
      </c>
      <c r="J29" s="105">
        <f t="shared" ref="J29" si="10">SUM(J26:J28)</f>
        <v>9531401.9227496125</v>
      </c>
      <c r="K29" s="105">
        <f t="shared" ref="K29" si="11">SUM(K26:K28)</f>
        <v>21521119.023709845</v>
      </c>
      <c r="M29" s="98"/>
    </row>
    <row r="30" spans="2:13" x14ac:dyDescent="0.2">
      <c r="C30" s="1" t="s">
        <v>11</v>
      </c>
      <c r="D30" s="107" t="s">
        <v>16</v>
      </c>
      <c r="F30" s="6">
        <f>'Option 2'!P84</f>
        <v>0</v>
      </c>
      <c r="G30" s="6">
        <f>'Option 2'!Q84</f>
        <v>0</v>
      </c>
      <c r="H30" s="6">
        <f>'Option 2'!R84</f>
        <v>0</v>
      </c>
      <c r="I30" s="6">
        <f>'Option 2'!S84</f>
        <v>0</v>
      </c>
      <c r="J30" s="6">
        <f>'Option 2'!T84</f>
        <v>0</v>
      </c>
      <c r="K30" s="6">
        <f>SUM(F30:J30)</f>
        <v>0</v>
      </c>
      <c r="M30" s="98"/>
    </row>
    <row r="31" spans="2:13" x14ac:dyDescent="0.2">
      <c r="C31" s="1" t="s">
        <v>13</v>
      </c>
      <c r="D31" s="107" t="s">
        <v>16</v>
      </c>
      <c r="F31" s="6">
        <f>'Option 2'!P85</f>
        <v>0</v>
      </c>
      <c r="G31" s="6">
        <f>'Option 2'!Q85</f>
        <v>0</v>
      </c>
      <c r="H31" s="6">
        <f>'Option 2'!R85</f>
        <v>0</v>
      </c>
      <c r="I31" s="6">
        <f>'Option 2'!S85</f>
        <v>0</v>
      </c>
      <c r="J31" s="6">
        <f>'Option 2'!T85</f>
        <v>0</v>
      </c>
      <c r="K31" s="6">
        <f t="shared" ref="K31:K32" si="12">SUM(F31:J31)</f>
        <v>0</v>
      </c>
      <c r="M31" s="98"/>
    </row>
    <row r="32" spans="2:13" x14ac:dyDescent="0.2">
      <c r="C32" s="1" t="s">
        <v>14</v>
      </c>
      <c r="D32" s="107" t="s">
        <v>16</v>
      </c>
      <c r="F32" s="6">
        <f>'Option 2'!P86</f>
        <v>0</v>
      </c>
      <c r="G32" s="6">
        <f>'Option 2'!Q86</f>
        <v>0</v>
      </c>
      <c r="H32" s="6">
        <f>'Option 2'!R86</f>
        <v>0</v>
      </c>
      <c r="I32" s="6">
        <f>'Option 2'!S86</f>
        <v>0</v>
      </c>
      <c r="J32" s="6">
        <f>'Option 2'!T86</f>
        <v>0</v>
      </c>
      <c r="K32" s="6">
        <f t="shared" si="12"/>
        <v>0</v>
      </c>
      <c r="M32" s="98"/>
    </row>
    <row r="33" spans="2:13" x14ac:dyDescent="0.2">
      <c r="C33" s="101" t="s">
        <v>17</v>
      </c>
      <c r="D33" s="108"/>
      <c r="E33" s="101"/>
      <c r="F33" s="105">
        <f>SUM(F30:F32)</f>
        <v>0</v>
      </c>
      <c r="G33" s="105">
        <f t="shared" ref="G33" si="13">SUM(G30:G32)</f>
        <v>0</v>
      </c>
      <c r="H33" s="105">
        <f t="shared" ref="H33" si="14">SUM(H30:H32)</f>
        <v>0</v>
      </c>
      <c r="I33" s="105">
        <f t="shared" ref="I33" si="15">SUM(I30:I32)</f>
        <v>0</v>
      </c>
      <c r="J33" s="105">
        <f t="shared" ref="J33" si="16">SUM(J30:J32)</f>
        <v>0</v>
      </c>
      <c r="K33" s="105">
        <f t="shared" ref="K33" si="17">SUM(K30:K32)</f>
        <v>0</v>
      </c>
      <c r="M33" s="98"/>
    </row>
    <row r="34" spans="2:13" x14ac:dyDescent="0.2">
      <c r="D34" s="49"/>
      <c r="F34" s="6"/>
      <c r="G34" s="6"/>
      <c r="H34" s="6"/>
      <c r="I34" s="6"/>
      <c r="J34" s="6"/>
      <c r="K34" s="6"/>
      <c r="M34" s="98"/>
    </row>
    <row r="35" spans="2:13" x14ac:dyDescent="0.2">
      <c r="C35" s="111" t="str">
        <f>"Total Cost ($ "&amp;Assumptions!$C$35&amp;")"</f>
        <v>Total Cost ($ June 2026)</v>
      </c>
      <c r="D35" s="21"/>
      <c r="E35" s="21"/>
      <c r="F35" s="22">
        <f t="shared" ref="F35:K35" si="18">F29+F33</f>
        <v>11265726.045602527</v>
      </c>
      <c r="G35" s="22">
        <f t="shared" si="18"/>
        <v>723991.05535770697</v>
      </c>
      <c r="H35" s="22">
        <f t="shared" si="18"/>
        <v>0</v>
      </c>
      <c r="I35" s="22">
        <f t="shared" si="18"/>
        <v>0</v>
      </c>
      <c r="J35" s="22">
        <f t="shared" si="18"/>
        <v>9531401.9227496125</v>
      </c>
      <c r="K35" s="22">
        <f t="shared" si="18"/>
        <v>21521119.023709845</v>
      </c>
      <c r="L35" s="59">
        <f>K35-'Option 2'!$U$89</f>
        <v>0</v>
      </c>
    </row>
    <row r="37" spans="2:13" x14ac:dyDescent="0.2">
      <c r="C37" s="54" t="s">
        <v>18</v>
      </c>
      <c r="D37" s="22"/>
      <c r="E37" s="22"/>
      <c r="F37" s="22">
        <f>NPV(Assumptions!$B$10,F35:J35)</f>
        <v>19585797.52299517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  <row r="40" spans="2:13" x14ac:dyDescent="0.2">
      <c r="B40" s="36" t="s">
        <v>3</v>
      </c>
      <c r="C40" s="36" t="s">
        <v>5</v>
      </c>
      <c r="D40" s="36"/>
      <c r="E40" s="37"/>
      <c r="F40" s="38" t="str">
        <f>F$10</f>
        <v>2026/27</v>
      </c>
      <c r="G40" s="38" t="str">
        <f t="shared" ref="G40:J40" si="19">G$10</f>
        <v>2027/28</v>
      </c>
      <c r="H40" s="38" t="str">
        <f t="shared" si="19"/>
        <v>2028/29</v>
      </c>
      <c r="I40" s="38" t="str">
        <f t="shared" si="19"/>
        <v>2029/30</v>
      </c>
      <c r="J40" s="38" t="str">
        <f t="shared" si="19"/>
        <v>2030/31</v>
      </c>
      <c r="K40" s="74" t="s">
        <v>0</v>
      </c>
    </row>
    <row r="41" spans="2:13" x14ac:dyDescent="0.2">
      <c r="C41" s="1" t="s">
        <v>11</v>
      </c>
      <c r="D41" s="107" t="s">
        <v>12</v>
      </c>
      <c r="E41" s="2"/>
      <c r="F41" s="6">
        <f>'Option 3'!P80</f>
        <v>9161568.0874621682</v>
      </c>
      <c r="G41" s="6">
        <f>'Option 3'!Q80</f>
        <v>522891.53337894415</v>
      </c>
      <c r="H41" s="6">
        <f>'Option 3'!R80</f>
        <v>3474397.772727624</v>
      </c>
      <c r="I41" s="6">
        <f>'Option 3'!S80</f>
        <v>261526.88545046787</v>
      </c>
      <c r="J41" s="6">
        <f>'Option 3'!T80</f>
        <v>7683654.7705621039</v>
      </c>
      <c r="K41" s="6">
        <f>SUM(F41:J41)</f>
        <v>21104039.049581308</v>
      </c>
      <c r="M41" s="98"/>
    </row>
    <row r="42" spans="2:13" x14ac:dyDescent="0.2">
      <c r="C42" s="1" t="s">
        <v>13</v>
      </c>
      <c r="D42" s="107" t="s">
        <v>12</v>
      </c>
      <c r="E42" s="2"/>
      <c r="F42" s="6">
        <f>'Option 3'!P81</f>
        <v>169936.79898790998</v>
      </c>
      <c r="G42" s="6">
        <f>'Option 3'!Q81</f>
        <v>70336.079253528907</v>
      </c>
      <c r="H42" s="6">
        <f>'Option 3'!R81</f>
        <v>15032.602320357686</v>
      </c>
      <c r="I42" s="6">
        <f>'Option 3'!S81</f>
        <v>0</v>
      </c>
      <c r="J42" s="6">
        <f>'Option 3'!T81</f>
        <v>849717.08713280514</v>
      </c>
      <c r="K42" s="6">
        <f t="shared" ref="K42:K43" si="20">SUM(F42:J42)</f>
        <v>1105022.5676946016</v>
      </c>
      <c r="M42" s="98"/>
    </row>
    <row r="43" spans="2:13" x14ac:dyDescent="0.2">
      <c r="C43" s="1" t="s">
        <v>14</v>
      </c>
      <c r="D43" s="107" t="s">
        <v>12</v>
      </c>
      <c r="F43" s="6">
        <f>'Option 3'!P82</f>
        <v>0</v>
      </c>
      <c r="G43" s="6">
        <f>'Option 3'!Q82</f>
        <v>0</v>
      </c>
      <c r="H43" s="6">
        <f>'Option 3'!R82</f>
        <v>0</v>
      </c>
      <c r="I43" s="6">
        <f>'Option 3'!S82</f>
        <v>0</v>
      </c>
      <c r="J43" s="6">
        <f>'Option 3'!T82</f>
        <v>0</v>
      </c>
      <c r="K43" s="6">
        <f t="shared" si="20"/>
        <v>0</v>
      </c>
      <c r="M43" s="98"/>
    </row>
    <row r="44" spans="2:13" x14ac:dyDescent="0.2">
      <c r="C44" s="101" t="s">
        <v>15</v>
      </c>
      <c r="D44" s="108"/>
      <c r="E44" s="101"/>
      <c r="F44" s="105">
        <f>SUM(F41:F43)</f>
        <v>9331504.8864500783</v>
      </c>
      <c r="G44" s="105">
        <f t="shared" ref="G44" si="21">SUM(G41:G43)</f>
        <v>593227.612632473</v>
      </c>
      <c r="H44" s="105">
        <f t="shared" ref="H44" si="22">SUM(H41:H43)</f>
        <v>3489430.3750479817</v>
      </c>
      <c r="I44" s="105">
        <f t="shared" ref="I44" si="23">SUM(I41:I43)</f>
        <v>261526.88545046787</v>
      </c>
      <c r="J44" s="105">
        <f t="shared" ref="J44" si="24">SUM(J41:J43)</f>
        <v>8533371.857694909</v>
      </c>
      <c r="K44" s="105">
        <f t="shared" ref="K44" si="25">SUM(K41:K43)</f>
        <v>22209061.617275909</v>
      </c>
      <c r="M44" s="98"/>
    </row>
    <row r="45" spans="2:13" x14ac:dyDescent="0.2">
      <c r="C45" s="1" t="s">
        <v>11</v>
      </c>
      <c r="D45" s="107" t="s">
        <v>16</v>
      </c>
      <c r="F45" s="6">
        <f>'Option 3'!P84</f>
        <v>0</v>
      </c>
      <c r="G45" s="6">
        <f>'Option 3'!Q84</f>
        <v>0</v>
      </c>
      <c r="H45" s="6">
        <f>'Option 3'!R84</f>
        <v>0</v>
      </c>
      <c r="I45" s="6">
        <f>'Option 3'!S84</f>
        <v>0</v>
      </c>
      <c r="J45" s="6">
        <f>'Option 3'!T84</f>
        <v>0</v>
      </c>
      <c r="K45" s="6">
        <f>SUM(F45:J45)</f>
        <v>0</v>
      </c>
      <c r="M45" s="98"/>
    </row>
    <row r="46" spans="2:13" x14ac:dyDescent="0.2">
      <c r="C46" s="1" t="s">
        <v>13</v>
      </c>
      <c r="D46" s="107" t="s">
        <v>16</v>
      </c>
      <c r="F46" s="6">
        <f>'Option 3'!P85</f>
        <v>0</v>
      </c>
      <c r="G46" s="6">
        <f>'Option 3'!Q85</f>
        <v>0</v>
      </c>
      <c r="H46" s="6">
        <f>'Option 3'!R85</f>
        <v>0</v>
      </c>
      <c r="I46" s="6">
        <f>'Option 3'!S85</f>
        <v>0</v>
      </c>
      <c r="J46" s="6">
        <f>'Option 3'!T85</f>
        <v>0</v>
      </c>
      <c r="K46" s="6">
        <f t="shared" ref="K46:K47" si="26">SUM(F46:J46)</f>
        <v>0</v>
      </c>
      <c r="M46" s="98"/>
    </row>
    <row r="47" spans="2:13" x14ac:dyDescent="0.2">
      <c r="C47" s="1" t="s">
        <v>14</v>
      </c>
      <c r="D47" s="107" t="s">
        <v>16</v>
      </c>
      <c r="F47" s="6">
        <f>'Option 3'!P86</f>
        <v>0</v>
      </c>
      <c r="G47" s="6">
        <f>'Option 3'!Q86</f>
        <v>0</v>
      </c>
      <c r="H47" s="6">
        <f>'Option 3'!R86</f>
        <v>0</v>
      </c>
      <c r="I47" s="6">
        <f>'Option 3'!S86</f>
        <v>0</v>
      </c>
      <c r="J47" s="6">
        <f>'Option 3'!T86</f>
        <v>0</v>
      </c>
      <c r="K47" s="6">
        <f t="shared" si="26"/>
        <v>0</v>
      </c>
      <c r="M47" s="98"/>
    </row>
    <row r="48" spans="2:13" x14ac:dyDescent="0.2">
      <c r="C48" s="101" t="s">
        <v>17</v>
      </c>
      <c r="D48" s="108"/>
      <c r="E48" s="101"/>
      <c r="F48" s="105">
        <f>SUM(F45:F47)</f>
        <v>0</v>
      </c>
      <c r="G48" s="105">
        <f t="shared" ref="G48" si="27">SUM(G45:G47)</f>
        <v>0</v>
      </c>
      <c r="H48" s="105">
        <f t="shared" ref="H48" si="28">SUM(H45:H47)</f>
        <v>0</v>
      </c>
      <c r="I48" s="105">
        <f t="shared" ref="I48" si="29">SUM(I45:I47)</f>
        <v>0</v>
      </c>
      <c r="J48" s="105">
        <f t="shared" ref="J48" si="30">SUM(J45:J47)</f>
        <v>0</v>
      </c>
      <c r="K48" s="105">
        <f t="shared" ref="K48" si="31">SUM(K45:K47)</f>
        <v>0</v>
      </c>
      <c r="M48" s="98"/>
    </row>
    <row r="49" spans="2:13" x14ac:dyDescent="0.2">
      <c r="D49" s="49"/>
      <c r="F49" s="6"/>
      <c r="G49" s="6"/>
      <c r="H49" s="6"/>
      <c r="I49" s="6"/>
      <c r="J49" s="6"/>
      <c r="K49" s="6"/>
      <c r="M49" s="98"/>
    </row>
    <row r="50" spans="2:13" x14ac:dyDescent="0.2">
      <c r="C50" s="111" t="str">
        <f>"Total Cost ($ "&amp;Assumptions!$C35&amp;")"</f>
        <v>Total Cost ($ June 2026)</v>
      </c>
      <c r="D50" s="21"/>
      <c r="E50" s="21"/>
      <c r="F50" s="22">
        <f t="shared" ref="F50:K50" si="32">F44+F48</f>
        <v>9331504.8864500783</v>
      </c>
      <c r="G50" s="22">
        <f t="shared" si="32"/>
        <v>593227.612632473</v>
      </c>
      <c r="H50" s="22">
        <f t="shared" si="32"/>
        <v>3489430.3750479817</v>
      </c>
      <c r="I50" s="22">
        <f t="shared" si="32"/>
        <v>261526.88545046787</v>
      </c>
      <c r="J50" s="22">
        <f t="shared" si="32"/>
        <v>8533371.857694909</v>
      </c>
      <c r="K50" s="22">
        <f t="shared" si="32"/>
        <v>22209061.617275909</v>
      </c>
      <c r="L50" s="59">
        <f>K50-'Option 3'!$U$89</f>
        <v>0</v>
      </c>
    </row>
    <row r="52" spans="2:13" x14ac:dyDescent="0.2">
      <c r="B52" s="26"/>
      <c r="C52" s="54" t="s">
        <v>18</v>
      </c>
      <c r="D52" s="22"/>
      <c r="E52" s="22"/>
      <c r="F52" s="22">
        <f>NPV(Assumptions!$B$10,F50:J50)</f>
        <v>20129773.046714313</v>
      </c>
      <c r="G52" s="26"/>
      <c r="H52" s="26"/>
      <c r="I52" s="26"/>
      <c r="J52" s="26"/>
      <c r="K52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251ADD-2E5A-4C30-96F3-162FD4558953}">
          <x14:formula1>
            <xm:f>Assumptions!$A$24:$A$27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tabSelected="1" zoomScale="90" zoomScaleNormal="90" workbookViewId="0">
      <selection activeCell="F17" sqref="F17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3" t="str">
        <f>Project_name</f>
        <v>Market systems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60" t="str">
        <f>Business</f>
        <v>CP &amp; PAL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2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24</v>
      </c>
      <c r="B6" s="77" t="s">
        <v>87</v>
      </c>
      <c r="C6" s="27"/>
      <c r="D6" s="27"/>
      <c r="E6" s="27"/>
      <c r="F6" s="27"/>
      <c r="G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25</v>
      </c>
      <c r="B8" s="78" t="s">
        <v>92</v>
      </c>
      <c r="C8" s="27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26</v>
      </c>
      <c r="B10" s="135">
        <v>3.5000000000000003E-2</v>
      </c>
      <c r="C10" s="44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4" t="s">
        <v>27</v>
      </c>
      <c r="B12" s="79" t="s">
        <v>83</v>
      </c>
      <c r="C12" s="44" t="s">
        <v>28</v>
      </c>
      <c r="D12" s="27"/>
    </row>
    <row r="13" spans="1:35" ht="12.75" customHeight="1" x14ac:dyDescent="0.25">
      <c r="A13" s="44"/>
      <c r="B13" s="62"/>
      <c r="C13" s="44"/>
      <c r="D13" s="44"/>
      <c r="E13" s="44"/>
    </row>
    <row r="14" spans="1:35" ht="12.75" customHeight="1" x14ac:dyDescent="0.25">
      <c r="A14" s="44" t="s">
        <v>29</v>
      </c>
      <c r="B14" s="136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5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4" ht="12.75" customHeight="1" x14ac:dyDescent="0.25">
      <c r="A17" s="53" t="s">
        <v>30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4" ht="12.75" customHeight="1" x14ac:dyDescent="0.25">
      <c r="A18" s="44" t="s">
        <v>1</v>
      </c>
      <c r="B18" s="93">
        <v>0.7</v>
      </c>
    </row>
    <row r="19" spans="1:14" ht="12.75" customHeight="1" x14ac:dyDescent="0.25">
      <c r="A19" s="44" t="s">
        <v>31</v>
      </c>
      <c r="B19" s="93">
        <v>0.3</v>
      </c>
      <c r="D19" s="44"/>
      <c r="E19" s="44"/>
    </row>
    <row r="20" spans="1:14" ht="12.75" customHeight="1" x14ac:dyDescent="0.25">
      <c r="A20" s="44"/>
      <c r="B20" s="44"/>
      <c r="D20" s="44"/>
      <c r="E20" s="44"/>
    </row>
    <row r="21" spans="1:14" ht="12.75" customHeight="1" x14ac:dyDescent="0.25">
      <c r="A21" s="44"/>
      <c r="B21" s="94">
        <f>SUM(B18:B20)</f>
        <v>1</v>
      </c>
      <c r="D21" s="44"/>
      <c r="E21" s="44"/>
    </row>
    <row r="22" spans="1:14" ht="12.75" customHeight="1" x14ac:dyDescent="0.25">
      <c r="A22" s="44"/>
      <c r="B22" s="44"/>
      <c r="C22" s="44"/>
      <c r="D22" s="44"/>
      <c r="E22" s="44"/>
    </row>
    <row r="23" spans="1:14" ht="12.75" customHeight="1" x14ac:dyDescent="0.25">
      <c r="A23" s="53" t="s">
        <v>32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4" ht="12.75" customHeight="1" x14ac:dyDescent="0.25">
      <c r="A24" s="44" t="s">
        <v>4</v>
      </c>
      <c r="B24" s="86" t="s">
        <v>100</v>
      </c>
      <c r="C24" s="87"/>
      <c r="D24" s="87"/>
      <c r="E24" s="87"/>
      <c r="F24" s="87"/>
      <c r="G24" s="87"/>
      <c r="H24" s="87"/>
      <c r="I24" s="88"/>
      <c r="J24" s="88"/>
      <c r="K24" s="88"/>
      <c r="L24" s="88"/>
      <c r="M24" s="87"/>
      <c r="N24" s="88"/>
    </row>
    <row r="25" spans="1:14" ht="12.75" customHeight="1" x14ac:dyDescent="0.25">
      <c r="A25" s="44" t="s">
        <v>19</v>
      </c>
      <c r="B25" s="89" t="s">
        <v>101</v>
      </c>
      <c r="C25" s="90"/>
      <c r="D25" s="90"/>
      <c r="E25" s="90"/>
      <c r="F25" s="90"/>
      <c r="G25" s="90"/>
      <c r="H25" s="90"/>
      <c r="I25" s="91"/>
      <c r="J25" s="91"/>
      <c r="K25" s="91"/>
      <c r="L25" s="91"/>
      <c r="M25" s="90"/>
      <c r="N25" s="91"/>
    </row>
    <row r="26" spans="1:14" ht="12.75" customHeight="1" x14ac:dyDescent="0.25">
      <c r="A26" s="44" t="s">
        <v>3</v>
      </c>
      <c r="B26" s="89" t="s">
        <v>102</v>
      </c>
      <c r="C26" s="90"/>
      <c r="D26" s="90"/>
      <c r="E26" s="90"/>
      <c r="F26" s="90"/>
      <c r="G26" s="90"/>
      <c r="H26" s="90"/>
      <c r="I26" s="91"/>
      <c r="J26" s="91"/>
      <c r="K26" s="91"/>
      <c r="L26" s="91"/>
      <c r="M26" s="90"/>
      <c r="N26" s="91"/>
    </row>
    <row r="27" spans="1:14" ht="12.75" customHeight="1" x14ac:dyDescent="0.25">
      <c r="A27" s="44"/>
      <c r="B27" s="92"/>
      <c r="C27" s="92"/>
      <c r="D27" s="92"/>
      <c r="E27" s="92"/>
      <c r="F27" s="92"/>
      <c r="G27" s="92"/>
    </row>
    <row r="28" spans="1:14" ht="12.75" customHeight="1" x14ac:dyDescent="0.25">
      <c r="A28" s="44"/>
      <c r="B28" s="92"/>
      <c r="C28" s="92"/>
      <c r="D28" s="92"/>
      <c r="E28" s="92"/>
      <c r="F28" s="92"/>
      <c r="G28" s="92"/>
    </row>
    <row r="29" spans="1:14" ht="12.75" customHeight="1" x14ac:dyDescent="0.25">
      <c r="A29" s="39" t="s">
        <v>99</v>
      </c>
      <c r="B29" s="39"/>
      <c r="C29" s="39"/>
      <c r="D29" s="40"/>
      <c r="E29" s="133" t="s">
        <v>82</v>
      </c>
      <c r="F29" s="133" t="s">
        <v>83</v>
      </c>
      <c r="G29" s="133" t="s">
        <v>84</v>
      </c>
      <c r="H29" s="133" t="s">
        <v>85</v>
      </c>
      <c r="I29" s="100"/>
      <c r="J29" s="40"/>
      <c r="K29" s="40"/>
    </row>
    <row r="30" spans="1:14" s="115" customFormat="1" ht="12.75" customHeight="1" x14ac:dyDescent="0.25">
      <c r="A30" s="116" t="s">
        <v>79</v>
      </c>
      <c r="B30" s="112"/>
      <c r="C30" s="113"/>
      <c r="D30" s="117"/>
      <c r="E30" s="119">
        <v>1.1757125218136175</v>
      </c>
      <c r="F30" s="119">
        <v>1.1129126464165966</v>
      </c>
      <c r="G30" s="119">
        <v>1.050660524730181</v>
      </c>
      <c r="H30" s="119">
        <v>1.014889156509222</v>
      </c>
      <c r="I30" s="114"/>
      <c r="J30" s="117"/>
      <c r="K30" s="117"/>
      <c r="L30" s="118"/>
    </row>
    <row r="31" spans="1:14" ht="12.75" customHeight="1" x14ac:dyDescent="0.25">
      <c r="B31" s="1"/>
      <c r="D31" s="57"/>
      <c r="I31" s="70"/>
      <c r="J31" s="58"/>
      <c r="K31" s="58"/>
    </row>
    <row r="32" spans="1:14" ht="12.75" customHeight="1" x14ac:dyDescent="0.25">
      <c r="A32" s="1"/>
      <c r="B32" s="1"/>
      <c r="D32" s="41"/>
      <c r="I32" s="70"/>
      <c r="J32" s="70"/>
      <c r="K32" s="70"/>
    </row>
    <row r="33" spans="1:11" ht="12.75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2.75" customHeight="1" x14ac:dyDescent="0.25"/>
    <row r="35" spans="1:11" ht="12.75" customHeight="1" x14ac:dyDescent="0.25">
      <c r="A35" s="44" t="s">
        <v>33</v>
      </c>
      <c r="C35" s="137" t="s">
        <v>85</v>
      </c>
      <c r="D35" t="s">
        <v>28</v>
      </c>
    </row>
    <row r="36" spans="1:11" ht="12.75" customHeight="1" x14ac:dyDescent="0.25">
      <c r="A36" s="44" t="s">
        <v>34</v>
      </c>
      <c r="C36" s="43" t="str">
        <f>$B$12</f>
        <v>June 2024</v>
      </c>
    </row>
    <row r="37" spans="1:11" ht="12.75" customHeight="1" x14ac:dyDescent="0.25">
      <c r="A37" s="44" t="s">
        <v>35</v>
      </c>
      <c r="C37" s="120">
        <f>INDEX($E$30:$H$30,MATCH(C36,E29:H29))</f>
        <v>1.1129126464165966</v>
      </c>
    </row>
    <row r="38" spans="1:11" ht="12.75" customHeight="1" x14ac:dyDescent="0.25"/>
    <row r="39" spans="1:11" ht="12.75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2.75" customHeight="1" x14ac:dyDescent="0.25"/>
    <row r="41" spans="1:11" ht="12.75" customHeight="1" x14ac:dyDescent="0.25">
      <c r="A41" s="44" t="s">
        <v>36</v>
      </c>
      <c r="C41" s="138" t="s">
        <v>37</v>
      </c>
      <c r="D41" t="s">
        <v>88</v>
      </c>
    </row>
    <row r="42" spans="1:11" ht="12.75" customHeight="1" x14ac:dyDescent="0.25">
      <c r="A42" s="44" t="s">
        <v>34</v>
      </c>
      <c r="C42" s="96">
        <v>135.18960020374115</v>
      </c>
      <c r="D42" t="s">
        <v>89</v>
      </c>
    </row>
    <row r="43" spans="1:11" ht="12.75" customHeight="1" x14ac:dyDescent="0.25">
      <c r="A43" s="44" t="s">
        <v>34</v>
      </c>
      <c r="C43" s="97">
        <v>145.77740895836223</v>
      </c>
      <c r="D43" t="s">
        <v>90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Y91"/>
  <sheetViews>
    <sheetView showGridLines="0" zoomScale="80" zoomScaleNormal="80" workbookViewId="0">
      <pane ySplit="9" topLeftCell="A10" activePane="bottomLeft" state="frozen"/>
      <selection activeCell="C14" sqref="C14"/>
      <selection pane="bottomLeft" activeCell="C32" sqref="C32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Market systems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 &amp; PAL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SUM(V7:V61)=0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38</v>
      </c>
      <c r="D7" s="65" t="s">
        <v>39</v>
      </c>
      <c r="E7" s="65" t="s">
        <v>40</v>
      </c>
      <c r="F7" s="16"/>
      <c r="G7" s="109" t="s">
        <v>11</v>
      </c>
      <c r="H7" s="19" t="s">
        <v>41</v>
      </c>
      <c r="J7" s="19" t="s">
        <v>42</v>
      </c>
      <c r="K7" s="20"/>
      <c r="L7" s="20"/>
      <c r="M7" s="20"/>
      <c r="N7" s="20"/>
      <c r="P7" s="19" t="s">
        <v>43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 t="s">
        <v>44</v>
      </c>
      <c r="E8" s="99"/>
      <c r="F8" s="16"/>
      <c r="G8" s="110" t="s">
        <v>45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F9" s="16"/>
    </row>
    <row r="10" spans="1:25" ht="12.75" customHeight="1" x14ac:dyDescent="0.2">
      <c r="A10" s="4"/>
      <c r="C10" s="81" t="s">
        <v>46</v>
      </c>
      <c r="D10" s="82" t="s">
        <v>44</v>
      </c>
      <c r="E10" s="80" t="s">
        <v>14</v>
      </c>
      <c r="F10" s="2"/>
      <c r="G10" s="64">
        <f>IF($E10="Labour",Assumptions!$B$14,)</f>
        <v>0</v>
      </c>
      <c r="H10" s="9" t="str">
        <f>IF($E10="Labour","Hours","$")</f>
        <v>$</v>
      </c>
      <c r="I10" s="2"/>
      <c r="J10" s="83"/>
      <c r="K10" s="83"/>
      <c r="L10" s="83">
        <v>8848</v>
      </c>
      <c r="M10" s="83">
        <v>11060</v>
      </c>
      <c r="N10" s="83">
        <v>13272</v>
      </c>
      <c r="O10" s="2"/>
      <c r="P10" s="5">
        <f t="shared" ref="P10:P41" si="0">IF($E10="Labour",$G10*J10,J10)</f>
        <v>0</v>
      </c>
      <c r="Q10" s="5">
        <f t="shared" ref="Q10:Q41" si="1">IF($E10="Labour",$G10*K10,K10)</f>
        <v>0</v>
      </c>
      <c r="R10" s="5">
        <f t="shared" ref="R10:R41" si="2">IF($E10="Labour",$G10*L10,L10)</f>
        <v>8848</v>
      </c>
      <c r="S10" s="5">
        <f t="shared" ref="S10:S41" si="3">IF($E10="Labour",$G10*M10,M10)</f>
        <v>11060</v>
      </c>
      <c r="T10" s="5">
        <f t="shared" ref="T10:T41" si="4">IF($E10="Labour",$G10*N10,N10)</f>
        <v>13272</v>
      </c>
    </row>
    <row r="11" spans="1:25" ht="12.75" customHeight="1" x14ac:dyDescent="0.2">
      <c r="A11" s="4"/>
      <c r="C11" s="81" t="s">
        <v>91</v>
      </c>
      <c r="D11" s="82" t="s">
        <v>44</v>
      </c>
      <c r="E11" s="80" t="s">
        <v>14</v>
      </c>
      <c r="F11" s="2"/>
      <c r="G11" s="64">
        <f>IF($E11="Labour",Assumptions!$B$14,)</f>
        <v>0</v>
      </c>
      <c r="H11" s="9" t="str">
        <f t="shared" ref="H11:H60" si="5">IF($E11="Labour","Hours","$")</f>
        <v>$</v>
      </c>
      <c r="I11" s="2"/>
      <c r="J11" s="83">
        <v>300000</v>
      </c>
      <c r="K11" s="83">
        <v>300000</v>
      </c>
      <c r="L11" s="83">
        <v>300000</v>
      </c>
      <c r="M11" s="83">
        <v>300000</v>
      </c>
      <c r="N11" s="83">
        <v>300000</v>
      </c>
      <c r="O11" s="2"/>
      <c r="P11" s="5">
        <f t="shared" si="0"/>
        <v>300000</v>
      </c>
      <c r="Q11" s="5">
        <f t="shared" si="1"/>
        <v>300000</v>
      </c>
      <c r="R11" s="5">
        <f t="shared" si="2"/>
        <v>300000</v>
      </c>
      <c r="S11" s="5">
        <f t="shared" si="3"/>
        <v>300000</v>
      </c>
      <c r="T11" s="5">
        <f t="shared" si="4"/>
        <v>300000</v>
      </c>
    </row>
    <row r="12" spans="1:25" ht="12.75" customHeight="1" x14ac:dyDescent="0.2">
      <c r="A12" s="4"/>
      <c r="C12" s="81" t="s">
        <v>47</v>
      </c>
      <c r="D12" s="82" t="s">
        <v>44</v>
      </c>
      <c r="E12" s="80" t="s">
        <v>14</v>
      </c>
      <c r="F12" s="2"/>
      <c r="G12" s="64">
        <f>IF($E12="Labour",Assumptions!$B$14,)</f>
        <v>0</v>
      </c>
      <c r="H12" s="9" t="str">
        <f t="shared" si="5"/>
        <v>$</v>
      </c>
      <c r="I12" s="2"/>
      <c r="J12" s="83">
        <f>250000*63.2%</f>
        <v>158000</v>
      </c>
      <c r="K12" s="83">
        <f t="shared" ref="K12:N12" si="6">250000*63.2%</f>
        <v>158000</v>
      </c>
      <c r="L12" s="83">
        <f t="shared" si="6"/>
        <v>158000</v>
      </c>
      <c r="M12" s="83">
        <f t="shared" si="6"/>
        <v>158000</v>
      </c>
      <c r="N12" s="83">
        <f t="shared" si="6"/>
        <v>158000</v>
      </c>
      <c r="O12" s="2"/>
      <c r="P12" s="5">
        <f t="shared" si="0"/>
        <v>158000</v>
      </c>
      <c r="Q12" s="5">
        <f t="shared" si="1"/>
        <v>158000</v>
      </c>
      <c r="R12" s="5">
        <f t="shared" si="2"/>
        <v>158000</v>
      </c>
      <c r="S12" s="5">
        <f t="shared" si="3"/>
        <v>158000</v>
      </c>
      <c r="T12" s="5">
        <f t="shared" si="4"/>
        <v>158000</v>
      </c>
    </row>
    <row r="13" spans="1:25" ht="12.75" customHeight="1" x14ac:dyDescent="0.25">
      <c r="A13" s="4"/>
      <c r="C13" s="81" t="s">
        <v>77</v>
      </c>
      <c r="D13" s="82" t="s">
        <v>44</v>
      </c>
      <c r="E13" s="80" t="s">
        <v>14</v>
      </c>
      <c r="F13" s="2"/>
      <c r="G13" s="64">
        <f>IF($E13="Labour",Assumptions!$B$14,)</f>
        <v>0</v>
      </c>
      <c r="H13" s="9" t="str">
        <f t="shared" si="5"/>
        <v>$</v>
      </c>
      <c r="I13" s="2"/>
      <c r="J13" s="83">
        <f t="shared" ref="J13:N14" si="7">250000*63.2%</f>
        <v>158000</v>
      </c>
      <c r="K13" s="83">
        <f t="shared" si="7"/>
        <v>158000</v>
      </c>
      <c r="L13" s="83">
        <f t="shared" si="7"/>
        <v>158000</v>
      </c>
      <c r="M13" s="83">
        <f t="shared" si="7"/>
        <v>158000</v>
      </c>
      <c r="N13" s="83">
        <f t="shared" si="7"/>
        <v>158000</v>
      </c>
      <c r="O13" s="2"/>
      <c r="P13" s="5">
        <f t="shared" si="0"/>
        <v>158000</v>
      </c>
      <c r="Q13" s="5">
        <f t="shared" si="1"/>
        <v>158000</v>
      </c>
      <c r="R13" s="5">
        <f t="shared" si="2"/>
        <v>158000</v>
      </c>
      <c r="S13" s="5">
        <f t="shared" si="3"/>
        <v>158000</v>
      </c>
      <c r="T13" s="5">
        <f t="shared" si="4"/>
        <v>158000</v>
      </c>
      <c r="Y13"/>
    </row>
    <row r="14" spans="1:25" ht="12.75" customHeight="1" x14ac:dyDescent="0.25">
      <c r="A14" s="4"/>
      <c r="C14" s="81" t="s">
        <v>78</v>
      </c>
      <c r="D14" s="82" t="s">
        <v>44</v>
      </c>
      <c r="E14" s="80" t="s">
        <v>14</v>
      </c>
      <c r="F14" s="2"/>
      <c r="G14" s="64">
        <f>IF($E14="Labour",Assumptions!$B$14,)</f>
        <v>0</v>
      </c>
      <c r="H14" s="9" t="str">
        <f t="shared" si="5"/>
        <v>$</v>
      </c>
      <c r="I14" s="2"/>
      <c r="J14" s="83">
        <f t="shared" si="7"/>
        <v>158000</v>
      </c>
      <c r="K14" s="83">
        <f t="shared" si="7"/>
        <v>158000</v>
      </c>
      <c r="L14" s="83">
        <f t="shared" si="7"/>
        <v>158000</v>
      </c>
      <c r="M14" s="83">
        <f t="shared" si="7"/>
        <v>158000</v>
      </c>
      <c r="N14" s="83">
        <f t="shared" si="7"/>
        <v>158000</v>
      </c>
      <c r="O14" s="2"/>
      <c r="P14" s="5">
        <f t="shared" si="0"/>
        <v>158000</v>
      </c>
      <c r="Q14" s="5">
        <f t="shared" si="1"/>
        <v>158000</v>
      </c>
      <c r="R14" s="5">
        <f t="shared" si="2"/>
        <v>158000</v>
      </c>
      <c r="S14" s="5">
        <f t="shared" si="3"/>
        <v>158000</v>
      </c>
      <c r="T14" s="5">
        <f t="shared" si="4"/>
        <v>158000</v>
      </c>
      <c r="Y14"/>
    </row>
    <row r="15" spans="1:25" ht="12.75" customHeight="1" x14ac:dyDescent="0.25">
      <c r="A15" s="4"/>
      <c r="C15" s="81"/>
      <c r="D15" s="82"/>
      <c r="E15" s="80"/>
      <c r="F15" s="2"/>
      <c r="G15" s="64">
        <f>IF($E15="Labour",Assumptions!$B$14,)</f>
        <v>0</v>
      </c>
      <c r="H15" s="9" t="str">
        <f t="shared" si="5"/>
        <v>$</v>
      </c>
      <c r="I15" s="2"/>
      <c r="J15" s="83"/>
      <c r="K15" s="83"/>
      <c r="L15" s="83"/>
      <c r="M15" s="83"/>
      <c r="N15" s="83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1"/>
      <c r="D16" s="82"/>
      <c r="E16" s="80"/>
      <c r="F16" s="2"/>
      <c r="G16" s="64">
        <f>IF($E16="Labour",Assumptions!$B$14,)</f>
        <v>0</v>
      </c>
      <c r="H16" s="9" t="str">
        <f t="shared" si="5"/>
        <v>$</v>
      </c>
      <c r="I16" s="2"/>
      <c r="J16" s="83"/>
      <c r="K16" s="83"/>
      <c r="L16" s="83"/>
      <c r="M16" s="83"/>
      <c r="N16" s="83"/>
      <c r="O16" s="2"/>
      <c r="P16" s="5">
        <f t="shared" si="0"/>
        <v>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1"/>
      <c r="D17" s="82"/>
      <c r="E17" s="80"/>
      <c r="F17" s="2"/>
      <c r="G17" s="64">
        <f>IF($E17="Labour",Assumptions!$B$14,)</f>
        <v>0</v>
      </c>
      <c r="H17" s="9" t="str">
        <f t="shared" si="5"/>
        <v>$</v>
      </c>
      <c r="I17" s="2"/>
      <c r="J17" s="83"/>
      <c r="K17" s="83"/>
      <c r="L17" s="83"/>
      <c r="M17" s="83"/>
      <c r="N17" s="83"/>
      <c r="O17" s="2"/>
      <c r="P17" s="5">
        <f t="shared" si="0"/>
        <v>0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1"/>
      <c r="D18" s="82"/>
      <c r="E18" s="80"/>
      <c r="F18" s="2"/>
      <c r="G18" s="64">
        <f>IF($E18="Labour",Assumptions!$B$14,)</f>
        <v>0</v>
      </c>
      <c r="H18" s="9" t="str">
        <f t="shared" si="5"/>
        <v>$</v>
      </c>
      <c r="I18" s="2"/>
      <c r="J18" s="83"/>
      <c r="K18" s="83"/>
      <c r="L18" s="83"/>
      <c r="M18" s="83"/>
      <c r="N18" s="83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1"/>
      <c r="D19" s="82"/>
      <c r="E19" s="80"/>
      <c r="F19" s="2"/>
      <c r="G19" s="64">
        <f>IF($E19="Labour",Assumptions!$B$14,)</f>
        <v>0</v>
      </c>
      <c r="H19" s="9" t="str">
        <f t="shared" si="5"/>
        <v>$</v>
      </c>
      <c r="I19" s="2"/>
      <c r="J19" s="83"/>
      <c r="K19" s="83"/>
      <c r="L19" s="83"/>
      <c r="M19" s="83"/>
      <c r="N19" s="83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1"/>
      <c r="D20" s="82"/>
      <c r="E20" s="80"/>
      <c r="F20" s="2"/>
      <c r="G20" s="64">
        <f>IF($E20="Labour",Assumptions!$B$14,)</f>
        <v>0</v>
      </c>
      <c r="H20" s="9" t="str">
        <f t="shared" si="5"/>
        <v>$</v>
      </c>
      <c r="I20" s="2"/>
      <c r="J20" s="83"/>
      <c r="K20" s="83"/>
      <c r="L20" s="83"/>
      <c r="M20" s="83"/>
      <c r="N20" s="83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1"/>
      <c r="D21" s="82"/>
      <c r="E21" s="80"/>
      <c r="F21" s="2"/>
      <c r="G21" s="64">
        <f>IF($E21="Labour",Assumptions!$B$14,)</f>
        <v>0</v>
      </c>
      <c r="H21" s="9" t="str">
        <f t="shared" si="5"/>
        <v>$</v>
      </c>
      <c r="I21" s="2"/>
      <c r="J21" s="83"/>
      <c r="K21" s="83"/>
      <c r="L21" s="83"/>
      <c r="M21" s="83"/>
      <c r="N21" s="83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1"/>
      <c r="D22" s="82"/>
      <c r="E22" s="80"/>
      <c r="F22" s="2"/>
      <c r="G22" s="64">
        <f>IF($E22="Labour",Assumptions!$B$14,)</f>
        <v>0</v>
      </c>
      <c r="H22" s="9" t="str">
        <f t="shared" si="5"/>
        <v>$</v>
      </c>
      <c r="I22" s="2"/>
      <c r="J22" s="83"/>
      <c r="K22" s="83"/>
      <c r="L22" s="83"/>
      <c r="M22" s="83"/>
      <c r="N22" s="83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1"/>
      <c r="D23" s="82"/>
      <c r="E23" s="80"/>
      <c r="F23" s="2"/>
      <c r="G23" s="64">
        <f>IF($E23="Labour",Assumptions!$B$14,)</f>
        <v>0</v>
      </c>
      <c r="H23" s="9" t="str">
        <f t="shared" si="5"/>
        <v>$</v>
      </c>
      <c r="I23" s="2"/>
      <c r="J23" s="83"/>
      <c r="K23" s="83"/>
      <c r="L23" s="83"/>
      <c r="M23" s="83"/>
      <c r="N23" s="83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1"/>
      <c r="D24" s="82"/>
      <c r="E24" s="80"/>
      <c r="F24" s="2"/>
      <c r="G24" s="64">
        <f>IF($E24="Labour",Assumptions!$B$14,)</f>
        <v>0</v>
      </c>
      <c r="H24" s="9" t="str">
        <f t="shared" si="5"/>
        <v>$</v>
      </c>
      <c r="I24" s="2"/>
      <c r="J24" s="83"/>
      <c r="K24" s="83"/>
      <c r="L24" s="83"/>
      <c r="M24" s="83"/>
      <c r="N24" s="83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1"/>
      <c r="D25" s="82"/>
      <c r="E25" s="80"/>
      <c r="F25" s="2"/>
      <c r="G25" s="64">
        <f>IF($E25="Labour",Assumptions!$B$14,)</f>
        <v>0</v>
      </c>
      <c r="H25" s="9" t="str">
        <f t="shared" si="5"/>
        <v>$</v>
      </c>
      <c r="I25" s="2"/>
      <c r="J25" s="83"/>
      <c r="K25" s="83"/>
      <c r="L25" s="83"/>
      <c r="M25" s="83"/>
      <c r="N25" s="83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1"/>
      <c r="D26" s="82"/>
      <c r="E26" s="80"/>
      <c r="F26" s="2"/>
      <c r="G26" s="64">
        <f>IF($E26="Labour",Assumptions!$B$14,)</f>
        <v>0</v>
      </c>
      <c r="H26" s="9" t="str">
        <f t="shared" si="5"/>
        <v>$</v>
      </c>
      <c r="I26" s="2"/>
      <c r="J26" s="83"/>
      <c r="K26" s="83"/>
      <c r="L26" s="83"/>
      <c r="M26" s="83"/>
      <c r="N26" s="83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1"/>
      <c r="D27" s="82"/>
      <c r="E27" s="80"/>
      <c r="F27" s="2"/>
      <c r="G27" s="64">
        <f>IF($E27="Labour",Assumptions!$B$14,)</f>
        <v>0</v>
      </c>
      <c r="H27" s="9" t="str">
        <f t="shared" si="5"/>
        <v>$</v>
      </c>
      <c r="I27" s="2"/>
      <c r="J27" s="83"/>
      <c r="K27" s="83"/>
      <c r="L27" s="83"/>
      <c r="M27" s="83"/>
      <c r="N27" s="83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1"/>
      <c r="D28" s="82"/>
      <c r="E28" s="80"/>
      <c r="F28" s="2"/>
      <c r="G28" s="64">
        <f>IF($E28="Labour",Assumptions!$B$14,)</f>
        <v>0</v>
      </c>
      <c r="H28" s="9" t="str">
        <f t="shared" si="5"/>
        <v>$</v>
      </c>
      <c r="I28" s="2"/>
      <c r="J28" s="83"/>
      <c r="K28" s="83"/>
      <c r="L28" s="83"/>
      <c r="M28" s="83"/>
      <c r="N28" s="83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1"/>
      <c r="D29" s="82"/>
      <c r="E29" s="80"/>
      <c r="F29" s="2"/>
      <c r="G29" s="64">
        <f>IF($E29="Labour",Assumptions!$B$14,)</f>
        <v>0</v>
      </c>
      <c r="H29" s="9" t="str">
        <f t="shared" si="5"/>
        <v>$</v>
      </c>
      <c r="I29" s="2"/>
      <c r="J29" s="83"/>
      <c r="K29" s="83"/>
      <c r="L29" s="83"/>
      <c r="M29" s="83"/>
      <c r="N29" s="83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1"/>
      <c r="D30" s="82"/>
      <c r="E30" s="80"/>
      <c r="F30" s="2"/>
      <c r="G30" s="64">
        <f>IF($E30="Labour",Assumptions!$B$14,)</f>
        <v>0</v>
      </c>
      <c r="H30" s="9" t="str">
        <f t="shared" si="5"/>
        <v>$</v>
      </c>
      <c r="I30" s="2"/>
      <c r="J30" s="83"/>
      <c r="K30" s="83"/>
      <c r="L30" s="83"/>
      <c r="M30" s="83"/>
      <c r="N30" s="83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1"/>
      <c r="D31" s="82"/>
      <c r="E31" s="80"/>
      <c r="F31" s="2"/>
      <c r="G31" s="64">
        <f>IF($E31="Labour",Assumptions!$B$14,)</f>
        <v>0</v>
      </c>
      <c r="H31" s="9" t="str">
        <f t="shared" si="5"/>
        <v>$</v>
      </c>
      <c r="I31" s="2"/>
      <c r="J31" s="83"/>
      <c r="K31" s="83"/>
      <c r="L31" s="83"/>
      <c r="M31" s="83"/>
      <c r="N31" s="83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1"/>
      <c r="D32" s="82"/>
      <c r="E32" s="80"/>
      <c r="F32" s="2"/>
      <c r="G32" s="64">
        <f>IF($E32="Labour",Assumptions!$B$14,)</f>
        <v>0</v>
      </c>
      <c r="H32" s="9" t="str">
        <f t="shared" si="5"/>
        <v>$</v>
      </c>
      <c r="I32" s="2"/>
      <c r="J32" s="83"/>
      <c r="K32" s="83"/>
      <c r="L32" s="83"/>
      <c r="M32" s="83"/>
      <c r="N32" s="83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1"/>
      <c r="D33" s="82"/>
      <c r="E33" s="80"/>
      <c r="F33" s="2"/>
      <c r="G33" s="64">
        <f>IF($E33="Labour",Assumptions!$B$14,)</f>
        <v>0</v>
      </c>
      <c r="H33" s="9" t="str">
        <f t="shared" si="5"/>
        <v>$</v>
      </c>
      <c r="I33" s="2"/>
      <c r="J33" s="83"/>
      <c r="K33" s="83"/>
      <c r="L33" s="83"/>
      <c r="M33" s="83"/>
      <c r="N33" s="83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1"/>
      <c r="D34" s="82"/>
      <c r="E34" s="80"/>
      <c r="F34" s="2"/>
      <c r="G34" s="64">
        <f>IF($E34="Labour",Assumptions!$B$14,)</f>
        <v>0</v>
      </c>
      <c r="H34" s="9" t="str">
        <f t="shared" si="5"/>
        <v>$</v>
      </c>
      <c r="I34" s="2"/>
      <c r="J34" s="83"/>
      <c r="K34" s="83"/>
      <c r="L34" s="83"/>
      <c r="M34" s="83"/>
      <c r="N34" s="83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/>
      <c r="D35" s="82"/>
      <c r="E35" s="80"/>
      <c r="F35" s="2"/>
      <c r="G35" s="64">
        <f>IF($E35="Labour",Assumptions!$B$14,)</f>
        <v>0</v>
      </c>
      <c r="H35" s="9" t="str">
        <f t="shared" si="5"/>
        <v>$</v>
      </c>
      <c r="I35" s="2"/>
      <c r="J35" s="83"/>
      <c r="K35" s="83"/>
      <c r="L35" s="83"/>
      <c r="M35" s="83"/>
      <c r="N35" s="83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1"/>
      <c r="D36" s="82"/>
      <c r="E36" s="80"/>
      <c r="F36" s="2"/>
      <c r="G36" s="64">
        <f>IF($E36="Labour",Assumptions!$B$14,)</f>
        <v>0</v>
      </c>
      <c r="H36" s="9" t="str">
        <f t="shared" si="5"/>
        <v>$</v>
      </c>
      <c r="I36" s="2"/>
      <c r="J36" s="83"/>
      <c r="K36" s="83"/>
      <c r="L36" s="83"/>
      <c r="M36" s="83"/>
      <c r="N36" s="83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/>
      <c r="D37" s="82"/>
      <c r="E37" s="80"/>
      <c r="F37" s="2"/>
      <c r="G37" s="64">
        <f>IF($E37="Labour",Assumptions!$B$14,)</f>
        <v>0</v>
      </c>
      <c r="H37" s="9" t="str">
        <f t="shared" si="5"/>
        <v>$</v>
      </c>
      <c r="I37" s="2"/>
      <c r="J37" s="83"/>
      <c r="K37" s="83"/>
      <c r="L37" s="83"/>
      <c r="M37" s="83"/>
      <c r="N37" s="83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/>
      <c r="D38" s="82"/>
      <c r="E38" s="80"/>
      <c r="F38" s="2"/>
      <c r="G38" s="64">
        <f>IF($E38="Labour",Assumptions!$B$14,)</f>
        <v>0</v>
      </c>
      <c r="H38" s="9" t="str">
        <f t="shared" si="5"/>
        <v>$</v>
      </c>
      <c r="I38" s="2"/>
      <c r="J38" s="83"/>
      <c r="K38" s="83"/>
      <c r="L38" s="83"/>
      <c r="M38" s="83"/>
      <c r="N38" s="83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/>
      <c r="D39" s="82"/>
      <c r="E39" s="80"/>
      <c r="F39" s="2"/>
      <c r="G39" s="64">
        <f>IF($E39="Labour",Assumptions!$B$14,)</f>
        <v>0</v>
      </c>
      <c r="H39" s="9" t="str">
        <f t="shared" si="5"/>
        <v>$</v>
      </c>
      <c r="I39" s="2"/>
      <c r="J39" s="83"/>
      <c r="K39" s="83"/>
      <c r="L39" s="83"/>
      <c r="M39" s="83"/>
      <c r="N39" s="83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/>
      <c r="D40" s="82"/>
      <c r="E40" s="80"/>
      <c r="G40" s="64">
        <f>IF($E40="Labour",Assumptions!$B$14,)</f>
        <v>0</v>
      </c>
      <c r="H40" s="9" t="str">
        <f t="shared" si="5"/>
        <v>$</v>
      </c>
      <c r="J40" s="83"/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/>
      <c r="D41" s="82"/>
      <c r="E41" s="80"/>
      <c r="G41" s="64">
        <f>IF($E41="Labour",Assumptions!$B$14,)</f>
        <v>0</v>
      </c>
      <c r="H41" s="9" t="str">
        <f t="shared" si="5"/>
        <v>$</v>
      </c>
      <c r="J41" s="83"/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/>
      <c r="D42" s="82"/>
      <c r="E42" s="80"/>
      <c r="G42" s="64">
        <f>IF($E42="Labour",Assumptions!$B$14,)</f>
        <v>0</v>
      </c>
      <c r="H42" s="9" t="str">
        <f t="shared" si="5"/>
        <v>$</v>
      </c>
      <c r="J42" s="83"/>
      <c r="K42" s="83"/>
      <c r="L42" s="83"/>
      <c r="M42" s="83"/>
      <c r="N42" s="83"/>
      <c r="P42" s="5">
        <f t="shared" ref="P42:P60" si="8">IF($E42="Labour",$G42*J42,J42)</f>
        <v>0</v>
      </c>
      <c r="Q42" s="5">
        <f t="shared" ref="Q42:Q60" si="9">IF($E42="Labour",$G42*K42,K42)</f>
        <v>0</v>
      </c>
      <c r="R42" s="5">
        <f t="shared" ref="R42:R60" si="10">IF($E42="Labour",$G42*L42,L42)</f>
        <v>0</v>
      </c>
      <c r="S42" s="5">
        <f t="shared" ref="S42:S60" si="11">IF($E42="Labour",$G42*M42,M42)</f>
        <v>0</v>
      </c>
      <c r="T42" s="5">
        <f t="shared" ref="T42:T60" si="12">IF($E42="Labour",$G42*N42,N42)</f>
        <v>0</v>
      </c>
    </row>
    <row r="43" spans="1:25" ht="12.75" customHeight="1" x14ac:dyDescent="0.2">
      <c r="A43" s="4"/>
      <c r="C43" s="81"/>
      <c r="D43" s="82"/>
      <c r="E43" s="80"/>
      <c r="G43" s="64">
        <f>IF($E43="Labour",Assumptions!$B$14,)</f>
        <v>0</v>
      </c>
      <c r="H43" s="9" t="str">
        <f t="shared" si="5"/>
        <v>$</v>
      </c>
      <c r="J43" s="83"/>
      <c r="K43" s="83"/>
      <c r="L43" s="83"/>
      <c r="M43" s="83"/>
      <c r="N43" s="83"/>
      <c r="P43" s="5">
        <f t="shared" si="8"/>
        <v>0</v>
      </c>
      <c r="Q43" s="5">
        <f t="shared" si="9"/>
        <v>0</v>
      </c>
      <c r="R43" s="5">
        <f t="shared" si="10"/>
        <v>0</v>
      </c>
      <c r="S43" s="5">
        <f t="shared" si="11"/>
        <v>0</v>
      </c>
      <c r="T43" s="5">
        <f t="shared" si="12"/>
        <v>0</v>
      </c>
    </row>
    <row r="44" spans="1:25" ht="12.75" customHeight="1" x14ac:dyDescent="0.2">
      <c r="A44" s="4"/>
      <c r="C44" s="81"/>
      <c r="D44" s="82"/>
      <c r="E44" s="80"/>
      <c r="G44" s="64">
        <f>IF($E44="Labour",Assumptions!$B$14,)</f>
        <v>0</v>
      </c>
      <c r="H44" s="9" t="str">
        <f t="shared" si="5"/>
        <v>$</v>
      </c>
      <c r="J44" s="83"/>
      <c r="K44" s="83"/>
      <c r="L44" s="83"/>
      <c r="M44" s="83"/>
      <c r="N44" s="83"/>
      <c r="P44" s="5">
        <f t="shared" si="8"/>
        <v>0</v>
      </c>
      <c r="Q44" s="5">
        <f t="shared" si="9"/>
        <v>0</v>
      </c>
      <c r="R44" s="5">
        <f t="shared" si="10"/>
        <v>0</v>
      </c>
      <c r="S44" s="5">
        <f t="shared" si="11"/>
        <v>0</v>
      </c>
      <c r="T44" s="5">
        <f t="shared" si="12"/>
        <v>0</v>
      </c>
    </row>
    <row r="45" spans="1:25" ht="12.75" customHeight="1" x14ac:dyDescent="0.2">
      <c r="A45" s="4"/>
      <c r="C45" s="81"/>
      <c r="D45" s="82"/>
      <c r="E45" s="80"/>
      <c r="G45" s="64">
        <f>IF($E45="Labour",Assumptions!$B$14,)</f>
        <v>0</v>
      </c>
      <c r="H45" s="9" t="str">
        <f t="shared" si="5"/>
        <v>$</v>
      </c>
      <c r="J45" s="83"/>
      <c r="K45" s="83"/>
      <c r="L45" s="83"/>
      <c r="M45" s="83"/>
      <c r="N45" s="83"/>
      <c r="P45" s="5">
        <f t="shared" si="8"/>
        <v>0</v>
      </c>
      <c r="Q45" s="5">
        <f t="shared" si="9"/>
        <v>0</v>
      </c>
      <c r="R45" s="5">
        <f t="shared" si="10"/>
        <v>0</v>
      </c>
      <c r="S45" s="5">
        <f t="shared" si="11"/>
        <v>0</v>
      </c>
      <c r="T45" s="5">
        <f t="shared" si="12"/>
        <v>0</v>
      </c>
    </row>
    <row r="46" spans="1:25" ht="12.75" customHeight="1" x14ac:dyDescent="0.2">
      <c r="A46" s="4"/>
      <c r="C46" s="81"/>
      <c r="D46" s="82"/>
      <c r="E46" s="80"/>
      <c r="G46" s="64">
        <f>IF($E46="Labour",Assumptions!$B$14,)</f>
        <v>0</v>
      </c>
      <c r="H46" s="9" t="str">
        <f t="shared" si="5"/>
        <v>$</v>
      </c>
      <c r="J46" s="83"/>
      <c r="K46" s="83"/>
      <c r="L46" s="83"/>
      <c r="M46" s="83"/>
      <c r="N46" s="83"/>
      <c r="P46" s="5">
        <f t="shared" si="8"/>
        <v>0</v>
      </c>
      <c r="Q46" s="5">
        <f t="shared" si="9"/>
        <v>0</v>
      </c>
      <c r="R46" s="5">
        <f t="shared" si="10"/>
        <v>0</v>
      </c>
      <c r="S46" s="5">
        <f t="shared" si="11"/>
        <v>0</v>
      </c>
      <c r="T46" s="5">
        <f t="shared" si="12"/>
        <v>0</v>
      </c>
    </row>
    <row r="47" spans="1:25" ht="12.75" customHeight="1" x14ac:dyDescent="0.2">
      <c r="A47" s="4"/>
      <c r="C47" s="81"/>
      <c r="D47" s="82"/>
      <c r="E47" s="80"/>
      <c r="G47" s="64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8"/>
        <v>0</v>
      </c>
      <c r="Q47" s="5">
        <f t="shared" si="9"/>
        <v>0</v>
      </c>
      <c r="R47" s="5">
        <f t="shared" si="10"/>
        <v>0</v>
      </c>
      <c r="S47" s="5">
        <f t="shared" si="11"/>
        <v>0</v>
      </c>
      <c r="T47" s="5">
        <f t="shared" si="12"/>
        <v>0</v>
      </c>
    </row>
    <row r="48" spans="1:25" ht="12.75" customHeight="1" x14ac:dyDescent="0.2">
      <c r="A48" s="4"/>
      <c r="C48" s="81"/>
      <c r="D48" s="82"/>
      <c r="E48" s="80"/>
      <c r="G48" s="64">
        <f>IF($E48="Labour",Assumptions!$B$14,)</f>
        <v>0</v>
      </c>
      <c r="H48" s="9" t="str">
        <f t="shared" si="5"/>
        <v>$</v>
      </c>
      <c r="J48" s="83"/>
      <c r="K48" s="83"/>
      <c r="L48" s="83"/>
      <c r="M48" s="83"/>
      <c r="N48" s="83"/>
      <c r="P48" s="5">
        <f t="shared" si="8"/>
        <v>0</v>
      </c>
      <c r="Q48" s="5">
        <f t="shared" si="9"/>
        <v>0</v>
      </c>
      <c r="R48" s="5">
        <f t="shared" si="10"/>
        <v>0</v>
      </c>
      <c r="S48" s="5">
        <f t="shared" si="11"/>
        <v>0</v>
      </c>
      <c r="T48" s="5">
        <f t="shared" si="12"/>
        <v>0</v>
      </c>
    </row>
    <row r="49" spans="1:25" ht="12.75" customHeight="1" x14ac:dyDescent="0.2">
      <c r="A49" s="4"/>
      <c r="C49" s="81"/>
      <c r="D49" s="82"/>
      <c r="E49" s="80"/>
      <c r="G49" s="64">
        <f>IF($E49="Labour",Assumptions!$B$14,)</f>
        <v>0</v>
      </c>
      <c r="H49" s="9" t="str">
        <f t="shared" si="5"/>
        <v>$</v>
      </c>
      <c r="J49" s="83"/>
      <c r="K49" s="83"/>
      <c r="L49" s="83"/>
      <c r="M49" s="83"/>
      <c r="N49" s="83"/>
      <c r="P49" s="5">
        <f t="shared" si="8"/>
        <v>0</v>
      </c>
      <c r="Q49" s="5">
        <f t="shared" si="9"/>
        <v>0</v>
      </c>
      <c r="R49" s="5">
        <f t="shared" si="10"/>
        <v>0</v>
      </c>
      <c r="S49" s="5">
        <f t="shared" si="11"/>
        <v>0</v>
      </c>
      <c r="T49" s="5">
        <f t="shared" si="12"/>
        <v>0</v>
      </c>
    </row>
    <row r="50" spans="1:25" ht="12.75" customHeight="1" x14ac:dyDescent="0.2">
      <c r="A50" s="4"/>
      <c r="C50" s="81"/>
      <c r="D50" s="82"/>
      <c r="E50" s="80"/>
      <c r="G50" s="64">
        <f>IF($E50="Labour",Assumptions!$B$14,)</f>
        <v>0</v>
      </c>
      <c r="H50" s="9" t="str">
        <f t="shared" si="5"/>
        <v>$</v>
      </c>
      <c r="J50" s="83"/>
      <c r="K50" s="83"/>
      <c r="L50" s="83"/>
      <c r="M50" s="83"/>
      <c r="N50" s="83"/>
      <c r="P50" s="5">
        <f t="shared" si="8"/>
        <v>0</v>
      </c>
      <c r="Q50" s="5">
        <f t="shared" si="9"/>
        <v>0</v>
      </c>
      <c r="R50" s="5">
        <f t="shared" si="10"/>
        <v>0</v>
      </c>
      <c r="S50" s="5">
        <f t="shared" si="11"/>
        <v>0</v>
      </c>
      <c r="T50" s="5">
        <f t="shared" si="12"/>
        <v>0</v>
      </c>
    </row>
    <row r="51" spans="1:25" ht="12.75" customHeight="1" x14ac:dyDescent="0.2">
      <c r="A51" s="4"/>
      <c r="C51" s="81"/>
      <c r="D51" s="82"/>
      <c r="E51" s="80"/>
      <c r="G51" s="64">
        <f>IF($E51="Labour",Assumptions!$B$14,)</f>
        <v>0</v>
      </c>
      <c r="H51" s="9" t="str">
        <f t="shared" si="5"/>
        <v>$</v>
      </c>
      <c r="J51" s="83"/>
      <c r="K51" s="83"/>
      <c r="L51" s="83"/>
      <c r="M51" s="83"/>
      <c r="N51" s="83"/>
      <c r="P51" s="5">
        <f t="shared" si="8"/>
        <v>0</v>
      </c>
      <c r="Q51" s="5">
        <f t="shared" si="9"/>
        <v>0</v>
      </c>
      <c r="R51" s="5">
        <f t="shared" si="10"/>
        <v>0</v>
      </c>
      <c r="S51" s="5">
        <f t="shared" si="11"/>
        <v>0</v>
      </c>
      <c r="T51" s="5">
        <f t="shared" si="12"/>
        <v>0</v>
      </c>
    </row>
    <row r="52" spans="1:25" ht="12.75" customHeight="1" x14ac:dyDescent="0.2">
      <c r="A52" s="4"/>
      <c r="C52" s="81"/>
      <c r="D52" s="82"/>
      <c r="E52" s="80"/>
      <c r="G52" s="64">
        <f>IF($E52="Labour",Assumptions!$B$14,)</f>
        <v>0</v>
      </c>
      <c r="H52" s="9" t="str">
        <f t="shared" si="5"/>
        <v>$</v>
      </c>
      <c r="J52" s="83"/>
      <c r="K52" s="83"/>
      <c r="L52" s="83"/>
      <c r="M52" s="83"/>
      <c r="N52" s="83"/>
      <c r="P52" s="5">
        <f t="shared" si="8"/>
        <v>0</v>
      </c>
      <c r="Q52" s="5">
        <f t="shared" si="9"/>
        <v>0</v>
      </c>
      <c r="R52" s="5">
        <f t="shared" si="10"/>
        <v>0</v>
      </c>
      <c r="S52" s="5">
        <f t="shared" si="11"/>
        <v>0</v>
      </c>
      <c r="T52" s="5">
        <f t="shared" si="12"/>
        <v>0</v>
      </c>
    </row>
    <row r="53" spans="1:25" ht="12.75" customHeight="1" x14ac:dyDescent="0.2">
      <c r="A53" s="4"/>
      <c r="C53" s="81"/>
      <c r="D53" s="82"/>
      <c r="E53" s="80"/>
      <c r="G53" s="64">
        <f>IF($E53="Labour",Assumptions!$B$14,)</f>
        <v>0</v>
      </c>
      <c r="H53" s="9" t="str">
        <f t="shared" si="5"/>
        <v>$</v>
      </c>
      <c r="J53" s="83"/>
      <c r="K53" s="83"/>
      <c r="L53" s="83"/>
      <c r="M53" s="83"/>
      <c r="N53" s="83"/>
      <c r="P53" s="5">
        <f t="shared" si="8"/>
        <v>0</v>
      </c>
      <c r="Q53" s="5">
        <f t="shared" si="9"/>
        <v>0</v>
      </c>
      <c r="R53" s="5">
        <f t="shared" si="10"/>
        <v>0</v>
      </c>
      <c r="S53" s="5">
        <f t="shared" si="11"/>
        <v>0</v>
      </c>
      <c r="T53" s="5">
        <f t="shared" si="12"/>
        <v>0</v>
      </c>
    </row>
    <row r="54" spans="1:25" ht="12.75" customHeight="1" x14ac:dyDescent="0.2">
      <c r="A54" s="4"/>
      <c r="C54" s="81"/>
      <c r="D54" s="82"/>
      <c r="E54" s="80"/>
      <c r="G54" s="64">
        <f>IF($E54="Labour",Assumptions!$B$14,)</f>
        <v>0</v>
      </c>
      <c r="H54" s="9" t="str">
        <f t="shared" si="5"/>
        <v>$</v>
      </c>
      <c r="J54" s="83"/>
      <c r="K54" s="83"/>
      <c r="L54" s="83"/>
      <c r="M54" s="83"/>
      <c r="N54" s="83"/>
      <c r="P54" s="5">
        <f t="shared" si="8"/>
        <v>0</v>
      </c>
      <c r="Q54" s="5">
        <f t="shared" si="9"/>
        <v>0</v>
      </c>
      <c r="R54" s="5">
        <f t="shared" si="10"/>
        <v>0</v>
      </c>
      <c r="S54" s="5">
        <f t="shared" si="11"/>
        <v>0</v>
      </c>
      <c r="T54" s="5">
        <f t="shared" si="12"/>
        <v>0</v>
      </c>
    </row>
    <row r="55" spans="1:25" ht="12.75" customHeight="1" x14ac:dyDescent="0.2">
      <c r="A55" s="4"/>
      <c r="C55" s="81"/>
      <c r="D55" s="82"/>
      <c r="E55" s="80"/>
      <c r="G55" s="64">
        <f>IF($E55="Labour",Assumptions!$B$14,)</f>
        <v>0</v>
      </c>
      <c r="H55" s="9" t="str">
        <f t="shared" si="5"/>
        <v>$</v>
      </c>
      <c r="J55" s="83"/>
      <c r="K55" s="83"/>
      <c r="L55" s="83"/>
      <c r="M55" s="83"/>
      <c r="N55" s="83"/>
      <c r="P55" s="5">
        <f t="shared" si="8"/>
        <v>0</v>
      </c>
      <c r="Q55" s="5">
        <f t="shared" si="9"/>
        <v>0</v>
      </c>
      <c r="R55" s="5">
        <f t="shared" si="10"/>
        <v>0</v>
      </c>
      <c r="S55" s="5">
        <f t="shared" si="11"/>
        <v>0</v>
      </c>
      <c r="T55" s="5">
        <f t="shared" si="12"/>
        <v>0</v>
      </c>
    </row>
    <row r="56" spans="1:25" ht="12.75" customHeight="1" x14ac:dyDescent="0.2">
      <c r="A56" s="4"/>
      <c r="C56" s="81"/>
      <c r="D56" s="82"/>
      <c r="E56" s="80"/>
      <c r="G56" s="64">
        <f>IF($E56="Labour",Assumptions!$B$14,)</f>
        <v>0</v>
      </c>
      <c r="H56" s="9" t="str">
        <f t="shared" si="5"/>
        <v>$</v>
      </c>
      <c r="J56" s="83"/>
      <c r="K56" s="83"/>
      <c r="L56" s="83"/>
      <c r="M56" s="83"/>
      <c r="N56" s="83"/>
      <c r="P56" s="5">
        <f t="shared" si="8"/>
        <v>0</v>
      </c>
      <c r="Q56" s="5">
        <f t="shared" si="9"/>
        <v>0</v>
      </c>
      <c r="R56" s="5">
        <f t="shared" si="10"/>
        <v>0</v>
      </c>
      <c r="S56" s="5">
        <f t="shared" si="11"/>
        <v>0</v>
      </c>
      <c r="T56" s="5">
        <f t="shared" si="12"/>
        <v>0</v>
      </c>
    </row>
    <row r="57" spans="1:25" ht="12.75" customHeight="1" x14ac:dyDescent="0.2">
      <c r="A57" s="4"/>
      <c r="C57" s="81"/>
      <c r="D57" s="82"/>
      <c r="E57" s="80"/>
      <c r="G57" s="64">
        <f>IF($E57="Labour",Assumptions!$B$14,)</f>
        <v>0</v>
      </c>
      <c r="H57" s="9" t="str">
        <f t="shared" si="5"/>
        <v>$</v>
      </c>
      <c r="J57" s="83"/>
      <c r="K57" s="83"/>
      <c r="L57" s="83"/>
      <c r="M57" s="83"/>
      <c r="N57" s="83"/>
      <c r="P57" s="5">
        <f t="shared" si="8"/>
        <v>0</v>
      </c>
      <c r="Q57" s="5">
        <f t="shared" si="9"/>
        <v>0</v>
      </c>
      <c r="R57" s="5">
        <f t="shared" si="10"/>
        <v>0</v>
      </c>
      <c r="S57" s="5">
        <f t="shared" si="11"/>
        <v>0</v>
      </c>
      <c r="T57" s="5">
        <f t="shared" si="12"/>
        <v>0</v>
      </c>
    </row>
    <row r="58" spans="1:25" ht="12.75" customHeight="1" x14ac:dyDescent="0.2">
      <c r="A58" s="4"/>
      <c r="C58" s="81"/>
      <c r="D58" s="82"/>
      <c r="E58" s="80"/>
      <c r="G58" s="64">
        <f>IF($E58="Labour",Assumptions!$B$14,)</f>
        <v>0</v>
      </c>
      <c r="H58" s="9" t="str">
        <f t="shared" si="5"/>
        <v>$</v>
      </c>
      <c r="J58" s="83"/>
      <c r="K58" s="83"/>
      <c r="L58" s="83"/>
      <c r="M58" s="83"/>
      <c r="N58" s="83"/>
      <c r="P58" s="5">
        <f t="shared" si="8"/>
        <v>0</v>
      </c>
      <c r="Q58" s="5">
        <f t="shared" si="9"/>
        <v>0</v>
      </c>
      <c r="R58" s="5">
        <f t="shared" si="10"/>
        <v>0</v>
      </c>
      <c r="S58" s="5">
        <f t="shared" si="11"/>
        <v>0</v>
      </c>
      <c r="T58" s="5">
        <f t="shared" si="12"/>
        <v>0</v>
      </c>
    </row>
    <row r="59" spans="1:25" ht="12.75" customHeight="1" x14ac:dyDescent="0.2">
      <c r="A59" s="4"/>
      <c r="C59" s="81"/>
      <c r="D59" s="82"/>
      <c r="E59" s="80"/>
      <c r="G59" s="64">
        <f>IF($E59="Labour",Assumptions!$B$14,)</f>
        <v>0</v>
      </c>
      <c r="H59" s="9" t="str">
        <f t="shared" si="5"/>
        <v>$</v>
      </c>
      <c r="J59" s="83"/>
      <c r="K59" s="83"/>
      <c r="L59" s="83"/>
      <c r="M59" s="83"/>
      <c r="N59" s="83"/>
      <c r="P59" s="5">
        <f t="shared" si="8"/>
        <v>0</v>
      </c>
      <c r="Q59" s="5">
        <f t="shared" si="9"/>
        <v>0</v>
      </c>
      <c r="R59" s="5">
        <f t="shared" si="10"/>
        <v>0</v>
      </c>
      <c r="S59" s="5">
        <f t="shared" si="11"/>
        <v>0</v>
      </c>
      <c r="T59" s="5">
        <f t="shared" si="12"/>
        <v>0</v>
      </c>
    </row>
    <row r="60" spans="1:25" ht="12.75" customHeight="1" x14ac:dyDescent="0.2">
      <c r="A60" s="4"/>
      <c r="C60" s="81"/>
      <c r="D60" s="82"/>
      <c r="E60" s="80"/>
      <c r="G60" s="64">
        <f>IF($E60="Labour",Assumptions!$B$14,)</f>
        <v>0</v>
      </c>
      <c r="H60" s="9" t="str">
        <f t="shared" si="5"/>
        <v>$</v>
      </c>
      <c r="J60" s="83"/>
      <c r="K60" s="83"/>
      <c r="L60" s="83"/>
      <c r="M60" s="83"/>
      <c r="N60" s="83"/>
      <c r="P60" s="5">
        <f t="shared" si="8"/>
        <v>0</v>
      </c>
      <c r="Q60" s="5">
        <f t="shared" si="9"/>
        <v>0</v>
      </c>
      <c r="R60" s="5">
        <f t="shared" si="10"/>
        <v>0</v>
      </c>
      <c r="S60" s="5">
        <f t="shared" si="11"/>
        <v>0</v>
      </c>
      <c r="T60" s="5">
        <f t="shared" si="12"/>
        <v>0</v>
      </c>
      <c r="U60" s="106"/>
    </row>
    <row r="61" spans="1:25" ht="12.75" customHeight="1" x14ac:dyDescent="0.25">
      <c r="F61" s="2"/>
      <c r="I61" s="2"/>
      <c r="O61" s="2"/>
      <c r="Y61"/>
    </row>
    <row r="62" spans="1:25" ht="12.75" customHeight="1" x14ac:dyDescent="0.25">
      <c r="F62" s="2"/>
      <c r="I62" s="2"/>
      <c r="O62" s="2"/>
      <c r="Y62"/>
    </row>
    <row r="63" spans="1:25" ht="12.75" customHeight="1" x14ac:dyDescent="0.25">
      <c r="C63" s="3" t="s">
        <v>48</v>
      </c>
      <c r="F63" s="2"/>
      <c r="I63" s="2"/>
      <c r="O63" s="2"/>
      <c r="P63" s="69" t="s">
        <v>6</v>
      </c>
      <c r="Q63" s="69" t="s">
        <v>7</v>
      </c>
      <c r="R63" s="69" t="s">
        <v>8</v>
      </c>
      <c r="S63" s="69" t="s">
        <v>9</v>
      </c>
      <c r="T63" s="69" t="s">
        <v>10</v>
      </c>
      <c r="U63" s="69" t="s">
        <v>0</v>
      </c>
      <c r="Y63"/>
    </row>
    <row r="64" spans="1:25" ht="12.75" customHeight="1" x14ac:dyDescent="0.2">
      <c r="C64" s="24" t="s">
        <v>11</v>
      </c>
      <c r="D64" s="24" t="s">
        <v>49</v>
      </c>
      <c r="E64" s="24"/>
      <c r="F64" s="2"/>
      <c r="G64" s="66"/>
      <c r="H64" s="67"/>
      <c r="I64" s="2"/>
      <c r="J64" s="24"/>
      <c r="K64" s="24"/>
      <c r="L64" s="24"/>
      <c r="M64" s="24"/>
      <c r="N64" s="24"/>
      <c r="O64" s="2"/>
      <c r="P64" s="25">
        <f t="shared" ref="P64:T66" si="13">SUMIFS(P$10:P$60,$E$10:$E$60,$C64,$D$10:$D$60,$D64)</f>
        <v>0</v>
      </c>
      <c r="Q64" s="25">
        <f t="shared" si="13"/>
        <v>0</v>
      </c>
      <c r="R64" s="25">
        <f t="shared" si="13"/>
        <v>0</v>
      </c>
      <c r="S64" s="25">
        <f t="shared" si="13"/>
        <v>0</v>
      </c>
      <c r="T64" s="25">
        <f t="shared" si="13"/>
        <v>0</v>
      </c>
      <c r="U64" s="71">
        <f>SUM(P64:T64)</f>
        <v>0</v>
      </c>
    </row>
    <row r="65" spans="3:22" ht="12.75" customHeight="1" x14ac:dyDescent="0.2">
      <c r="C65" s="1" t="s">
        <v>13</v>
      </c>
      <c r="D65" s="1" t="s">
        <v>49</v>
      </c>
      <c r="F65" s="2"/>
      <c r="G65" s="68"/>
      <c r="I65" s="2"/>
      <c r="O65" s="2"/>
      <c r="P65" s="6">
        <f t="shared" si="13"/>
        <v>0</v>
      </c>
      <c r="Q65" s="6">
        <f t="shared" si="13"/>
        <v>0</v>
      </c>
      <c r="R65" s="6">
        <f t="shared" si="13"/>
        <v>0</v>
      </c>
      <c r="S65" s="6">
        <f t="shared" si="13"/>
        <v>0</v>
      </c>
      <c r="T65" s="6">
        <f t="shared" si="13"/>
        <v>0</v>
      </c>
      <c r="U65" s="72">
        <f t="shared" ref="U65:U73" si="14">SUM(P65:T65)</f>
        <v>0</v>
      </c>
    </row>
    <row r="66" spans="3:22" ht="12.75" customHeight="1" x14ac:dyDescent="0.2">
      <c r="C66" s="1" t="s">
        <v>14</v>
      </c>
      <c r="D66" s="1" t="s">
        <v>49</v>
      </c>
      <c r="F66" s="2"/>
      <c r="G66" s="68"/>
      <c r="I66" s="2"/>
      <c r="O66" s="2"/>
      <c r="P66" s="6">
        <f t="shared" si="13"/>
        <v>0</v>
      </c>
      <c r="Q66" s="6">
        <f t="shared" si="13"/>
        <v>0</v>
      </c>
      <c r="R66" s="6">
        <f t="shared" si="13"/>
        <v>0</v>
      </c>
      <c r="S66" s="6">
        <f t="shared" si="13"/>
        <v>0</v>
      </c>
      <c r="T66" s="6">
        <f t="shared" si="13"/>
        <v>0</v>
      </c>
      <c r="U66" s="72">
        <f t="shared" si="14"/>
        <v>0</v>
      </c>
    </row>
    <row r="67" spans="3:22" ht="12.75" customHeight="1" x14ac:dyDescent="0.2">
      <c r="C67" s="21" t="s">
        <v>15</v>
      </c>
      <c r="D67" s="21" t="s">
        <v>49</v>
      </c>
      <c r="E67" s="101"/>
      <c r="F67" s="103"/>
      <c r="G67" s="102"/>
      <c r="H67" s="104"/>
      <c r="I67" s="103"/>
      <c r="J67" s="101"/>
      <c r="K67" s="101"/>
      <c r="L67" s="101"/>
      <c r="M67" s="101"/>
      <c r="N67" s="101"/>
      <c r="O67" s="103"/>
      <c r="P67" s="22">
        <f>SUM(P64:P66)</f>
        <v>0</v>
      </c>
      <c r="Q67" s="22">
        <f t="shared" ref="Q67:U67" si="15">SUM(Q64:Q66)</f>
        <v>0</v>
      </c>
      <c r="R67" s="22">
        <f t="shared" si="15"/>
        <v>0</v>
      </c>
      <c r="S67" s="22">
        <f t="shared" si="15"/>
        <v>0</v>
      </c>
      <c r="T67" s="22">
        <f t="shared" si="15"/>
        <v>0</v>
      </c>
      <c r="U67" s="22">
        <f t="shared" si="15"/>
        <v>0</v>
      </c>
    </row>
    <row r="68" spans="3:22" ht="12.75" customHeight="1" x14ac:dyDescent="0.2">
      <c r="C68" s="1" t="s">
        <v>11</v>
      </c>
      <c r="D68" s="1" t="s">
        <v>44</v>
      </c>
      <c r="F68" s="2"/>
      <c r="G68" s="68"/>
      <c r="I68" s="2"/>
      <c r="O68" s="2"/>
      <c r="P68" s="6">
        <f t="shared" ref="P68:T70" si="16">SUMIFS(P$10:P$60,$E$10:$E$60,$C68,$D$10:$D$60,$D68)</f>
        <v>0</v>
      </c>
      <c r="Q68" s="6">
        <f t="shared" si="16"/>
        <v>0</v>
      </c>
      <c r="R68" s="6">
        <f t="shared" si="16"/>
        <v>0</v>
      </c>
      <c r="S68" s="6">
        <f t="shared" si="16"/>
        <v>0</v>
      </c>
      <c r="T68" s="6">
        <f t="shared" si="16"/>
        <v>0</v>
      </c>
      <c r="U68" s="72">
        <f t="shared" si="14"/>
        <v>0</v>
      </c>
    </row>
    <row r="69" spans="3:22" ht="12.75" customHeight="1" x14ac:dyDescent="0.2">
      <c r="C69" s="1" t="s">
        <v>13</v>
      </c>
      <c r="D69" s="1" t="s">
        <v>44</v>
      </c>
      <c r="F69" s="2"/>
      <c r="G69" s="68"/>
      <c r="I69" s="2"/>
      <c r="O69" s="2"/>
      <c r="P69" s="6">
        <f t="shared" si="16"/>
        <v>0</v>
      </c>
      <c r="Q69" s="6">
        <f t="shared" si="16"/>
        <v>0</v>
      </c>
      <c r="R69" s="6">
        <f t="shared" si="16"/>
        <v>0</v>
      </c>
      <c r="S69" s="6">
        <f t="shared" si="16"/>
        <v>0</v>
      </c>
      <c r="T69" s="6">
        <f t="shared" si="16"/>
        <v>0</v>
      </c>
      <c r="U69" s="72">
        <f t="shared" si="14"/>
        <v>0</v>
      </c>
    </row>
    <row r="70" spans="3:22" ht="12.75" customHeight="1" x14ac:dyDescent="0.2">
      <c r="C70" s="1" t="s">
        <v>14</v>
      </c>
      <c r="D70" s="1" t="s">
        <v>44</v>
      </c>
      <c r="F70" s="2"/>
      <c r="G70" s="68"/>
      <c r="I70" s="2"/>
      <c r="O70" s="2"/>
      <c r="P70" s="6">
        <f t="shared" si="16"/>
        <v>774000</v>
      </c>
      <c r="Q70" s="6">
        <f t="shared" si="16"/>
        <v>774000</v>
      </c>
      <c r="R70" s="6">
        <f t="shared" si="16"/>
        <v>782848</v>
      </c>
      <c r="S70" s="6">
        <f t="shared" si="16"/>
        <v>785060</v>
      </c>
      <c r="T70" s="6">
        <f t="shared" si="16"/>
        <v>787272</v>
      </c>
      <c r="U70" s="72">
        <f t="shared" si="14"/>
        <v>3903180</v>
      </c>
    </row>
    <row r="71" spans="3:22" ht="12.75" customHeight="1" x14ac:dyDescent="0.2">
      <c r="C71" s="21" t="s">
        <v>17</v>
      </c>
      <c r="D71" s="21" t="s">
        <v>44</v>
      </c>
      <c r="E71" s="101"/>
      <c r="F71" s="103"/>
      <c r="G71" s="102"/>
      <c r="H71" s="104"/>
      <c r="I71" s="103"/>
      <c r="J71" s="101"/>
      <c r="K71" s="101"/>
      <c r="L71" s="101"/>
      <c r="M71" s="101"/>
      <c r="N71" s="101"/>
      <c r="O71" s="103"/>
      <c r="P71" s="22">
        <f>SUM(P68:P70)</f>
        <v>774000</v>
      </c>
      <c r="Q71" s="22">
        <f t="shared" ref="Q71" si="17">SUM(Q68:Q70)</f>
        <v>774000</v>
      </c>
      <c r="R71" s="22">
        <f t="shared" ref="R71" si="18">SUM(R68:R70)</f>
        <v>782848</v>
      </c>
      <c r="S71" s="22">
        <f t="shared" ref="S71" si="19">SUM(S68:S70)</f>
        <v>785060</v>
      </c>
      <c r="T71" s="22">
        <f t="shared" ref="T71" si="20">SUM(T68:T70)</f>
        <v>787272</v>
      </c>
      <c r="U71" s="22">
        <f t="shared" ref="U71" si="21">SUM(U68:U70)</f>
        <v>3903180</v>
      </c>
    </row>
    <row r="72" spans="3:22" ht="12.75" customHeight="1" x14ac:dyDescent="0.2">
      <c r="F72" s="2"/>
      <c r="G72" s="68"/>
      <c r="I72" s="2"/>
      <c r="O72" s="2"/>
      <c r="P72" s="6"/>
      <c r="Q72" s="6"/>
      <c r="R72" s="6"/>
      <c r="S72" s="6"/>
      <c r="T72" s="6"/>
      <c r="U72" s="72"/>
    </row>
    <row r="73" spans="3:22" ht="12.75" customHeight="1" x14ac:dyDescent="0.2">
      <c r="C73" s="7" t="str">
        <f>"Total Expenditure ($ "&amp;Assumptions!$B$12&amp;")"</f>
        <v>Total Expenditure ($ June 2024)</v>
      </c>
      <c r="D73" s="7" t="s">
        <v>50</v>
      </c>
      <c r="E73" s="7"/>
      <c r="F73" s="2"/>
      <c r="G73" s="7"/>
      <c r="H73" s="10"/>
      <c r="I73" s="2"/>
      <c r="J73" s="7"/>
      <c r="K73" s="7"/>
      <c r="L73" s="7"/>
      <c r="M73" s="7"/>
      <c r="N73" s="7"/>
      <c r="O73" s="2"/>
      <c r="P73" s="8">
        <f>P67+P71</f>
        <v>774000</v>
      </c>
      <c r="Q73" s="8">
        <f t="shared" ref="Q73:T73" si="22">Q67+Q71</f>
        <v>774000</v>
      </c>
      <c r="R73" s="8">
        <f t="shared" si="22"/>
        <v>782848</v>
      </c>
      <c r="S73" s="8">
        <f t="shared" si="22"/>
        <v>785060</v>
      </c>
      <c r="T73" s="8">
        <f t="shared" si="22"/>
        <v>787272</v>
      </c>
      <c r="U73" s="73">
        <f t="shared" si="14"/>
        <v>3903180</v>
      </c>
    </row>
    <row r="74" spans="3:22" ht="12.75" customHeight="1" x14ac:dyDescent="0.2">
      <c r="C74" s="45" t="s">
        <v>51</v>
      </c>
      <c r="D74" s="45"/>
      <c r="E74" s="45"/>
      <c r="F74" s="2"/>
      <c r="G74" s="45"/>
      <c r="H74" s="45"/>
      <c r="I74" s="2"/>
      <c r="J74" s="45"/>
      <c r="K74" s="45"/>
      <c r="L74" s="45"/>
      <c r="M74" s="45"/>
      <c r="N74" s="45"/>
      <c r="O74" s="2"/>
      <c r="P74" s="46">
        <f>P73-SUM(P$10:P$60)</f>
        <v>0</v>
      </c>
      <c r="Q74" s="46">
        <f t="shared" ref="Q74:T74" si="23">Q73-SUM(Q$10:Q$60)</f>
        <v>0</v>
      </c>
      <c r="R74" s="46">
        <f t="shared" si="23"/>
        <v>0</v>
      </c>
      <c r="S74" s="46">
        <f t="shared" si="23"/>
        <v>0</v>
      </c>
      <c r="T74" s="46">
        <f t="shared" si="23"/>
        <v>0</v>
      </c>
      <c r="U74" s="46">
        <f>U73-SUM(P$10:T$60)</f>
        <v>0</v>
      </c>
      <c r="V74" s="46">
        <f>SUM(P74:U74)</f>
        <v>0</v>
      </c>
    </row>
    <row r="75" spans="3:22" ht="12.75" customHeight="1" x14ac:dyDescent="0.2">
      <c r="F75" s="2"/>
      <c r="I75" s="2"/>
      <c r="O75" s="2"/>
    </row>
    <row r="76" spans="3:22" ht="12.75" customHeight="1" x14ac:dyDescent="0.2">
      <c r="C76" s="55" t="str">
        <f>"NPV ($ "&amp;Assumptions!$B$12&amp;")"</f>
        <v>NPV ($ June 2024)</v>
      </c>
      <c r="D76" s="56">
        <f>NPV(Real_Discount_rate,P73:T73)</f>
        <v>3523443.7465830031</v>
      </c>
      <c r="F76" s="2"/>
      <c r="I76" s="2"/>
      <c r="O76" s="2"/>
    </row>
    <row r="77" spans="3:22" ht="12.75" customHeight="1" x14ac:dyDescent="0.2">
      <c r="F77" s="2"/>
      <c r="I77" s="2"/>
      <c r="O77" s="2"/>
    </row>
    <row r="78" spans="3:22" ht="12.75" customHeight="1" x14ac:dyDescent="0.2">
      <c r="F78" s="2"/>
      <c r="I78" s="2"/>
      <c r="O78" s="2"/>
    </row>
    <row r="79" spans="3:22" ht="12.75" customHeight="1" x14ac:dyDescent="0.2">
      <c r="C79" s="76" t="s">
        <v>52</v>
      </c>
      <c r="F79" s="2"/>
      <c r="I79" s="2"/>
      <c r="O79" s="2"/>
      <c r="P79" s="69" t="s">
        <v>6</v>
      </c>
      <c r="Q79" s="69" t="s">
        <v>7</v>
      </c>
      <c r="R79" s="69" t="s">
        <v>8</v>
      </c>
      <c r="S79" s="69" t="s">
        <v>9</v>
      </c>
      <c r="T79" s="69" t="s">
        <v>10</v>
      </c>
      <c r="U79" s="69" t="s">
        <v>0</v>
      </c>
    </row>
    <row r="80" spans="3:22" ht="12.75" customHeight="1" x14ac:dyDescent="0.2">
      <c r="C80" s="24" t="s">
        <v>11</v>
      </c>
      <c r="D80" s="24" t="s">
        <v>49</v>
      </c>
      <c r="E80" s="24"/>
      <c r="F80" s="2"/>
      <c r="G80" s="66"/>
      <c r="H80" s="67"/>
      <c r="I80" s="2"/>
      <c r="J80" s="24"/>
      <c r="K80" s="24"/>
      <c r="L80" s="24"/>
      <c r="M80" s="24"/>
      <c r="N80" s="24"/>
      <c r="O80" s="2"/>
      <c r="P80" s="34">
        <f t="shared" ref="P80:T82" si="24">P64*business_case_dollars</f>
        <v>0</v>
      </c>
      <c r="Q80" s="34">
        <f t="shared" si="24"/>
        <v>0</v>
      </c>
      <c r="R80" s="34">
        <f t="shared" si="24"/>
        <v>0</v>
      </c>
      <c r="S80" s="34">
        <f t="shared" si="24"/>
        <v>0</v>
      </c>
      <c r="T80" s="34">
        <f t="shared" si="24"/>
        <v>0</v>
      </c>
      <c r="U80" s="71">
        <f>SUM(P80:T80)</f>
        <v>0</v>
      </c>
    </row>
    <row r="81" spans="3:22" ht="12.75" customHeight="1" x14ac:dyDescent="0.2">
      <c r="C81" s="1" t="s">
        <v>13</v>
      </c>
      <c r="D81" s="1" t="s">
        <v>49</v>
      </c>
      <c r="F81" s="2"/>
      <c r="G81" s="68"/>
      <c r="I81" s="2"/>
      <c r="O81" s="2"/>
      <c r="P81" s="6">
        <f t="shared" si="24"/>
        <v>0</v>
      </c>
      <c r="Q81" s="6">
        <f t="shared" si="24"/>
        <v>0</v>
      </c>
      <c r="R81" s="6">
        <f t="shared" si="24"/>
        <v>0</v>
      </c>
      <c r="S81" s="6">
        <f t="shared" si="24"/>
        <v>0</v>
      </c>
      <c r="T81" s="6">
        <f t="shared" si="24"/>
        <v>0</v>
      </c>
      <c r="U81" s="72">
        <f t="shared" ref="U81:U89" si="25">SUM(P81:T81)</f>
        <v>0</v>
      </c>
    </row>
    <row r="82" spans="3:22" ht="12.75" customHeight="1" x14ac:dyDescent="0.2">
      <c r="C82" s="1" t="s">
        <v>14</v>
      </c>
      <c r="D82" s="1" t="s">
        <v>49</v>
      </c>
      <c r="F82" s="2"/>
      <c r="G82" s="68"/>
      <c r="I82" s="2"/>
      <c r="O82" s="2"/>
      <c r="P82" s="6">
        <f t="shared" si="24"/>
        <v>0</v>
      </c>
      <c r="Q82" s="6">
        <f t="shared" si="24"/>
        <v>0</v>
      </c>
      <c r="R82" s="6">
        <f t="shared" si="24"/>
        <v>0</v>
      </c>
      <c r="S82" s="6">
        <f t="shared" si="24"/>
        <v>0</v>
      </c>
      <c r="T82" s="6">
        <f t="shared" si="24"/>
        <v>0</v>
      </c>
      <c r="U82" s="72">
        <f t="shared" si="25"/>
        <v>0</v>
      </c>
    </row>
    <row r="83" spans="3:22" ht="12.75" customHeight="1" x14ac:dyDescent="0.2">
      <c r="C83" s="21" t="s">
        <v>15</v>
      </c>
      <c r="D83" s="21" t="s">
        <v>49</v>
      </c>
      <c r="E83" s="101"/>
      <c r="F83" s="103"/>
      <c r="G83" s="102"/>
      <c r="H83" s="104"/>
      <c r="I83" s="103"/>
      <c r="J83" s="101"/>
      <c r="K83" s="101"/>
      <c r="L83" s="101"/>
      <c r="M83" s="101"/>
      <c r="N83" s="101"/>
      <c r="O83" s="103"/>
      <c r="P83" s="22">
        <f>SUM(P80:P82)</f>
        <v>0</v>
      </c>
      <c r="Q83" s="22">
        <f t="shared" ref="Q83" si="26">SUM(Q80:Q82)</f>
        <v>0</v>
      </c>
      <c r="R83" s="22">
        <f t="shared" ref="R83" si="27">SUM(R80:R82)</f>
        <v>0</v>
      </c>
      <c r="S83" s="22">
        <f t="shared" ref="S83" si="28">SUM(S80:S82)</f>
        <v>0</v>
      </c>
      <c r="T83" s="22">
        <f t="shared" ref="T83" si="29">SUM(T80:T82)</f>
        <v>0</v>
      </c>
      <c r="U83" s="22">
        <f t="shared" ref="U83" si="30">SUM(U80:U82)</f>
        <v>0</v>
      </c>
    </row>
    <row r="84" spans="3:22" ht="12.75" customHeight="1" x14ac:dyDescent="0.2">
      <c r="C84" s="1" t="s">
        <v>11</v>
      </c>
      <c r="D84" s="1" t="s">
        <v>44</v>
      </c>
      <c r="F84" s="2"/>
      <c r="G84" s="68"/>
      <c r="I84" s="2"/>
      <c r="O84" s="2"/>
      <c r="P84" s="34">
        <f t="shared" ref="P84:T86" si="31">P68*business_case_dollars</f>
        <v>0</v>
      </c>
      <c r="Q84" s="34">
        <f t="shared" si="31"/>
        <v>0</v>
      </c>
      <c r="R84" s="34">
        <f t="shared" si="31"/>
        <v>0</v>
      </c>
      <c r="S84" s="34">
        <f t="shared" si="31"/>
        <v>0</v>
      </c>
      <c r="T84" s="34">
        <f t="shared" si="31"/>
        <v>0</v>
      </c>
      <c r="U84" s="71">
        <f>SUM(P84:T84)</f>
        <v>0</v>
      </c>
    </row>
    <row r="85" spans="3:22" ht="12.75" customHeight="1" x14ac:dyDescent="0.2">
      <c r="C85" s="1" t="s">
        <v>13</v>
      </c>
      <c r="D85" s="1" t="s">
        <v>44</v>
      </c>
      <c r="F85" s="2"/>
      <c r="G85" s="68"/>
      <c r="I85" s="2"/>
      <c r="O85" s="2"/>
      <c r="P85" s="6">
        <f t="shared" si="31"/>
        <v>0</v>
      </c>
      <c r="Q85" s="6">
        <f t="shared" si="31"/>
        <v>0</v>
      </c>
      <c r="R85" s="6">
        <f t="shared" si="31"/>
        <v>0</v>
      </c>
      <c r="S85" s="6">
        <f t="shared" si="31"/>
        <v>0</v>
      </c>
      <c r="T85" s="6">
        <f t="shared" si="31"/>
        <v>0</v>
      </c>
      <c r="U85" s="72">
        <f t="shared" ref="U85:U86" si="32">SUM(P85:T85)</f>
        <v>0</v>
      </c>
    </row>
    <row r="86" spans="3:22" ht="12.75" customHeight="1" x14ac:dyDescent="0.2">
      <c r="C86" s="1" t="s">
        <v>14</v>
      </c>
      <c r="D86" s="1" t="s">
        <v>44</v>
      </c>
      <c r="F86" s="2"/>
      <c r="G86" s="68"/>
      <c r="I86" s="2"/>
      <c r="O86" s="2"/>
      <c r="P86" s="6">
        <f t="shared" si="31"/>
        <v>861394.38832644571</v>
      </c>
      <c r="Q86" s="6">
        <f t="shared" si="31"/>
        <v>861394.38832644571</v>
      </c>
      <c r="R86" s="6">
        <f t="shared" si="31"/>
        <v>871241.43942193978</v>
      </c>
      <c r="S86" s="6">
        <f t="shared" si="31"/>
        <v>873703.2021958133</v>
      </c>
      <c r="T86" s="6">
        <f t="shared" si="31"/>
        <v>876164.96496968681</v>
      </c>
      <c r="U86" s="72">
        <f t="shared" si="32"/>
        <v>4343898.3832403319</v>
      </c>
    </row>
    <row r="87" spans="3:22" ht="12.75" customHeight="1" x14ac:dyDescent="0.2">
      <c r="C87" s="21" t="s">
        <v>17</v>
      </c>
      <c r="D87" s="21" t="s">
        <v>44</v>
      </c>
      <c r="E87" s="101"/>
      <c r="F87" s="103"/>
      <c r="G87" s="102"/>
      <c r="H87" s="104"/>
      <c r="I87" s="103"/>
      <c r="J87" s="101"/>
      <c r="K87" s="101"/>
      <c r="L87" s="101"/>
      <c r="M87" s="101"/>
      <c r="N87" s="101"/>
      <c r="O87" s="103"/>
      <c r="P87" s="22">
        <f>SUM(P84:P86)</f>
        <v>861394.38832644571</v>
      </c>
      <c r="Q87" s="22">
        <f t="shared" ref="Q87" si="33">SUM(Q84:Q86)</f>
        <v>861394.38832644571</v>
      </c>
      <c r="R87" s="22">
        <f t="shared" ref="R87" si="34">SUM(R84:R86)</f>
        <v>871241.43942193978</v>
      </c>
      <c r="S87" s="22">
        <f t="shared" ref="S87" si="35">SUM(S84:S86)</f>
        <v>873703.2021958133</v>
      </c>
      <c r="T87" s="22">
        <f t="shared" ref="T87" si="36">SUM(T84:T86)</f>
        <v>876164.96496968681</v>
      </c>
      <c r="U87" s="22">
        <f t="shared" ref="U87" si="37">SUM(U84:U86)</f>
        <v>4343898.3832403319</v>
      </c>
    </row>
    <row r="88" spans="3:22" ht="12.75" customHeight="1" x14ac:dyDescent="0.2">
      <c r="F88" s="2"/>
      <c r="G88" s="68"/>
      <c r="I88" s="2"/>
      <c r="O88" s="2"/>
      <c r="P88" s="6"/>
      <c r="Q88" s="6"/>
      <c r="R88" s="6"/>
      <c r="S88" s="6"/>
      <c r="T88" s="6"/>
      <c r="U88" s="72"/>
    </row>
    <row r="89" spans="3:22" x14ac:dyDescent="0.2">
      <c r="C89" s="7" t="str">
        <f>"Total Expenditure ($ "&amp;Assumptions!$C$35&amp;")"</f>
        <v>Total Expenditure ($ June 2026)</v>
      </c>
      <c r="D89" s="7" t="s">
        <v>50</v>
      </c>
      <c r="E89" s="7"/>
      <c r="F89" s="2"/>
      <c r="G89" s="7"/>
      <c r="H89" s="10"/>
      <c r="I89" s="2"/>
      <c r="J89" s="7"/>
      <c r="K89" s="7"/>
      <c r="L89" s="7"/>
      <c r="M89" s="7"/>
      <c r="N89" s="7"/>
      <c r="O89" s="2"/>
      <c r="P89" s="8">
        <f>P83+P87</f>
        <v>861394.38832644571</v>
      </c>
      <c r="Q89" s="8">
        <f t="shared" ref="Q89:T89" si="38">Q83+Q87</f>
        <v>861394.38832644571</v>
      </c>
      <c r="R89" s="8">
        <f t="shared" si="38"/>
        <v>871241.43942193978</v>
      </c>
      <c r="S89" s="8">
        <f t="shared" si="38"/>
        <v>873703.2021958133</v>
      </c>
      <c r="T89" s="8">
        <f t="shared" si="38"/>
        <v>876164.96496968681</v>
      </c>
      <c r="U89" s="73">
        <f t="shared" si="25"/>
        <v>4343898.3832403319</v>
      </c>
    </row>
    <row r="90" spans="3:22" x14ac:dyDescent="0.2">
      <c r="F90" s="2"/>
      <c r="I90" s="2"/>
      <c r="O90" s="2"/>
      <c r="P90" s="46">
        <f>SUM(P10:P60)*business_case_dollars-P89</f>
        <v>0</v>
      </c>
      <c r="Q90" s="46">
        <f>SUM(Q10:Q60)*business_case_dollars-Q89</f>
        <v>0</v>
      </c>
      <c r="R90" s="46">
        <f>SUM(R10:R60)*business_case_dollars-R89</f>
        <v>0</v>
      </c>
      <c r="S90" s="46">
        <f>SUM(S10:S60)*business_case_dollars-S89</f>
        <v>0</v>
      </c>
      <c r="T90" s="46">
        <f>SUM(T10:T60)*business_case_dollars-T89</f>
        <v>0</v>
      </c>
      <c r="U90" s="46">
        <f>SUM(P10:T60)*business_case_dollars-U89</f>
        <v>0</v>
      </c>
      <c r="V90" s="46">
        <f>SUM(P90:U90)</f>
        <v>0</v>
      </c>
    </row>
    <row r="91" spans="3:22" x14ac:dyDescent="0.2">
      <c r="C91" s="55" t="str">
        <f>"NPV ($ "&amp;Assumptions!$C$35&amp;")"</f>
        <v>NPV ($ June 2026)</v>
      </c>
      <c r="D91" s="56">
        <f>NPV(Real_Discount_rate,P89:T89)</f>
        <v>3921285.1045096982</v>
      </c>
      <c r="F91" s="2"/>
      <c r="I91" s="2"/>
      <c r="O91" s="2"/>
      <c r="P91" s="52"/>
      <c r="Q91" s="52"/>
      <c r="R91" s="52"/>
      <c r="S91" s="52"/>
      <c r="T91" s="52"/>
    </row>
  </sheetData>
  <conditionalFormatting sqref="G10:G60">
    <cfRule type="expression" dxfId="20" priority="8">
      <formula>$E10="Contracts"</formula>
    </cfRule>
    <cfRule type="expression" dxfId="19" priority="9">
      <formula>$E10="Materials"</formula>
    </cfRule>
    <cfRule type="expression" dxfId="18" priority="10">
      <formula>$E10="Labour"</formula>
    </cfRule>
  </conditionalFormatting>
  <conditionalFormatting sqref="P74:U74">
    <cfRule type="expression" dxfId="17" priority="1">
      <formula>ABS(P74)&gt;0.001</formula>
    </cfRule>
  </conditionalFormatting>
  <conditionalFormatting sqref="P90:U90">
    <cfRule type="expression" dxfId="16" priority="2">
      <formula>ABS(P90)&gt;0.001</formula>
    </cfRule>
  </conditionalFormatting>
  <conditionalFormatting sqref="V74">
    <cfRule type="expression" dxfId="15" priority="14">
      <formula>ABS(V74)&gt;0.001</formula>
    </cfRule>
  </conditionalFormatting>
  <conditionalFormatting sqref="V90">
    <cfRule type="expression" dxfId="14" priority="4">
      <formula>ABS(V90)&gt;0.001</formula>
    </cfRule>
  </conditionalFormatting>
  <dataValidations count="2">
    <dataValidation type="list" allowBlank="1" showInputMessage="1" showErrorMessage="1" sqref="E10:E60" xr:uid="{B0E8B852-301B-4563-9163-FFDB1711704F}">
      <formula1>"Labour, Materials, Contracts"</formula1>
    </dataValidation>
    <dataValidation type="list" allowBlank="1" showInputMessage="1" showErrorMessage="1" sqref="D10:D60" xr:uid="{056126DF-837A-45EA-97BA-3AA3767E7A6C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7 Q67:U67 P83:U8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B243-33B7-4471-BAB5-268899AB61E3}">
  <dimension ref="A1:Y91"/>
  <sheetViews>
    <sheetView showGridLines="0" zoomScale="80" zoomScaleNormal="80" workbookViewId="0">
      <pane ySplit="9" topLeftCell="A10" activePane="bottomLeft" state="frozen"/>
      <selection activeCell="C14" sqref="C14"/>
      <selection pane="bottomLeft" activeCell="C14" sqref="C14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570312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Market systems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 &amp; PAL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SUM(V7:V61)=0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38</v>
      </c>
      <c r="D7" s="65" t="s">
        <v>39</v>
      </c>
      <c r="E7" s="65" t="s">
        <v>40</v>
      </c>
      <c r="F7" s="16"/>
      <c r="G7" s="109" t="s">
        <v>11</v>
      </c>
      <c r="H7" s="19" t="s">
        <v>41</v>
      </c>
      <c r="J7" s="19" t="s">
        <v>42</v>
      </c>
      <c r="K7" s="20"/>
      <c r="L7" s="20"/>
      <c r="M7" s="20"/>
      <c r="N7" s="20"/>
      <c r="P7" s="19" t="s">
        <v>43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 t="s">
        <v>44</v>
      </c>
      <c r="E8" s="99"/>
      <c r="F8" s="16"/>
      <c r="G8" s="110" t="s">
        <v>45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F9" s="16"/>
    </row>
    <row r="10" spans="1:25" ht="12.75" customHeight="1" x14ac:dyDescent="0.2">
      <c r="A10" s="4"/>
      <c r="C10" s="81" t="s">
        <v>53</v>
      </c>
      <c r="D10" s="82" t="s">
        <v>49</v>
      </c>
      <c r="E10" s="80" t="s">
        <v>13</v>
      </c>
      <c r="F10" s="2"/>
      <c r="G10" s="64">
        <f>IF($E10="Labour",Assumptions!$B$14,)</f>
        <v>0</v>
      </c>
      <c r="H10" s="9" t="str">
        <f>IF($E10="Labour","Hours","$")</f>
        <v>$</v>
      </c>
      <c r="I10" s="2"/>
      <c r="J10" s="83"/>
      <c r="K10" s="83">
        <v>63200</v>
      </c>
      <c r="L10" s="83"/>
      <c r="M10" s="83"/>
      <c r="N10" s="83"/>
      <c r="O10" s="2"/>
      <c r="P10" s="5">
        <f t="shared" ref="P10:P41" si="0">IF($E10="Labour",$G10*J10,J10)</f>
        <v>0</v>
      </c>
      <c r="Q10" s="5">
        <f t="shared" ref="Q10:Q41" si="1">IF($E10="Labour",$G10*K10,K10)</f>
        <v>63200</v>
      </c>
      <c r="R10" s="5">
        <f t="shared" ref="R10:R41" si="2">IF($E10="Labour",$G10*L10,L10)</f>
        <v>0</v>
      </c>
      <c r="S10" s="5">
        <f t="shared" ref="S10:S41" si="3">IF($E10="Labour",$G10*M10,M10)</f>
        <v>0</v>
      </c>
      <c r="T10" s="5">
        <f t="shared" ref="T10:T41" si="4">IF($E10="Labour",$G10*N10,N10)</f>
        <v>0</v>
      </c>
    </row>
    <row r="11" spans="1:25" ht="12.75" customHeight="1" x14ac:dyDescent="0.2">
      <c r="A11" s="4"/>
      <c r="C11" s="81" t="s">
        <v>54</v>
      </c>
      <c r="D11" s="82" t="s">
        <v>49</v>
      </c>
      <c r="E11" s="80" t="s">
        <v>11</v>
      </c>
      <c r="F11" s="2"/>
      <c r="G11" s="64">
        <f>IF($E11="Labour",Assumptions!$B$14,)</f>
        <v>145.77740895836223</v>
      </c>
      <c r="H11" s="9" t="str">
        <f t="shared" ref="H11:H60" si="5">IF($E11="Labour","Hours","$")</f>
        <v>Hours</v>
      </c>
      <c r="I11" s="2"/>
      <c r="J11" s="83"/>
      <c r="K11" s="83">
        <v>474</v>
      </c>
      <c r="L11" s="83"/>
      <c r="M11" s="83"/>
      <c r="N11" s="83">
        <v>190</v>
      </c>
      <c r="O11" s="2"/>
      <c r="P11" s="5">
        <f t="shared" si="0"/>
        <v>0</v>
      </c>
      <c r="Q11" s="5">
        <f t="shared" si="1"/>
        <v>69098.4918462637</v>
      </c>
      <c r="R11" s="5">
        <f t="shared" si="2"/>
        <v>0</v>
      </c>
      <c r="S11" s="5">
        <f t="shared" si="3"/>
        <v>0</v>
      </c>
      <c r="T11" s="5">
        <f t="shared" si="4"/>
        <v>27697.707702088825</v>
      </c>
    </row>
    <row r="12" spans="1:25" ht="12.75" customHeight="1" x14ac:dyDescent="0.2">
      <c r="A12" s="4"/>
      <c r="C12" s="81" t="s">
        <v>55</v>
      </c>
      <c r="D12" s="82" t="s">
        <v>49</v>
      </c>
      <c r="E12" s="80" t="s">
        <v>11</v>
      </c>
      <c r="F12" s="2"/>
      <c r="G12" s="64">
        <f>IF($E12="Labour",Assumptions!$B$14,)</f>
        <v>145.77740895836223</v>
      </c>
      <c r="H12" s="9" t="str">
        <f t="shared" si="5"/>
        <v>Hours</v>
      </c>
      <c r="I12" s="2"/>
      <c r="J12" s="83"/>
      <c r="K12" s="83">
        <v>474</v>
      </c>
      <c r="L12" s="83"/>
      <c r="M12" s="83"/>
      <c r="N12" s="83">
        <v>190</v>
      </c>
      <c r="O12" s="2"/>
      <c r="P12" s="5">
        <f t="shared" si="0"/>
        <v>0</v>
      </c>
      <c r="Q12" s="5">
        <f t="shared" si="1"/>
        <v>69098.4918462637</v>
      </c>
      <c r="R12" s="5">
        <f t="shared" si="2"/>
        <v>0</v>
      </c>
      <c r="S12" s="5">
        <f t="shared" si="3"/>
        <v>0</v>
      </c>
      <c r="T12" s="5">
        <f t="shared" si="4"/>
        <v>27697.707702088825</v>
      </c>
    </row>
    <row r="13" spans="1:25" ht="12.75" customHeight="1" x14ac:dyDescent="0.25">
      <c r="A13" s="4"/>
      <c r="C13" s="81" t="s">
        <v>56</v>
      </c>
      <c r="D13" s="82" t="s">
        <v>49</v>
      </c>
      <c r="E13" s="80" t="s">
        <v>11</v>
      </c>
      <c r="F13" s="2"/>
      <c r="G13" s="64">
        <f>IF($E13="Labour",Assumptions!$B$14,)</f>
        <v>145.77740895836223</v>
      </c>
      <c r="H13" s="9" t="str">
        <f t="shared" si="5"/>
        <v>Hours</v>
      </c>
      <c r="I13" s="2"/>
      <c r="J13" s="83"/>
      <c r="K13" s="83">
        <v>1896</v>
      </c>
      <c r="L13" s="83"/>
      <c r="M13" s="83"/>
      <c r="N13" s="83">
        <v>758</v>
      </c>
      <c r="O13" s="2"/>
      <c r="P13" s="5">
        <f t="shared" si="0"/>
        <v>0</v>
      </c>
      <c r="Q13" s="5">
        <f t="shared" si="1"/>
        <v>276393.9673850548</v>
      </c>
      <c r="R13" s="5">
        <f t="shared" si="2"/>
        <v>0</v>
      </c>
      <c r="S13" s="5">
        <f t="shared" si="3"/>
        <v>0</v>
      </c>
      <c r="T13" s="5">
        <f t="shared" si="4"/>
        <v>110499.27599043857</v>
      </c>
      <c r="Y13"/>
    </row>
    <row r="14" spans="1:25" ht="12.75" customHeight="1" x14ac:dyDescent="0.25">
      <c r="A14" s="4"/>
      <c r="C14" s="81" t="s">
        <v>57</v>
      </c>
      <c r="D14" s="82" t="s">
        <v>49</v>
      </c>
      <c r="E14" s="80" t="s">
        <v>11</v>
      </c>
      <c r="F14" s="2"/>
      <c r="G14" s="64">
        <f>IF($E14="Labour",Assumptions!$B$14,)</f>
        <v>145.77740895836223</v>
      </c>
      <c r="H14" s="9" t="str">
        <f t="shared" si="5"/>
        <v>Hours</v>
      </c>
      <c r="I14" s="2"/>
      <c r="J14" s="83"/>
      <c r="K14" s="83">
        <v>948</v>
      </c>
      <c r="L14" s="83"/>
      <c r="M14" s="83"/>
      <c r="N14" s="83">
        <v>379</v>
      </c>
      <c r="O14" s="2"/>
      <c r="P14" s="5">
        <f t="shared" si="0"/>
        <v>0</v>
      </c>
      <c r="Q14" s="5">
        <f t="shared" si="1"/>
        <v>138196.9836925274</v>
      </c>
      <c r="R14" s="5">
        <f t="shared" si="2"/>
        <v>0</v>
      </c>
      <c r="S14" s="5">
        <f t="shared" si="3"/>
        <v>0</v>
      </c>
      <c r="T14" s="5">
        <f t="shared" si="4"/>
        <v>55249.637995219287</v>
      </c>
      <c r="Y14"/>
    </row>
    <row r="15" spans="1:25" ht="12.75" customHeight="1" x14ac:dyDescent="0.25">
      <c r="A15" s="4"/>
      <c r="C15" s="81" t="s">
        <v>58</v>
      </c>
      <c r="D15" s="82" t="s">
        <v>49</v>
      </c>
      <c r="E15" s="80" t="s">
        <v>11</v>
      </c>
      <c r="F15" s="2"/>
      <c r="G15" s="64">
        <f>IF($E15="Labour",Assumptions!$B$14,)</f>
        <v>145.77740895836223</v>
      </c>
      <c r="H15" s="9" t="str">
        <f t="shared" si="5"/>
        <v>Hours</v>
      </c>
      <c r="I15" s="2"/>
      <c r="J15" s="83"/>
      <c r="K15" s="83">
        <v>237</v>
      </c>
      <c r="L15" s="83"/>
      <c r="M15" s="83"/>
      <c r="N15" s="83">
        <v>95</v>
      </c>
      <c r="O15" s="2"/>
      <c r="P15" s="5">
        <f t="shared" si="0"/>
        <v>0</v>
      </c>
      <c r="Q15" s="5">
        <f t="shared" si="1"/>
        <v>34549.24592313185</v>
      </c>
      <c r="R15" s="5">
        <f t="shared" si="2"/>
        <v>0</v>
      </c>
      <c r="S15" s="5">
        <f t="shared" si="3"/>
        <v>0</v>
      </c>
      <c r="T15" s="5">
        <f t="shared" si="4"/>
        <v>13848.853851044412</v>
      </c>
      <c r="Y15"/>
    </row>
    <row r="16" spans="1:25" ht="12.75" customHeight="1" x14ac:dyDescent="0.25">
      <c r="A16" s="4"/>
      <c r="C16" s="81" t="s">
        <v>59</v>
      </c>
      <c r="D16" s="82" t="s">
        <v>49</v>
      </c>
      <c r="E16" s="80" t="s">
        <v>13</v>
      </c>
      <c r="F16" s="2"/>
      <c r="G16" s="64">
        <f>IF($E16="Labour",Assumptions!$B$14,)</f>
        <v>0</v>
      </c>
      <c r="H16" s="9" t="str">
        <f t="shared" si="5"/>
        <v>$</v>
      </c>
      <c r="I16" s="2"/>
      <c r="J16" s="83">
        <v>100000</v>
      </c>
      <c r="K16" s="83"/>
      <c r="L16" s="83"/>
      <c r="M16" s="83"/>
      <c r="N16" s="83">
        <v>750000</v>
      </c>
      <c r="O16" s="2"/>
      <c r="P16" s="5">
        <f t="shared" si="0"/>
        <v>100000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750000</v>
      </c>
      <c r="Y16"/>
    </row>
    <row r="17" spans="1:25" ht="12.75" customHeight="1" x14ac:dyDescent="0.25">
      <c r="A17" s="4"/>
      <c r="C17" s="81" t="s">
        <v>60</v>
      </c>
      <c r="D17" s="82" t="s">
        <v>49</v>
      </c>
      <c r="E17" s="80" t="s">
        <v>11</v>
      </c>
      <c r="F17" s="2"/>
      <c r="G17" s="64">
        <f>IF($E17="Labour",Assumptions!$B$14,)</f>
        <v>145.77740895836223</v>
      </c>
      <c r="H17" s="9" t="str">
        <f t="shared" si="5"/>
        <v>Hours</v>
      </c>
      <c r="I17" s="2"/>
      <c r="J17" s="83">
        <v>2000</v>
      </c>
      <c r="K17" s="83"/>
      <c r="L17" s="83"/>
      <c r="M17" s="83"/>
      <c r="N17" s="83">
        <v>2000</v>
      </c>
      <c r="O17" s="2"/>
      <c r="P17" s="5">
        <f t="shared" si="0"/>
        <v>291554.81791672448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291554.81791672448</v>
      </c>
      <c r="Y17"/>
    </row>
    <row r="18" spans="1:25" ht="12.75" customHeight="1" x14ac:dyDescent="0.25">
      <c r="A18" s="4"/>
      <c r="C18" s="81" t="s">
        <v>61</v>
      </c>
      <c r="D18" s="82" t="s">
        <v>49</v>
      </c>
      <c r="E18" s="80" t="s">
        <v>11</v>
      </c>
      <c r="F18" s="2"/>
      <c r="G18" s="64">
        <f>IF($E18="Labour",Assumptions!$B$14,)</f>
        <v>145.77740895836223</v>
      </c>
      <c r="H18" s="9" t="str">
        <f t="shared" si="5"/>
        <v>Hours</v>
      </c>
      <c r="I18" s="2"/>
      <c r="J18" s="83">
        <v>2000</v>
      </c>
      <c r="K18" s="83"/>
      <c r="L18" s="83"/>
      <c r="M18" s="83"/>
      <c r="N18" s="83">
        <v>2000</v>
      </c>
      <c r="O18" s="2"/>
      <c r="P18" s="5">
        <f t="shared" si="0"/>
        <v>291554.81791672448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291554.81791672448</v>
      </c>
      <c r="Y18"/>
    </row>
    <row r="19" spans="1:25" ht="12.75" customHeight="1" x14ac:dyDescent="0.25">
      <c r="A19" s="4"/>
      <c r="C19" s="81" t="s">
        <v>62</v>
      </c>
      <c r="D19" s="82" t="s">
        <v>49</v>
      </c>
      <c r="E19" s="80" t="s">
        <v>11</v>
      </c>
      <c r="F19" s="2"/>
      <c r="G19" s="64">
        <f>IF($E19="Labour",Assumptions!$B$14,)</f>
        <v>145.77740895836223</v>
      </c>
      <c r="H19" s="9" t="str">
        <f t="shared" si="5"/>
        <v>Hours</v>
      </c>
      <c r="I19" s="2"/>
      <c r="J19" s="83">
        <v>8000</v>
      </c>
      <c r="K19" s="83"/>
      <c r="L19" s="83"/>
      <c r="M19" s="83"/>
      <c r="N19" s="83">
        <v>6000</v>
      </c>
      <c r="O19" s="2"/>
      <c r="P19" s="5">
        <f t="shared" si="0"/>
        <v>1166219.2716668979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874664.45375017333</v>
      </c>
      <c r="Y19"/>
    </row>
    <row r="20" spans="1:25" ht="12.75" customHeight="1" x14ac:dyDescent="0.25">
      <c r="A20" s="4"/>
      <c r="C20" s="81" t="s">
        <v>63</v>
      </c>
      <c r="D20" s="82" t="s">
        <v>49</v>
      </c>
      <c r="E20" s="80" t="s">
        <v>11</v>
      </c>
      <c r="F20" s="2"/>
      <c r="G20" s="64">
        <f>IF($E20="Labour",Assumptions!$B$14,)</f>
        <v>145.77740895836223</v>
      </c>
      <c r="H20" s="9" t="str">
        <f t="shared" si="5"/>
        <v>Hours</v>
      </c>
      <c r="I20" s="2"/>
      <c r="J20" s="83">
        <v>4000</v>
      </c>
      <c r="K20" s="83"/>
      <c r="L20" s="83"/>
      <c r="M20" s="83"/>
      <c r="N20" s="83">
        <v>4000</v>
      </c>
      <c r="O20" s="2"/>
      <c r="P20" s="5">
        <f t="shared" si="0"/>
        <v>583109.63583344896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583109.63583344896</v>
      </c>
      <c r="Y20"/>
    </row>
    <row r="21" spans="1:25" ht="12.75" customHeight="1" x14ac:dyDescent="0.25">
      <c r="A21" s="4"/>
      <c r="C21" s="81" t="s">
        <v>64</v>
      </c>
      <c r="D21" s="82" t="s">
        <v>49</v>
      </c>
      <c r="E21" s="80" t="s">
        <v>11</v>
      </c>
      <c r="F21" s="2"/>
      <c r="G21" s="64">
        <f>IF($E21="Labour",Assumptions!$B$14,)</f>
        <v>145.77740895836223</v>
      </c>
      <c r="H21" s="9" t="str">
        <f t="shared" si="5"/>
        <v>Hours</v>
      </c>
      <c r="I21" s="2"/>
      <c r="J21" s="83">
        <v>1000</v>
      </c>
      <c r="K21" s="83"/>
      <c r="L21" s="83"/>
      <c r="M21" s="83"/>
      <c r="N21" s="83">
        <v>1000</v>
      </c>
      <c r="O21" s="2"/>
      <c r="P21" s="5">
        <f t="shared" si="0"/>
        <v>145777.40895836224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145777.40895836224</v>
      </c>
      <c r="Y21"/>
    </row>
    <row r="22" spans="1:25" ht="12.75" customHeight="1" x14ac:dyDescent="0.25">
      <c r="A22" s="4"/>
      <c r="C22" s="81" t="s">
        <v>65</v>
      </c>
      <c r="D22" s="82" t="s">
        <v>49</v>
      </c>
      <c r="E22" s="80" t="s">
        <v>11</v>
      </c>
      <c r="F22" s="2"/>
      <c r="G22" s="64">
        <f>IF($E22="Labour",Assumptions!$B$14,)</f>
        <v>145.77740895836223</v>
      </c>
      <c r="H22" s="9" t="str">
        <f t="shared" si="5"/>
        <v>Hours</v>
      </c>
      <c r="I22" s="2"/>
      <c r="J22" s="83">
        <v>3381.5939213242705</v>
      </c>
      <c r="K22" s="83">
        <v>0</v>
      </c>
      <c r="L22" s="83">
        <v>0</v>
      </c>
      <c r="M22" s="83">
        <v>0</v>
      </c>
      <c r="N22" s="83">
        <v>3641.7165306569068</v>
      </c>
      <c r="O22" s="2"/>
      <c r="P22" s="5">
        <f t="shared" si="0"/>
        <v>492959.99999999994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530880</v>
      </c>
      <c r="Y22"/>
    </row>
    <row r="23" spans="1:25" ht="12.75" customHeight="1" x14ac:dyDescent="0.25">
      <c r="A23" s="4"/>
      <c r="C23" s="81" t="s">
        <v>66</v>
      </c>
      <c r="D23" s="82" t="s">
        <v>49</v>
      </c>
      <c r="E23" s="80" t="s">
        <v>11</v>
      </c>
      <c r="F23" s="2"/>
      <c r="G23" s="64">
        <f>IF($E23="Labour",Assumptions!$B$14,)</f>
        <v>145.77740895836223</v>
      </c>
      <c r="H23" s="9" t="str">
        <f t="shared" si="5"/>
        <v>Hours</v>
      </c>
      <c r="I23" s="2"/>
      <c r="J23" s="83">
        <v>1009.5329550298508</v>
      </c>
      <c r="K23" s="83">
        <v>0</v>
      </c>
      <c r="L23" s="83">
        <v>0</v>
      </c>
      <c r="M23" s="83">
        <v>0</v>
      </c>
      <c r="N23" s="83">
        <v>894.55256329577139</v>
      </c>
      <c r="O23" s="2"/>
      <c r="P23" s="5">
        <f t="shared" si="0"/>
        <v>147167.09844233046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130405.55485431888</v>
      </c>
      <c r="Y23"/>
    </row>
    <row r="24" spans="1:25" ht="12.75" customHeight="1" x14ac:dyDescent="0.25">
      <c r="A24" s="4"/>
      <c r="C24" s="81" t="s">
        <v>67</v>
      </c>
      <c r="D24" s="82" t="s">
        <v>49</v>
      </c>
      <c r="E24" s="80" t="s">
        <v>11</v>
      </c>
      <c r="F24" s="2"/>
      <c r="G24" s="64">
        <f>IF($E24="Labour",Assumptions!$B$14,)</f>
        <v>145.77740895836223</v>
      </c>
      <c r="H24" s="9" t="str">
        <f t="shared" si="5"/>
        <v>Hours</v>
      </c>
      <c r="I24" s="2"/>
      <c r="J24" s="83">
        <v>2396.8136472770416</v>
      </c>
      <c r="K24" s="83">
        <v>0</v>
      </c>
      <c r="L24" s="83">
        <v>0</v>
      </c>
      <c r="M24" s="83">
        <v>0</v>
      </c>
      <c r="N24" s="83">
        <v>2123.8294215472802</v>
      </c>
      <c r="O24" s="2"/>
      <c r="P24" s="5">
        <f t="shared" si="0"/>
        <v>349401.28325608902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309606.35014269972</v>
      </c>
      <c r="Y24"/>
    </row>
    <row r="25" spans="1:25" ht="12.75" customHeight="1" x14ac:dyDescent="0.25">
      <c r="A25" s="4"/>
      <c r="C25" s="81" t="s">
        <v>68</v>
      </c>
      <c r="D25" s="82" t="s">
        <v>49</v>
      </c>
      <c r="E25" s="80" t="s">
        <v>11</v>
      </c>
      <c r="F25" s="2"/>
      <c r="G25" s="64">
        <f>IF($E25="Labour",Assumptions!$B$14,)</f>
        <v>145.77740895836223</v>
      </c>
      <c r="H25" s="9" t="str">
        <f t="shared" si="5"/>
        <v>Hours</v>
      </c>
      <c r="I25" s="2"/>
      <c r="J25" s="83">
        <v>2345.375927130025</v>
      </c>
      <c r="K25" s="83">
        <v>0</v>
      </c>
      <c r="L25" s="83">
        <v>0</v>
      </c>
      <c r="M25" s="83">
        <v>0</v>
      </c>
      <c r="N25" s="83">
        <v>2078.2501819807585</v>
      </c>
      <c r="O25" s="2"/>
      <c r="P25" s="5">
        <f t="shared" si="0"/>
        <v>341902.82569033164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302961.92669639975</v>
      </c>
      <c r="Y25"/>
    </row>
    <row r="26" spans="1:25" ht="12.75" customHeight="1" x14ac:dyDescent="0.25">
      <c r="A26" s="4"/>
      <c r="C26" s="81" t="s">
        <v>69</v>
      </c>
      <c r="D26" s="82" t="s">
        <v>49</v>
      </c>
      <c r="E26" s="80" t="s">
        <v>11</v>
      </c>
      <c r="F26" s="2"/>
      <c r="G26" s="64">
        <f>IF($E26="Labour",Assumptions!$B$14,)</f>
        <v>145.77740895836223</v>
      </c>
      <c r="H26" s="9" t="str">
        <f t="shared" si="5"/>
        <v>Hours</v>
      </c>
      <c r="I26" s="2"/>
      <c r="J26" s="83">
        <v>4207.8459474678912</v>
      </c>
      <c r="K26" s="83">
        <v>0</v>
      </c>
      <c r="L26" s="83">
        <v>0</v>
      </c>
      <c r="M26" s="83">
        <v>0</v>
      </c>
      <c r="N26" s="83">
        <v>3728.5948512199134</v>
      </c>
      <c r="O26" s="2"/>
      <c r="P26" s="5">
        <f t="shared" si="0"/>
        <v>613408.87951781391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543544.89646632911</v>
      </c>
      <c r="Y26"/>
    </row>
    <row r="27" spans="1:25" ht="12.75" customHeight="1" x14ac:dyDescent="0.25">
      <c r="A27" s="4"/>
      <c r="C27" s="81" t="s">
        <v>70</v>
      </c>
      <c r="D27" s="82" t="s">
        <v>49</v>
      </c>
      <c r="E27" s="80" t="s">
        <v>11</v>
      </c>
      <c r="F27" s="2"/>
      <c r="G27" s="64">
        <f>IF($E27="Labour",Assumptions!$B$14,)</f>
        <v>145.77740895836223</v>
      </c>
      <c r="H27" s="9" t="str">
        <f t="shared" si="5"/>
        <v>Hours</v>
      </c>
      <c r="I27" s="2"/>
      <c r="J27" s="83">
        <v>605.1853679563859</v>
      </c>
      <c r="K27" s="83">
        <v>0</v>
      </c>
      <c r="L27" s="83">
        <v>0</v>
      </c>
      <c r="M27" s="83">
        <v>0</v>
      </c>
      <c r="N27" s="83">
        <v>536.25799878763928</v>
      </c>
      <c r="O27" s="2"/>
      <c r="P27" s="5">
        <f t="shared" si="0"/>
        <v>88222.354880194995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78174.301596458608</v>
      </c>
      <c r="Y27"/>
    </row>
    <row r="28" spans="1:25" ht="12.75" customHeight="1" x14ac:dyDescent="0.25">
      <c r="A28" s="4"/>
      <c r="C28" s="81" t="s">
        <v>71</v>
      </c>
      <c r="D28" s="82" t="s">
        <v>49</v>
      </c>
      <c r="E28" s="80" t="s">
        <v>11</v>
      </c>
      <c r="F28" s="2"/>
      <c r="G28" s="64">
        <f>IF($E28="Labour",Assumptions!$B$14,)</f>
        <v>145.77740895836223</v>
      </c>
      <c r="H28" s="9" t="str">
        <f t="shared" si="5"/>
        <v>Hours</v>
      </c>
      <c r="I28" s="2"/>
      <c r="J28" s="83">
        <v>173.64517671245395</v>
      </c>
      <c r="K28" s="83">
        <v>0</v>
      </c>
      <c r="L28" s="83">
        <v>0</v>
      </c>
      <c r="M28" s="83">
        <v>0</v>
      </c>
      <c r="N28" s="83">
        <v>153.86792195157196</v>
      </c>
      <c r="O28" s="2"/>
      <c r="P28" s="5">
        <f t="shared" si="0"/>
        <v>25313.543939258478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22430.466983907667</v>
      </c>
      <c r="Y28"/>
    </row>
    <row r="29" spans="1:25" ht="12.75" customHeight="1" x14ac:dyDescent="0.25">
      <c r="A29" s="4"/>
      <c r="C29" s="81" t="s">
        <v>72</v>
      </c>
      <c r="D29" s="82" t="s">
        <v>49</v>
      </c>
      <c r="E29" s="80" t="s">
        <v>11</v>
      </c>
      <c r="F29" s="2"/>
      <c r="G29" s="64">
        <f>IF($E29="Labour",Assumptions!$B$14,)</f>
        <v>145.77740895836223</v>
      </c>
      <c r="H29" s="9" t="str">
        <f t="shared" si="5"/>
        <v>Hours</v>
      </c>
      <c r="I29" s="2"/>
      <c r="J29" s="83">
        <v>1605.3749173340843</v>
      </c>
      <c r="K29" s="83">
        <v>0</v>
      </c>
      <c r="L29" s="83">
        <v>0</v>
      </c>
      <c r="M29" s="83">
        <v>0</v>
      </c>
      <c r="N29" s="83">
        <v>1422.531320247469</v>
      </c>
      <c r="O29" s="2"/>
      <c r="P29" s="5">
        <f t="shared" si="0"/>
        <v>234027.39585570776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207372.93002779424</v>
      </c>
      <c r="Y29"/>
    </row>
    <row r="30" spans="1:25" ht="12.75" customHeight="1" x14ac:dyDescent="0.25">
      <c r="A30" s="4"/>
      <c r="C30" s="81" t="s">
        <v>73</v>
      </c>
      <c r="D30" s="82" t="s">
        <v>49</v>
      </c>
      <c r="E30" s="80" t="s">
        <v>11</v>
      </c>
      <c r="F30" s="2"/>
      <c r="G30" s="64">
        <f>IF($E30="Labour",Assumptions!$B$14,)</f>
        <v>145.77740895836223</v>
      </c>
      <c r="H30" s="9" t="str">
        <f t="shared" si="5"/>
        <v>Hours</v>
      </c>
      <c r="I30" s="2"/>
      <c r="J30" s="83">
        <v>3080.182961978237</v>
      </c>
      <c r="K30" s="83">
        <v>0</v>
      </c>
      <c r="L30" s="83">
        <v>0</v>
      </c>
      <c r="M30" s="83">
        <v>0</v>
      </c>
      <c r="N30" s="83">
        <v>2729.3666346693158</v>
      </c>
      <c r="O30" s="2"/>
      <c r="P30" s="5">
        <f t="shared" si="0"/>
        <v>449021.09131488093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397879.99609949766</v>
      </c>
      <c r="Y30"/>
    </row>
    <row r="31" spans="1:25" ht="12.75" customHeight="1" x14ac:dyDescent="0.25">
      <c r="A31" s="4"/>
      <c r="C31" s="81" t="s">
        <v>74</v>
      </c>
      <c r="D31" s="82" t="s">
        <v>49</v>
      </c>
      <c r="E31" s="80" t="s">
        <v>11</v>
      </c>
      <c r="F31" s="2"/>
      <c r="G31" s="64">
        <f>IF($E31="Labour",Assumptions!$B$14,)</f>
        <v>145.77740895836223</v>
      </c>
      <c r="H31" s="9" t="str">
        <f t="shared" si="5"/>
        <v>Hours</v>
      </c>
      <c r="I31" s="2"/>
      <c r="J31" s="83">
        <v>378.04006234306587</v>
      </c>
      <c r="K31" s="83">
        <v>0</v>
      </c>
      <c r="L31" s="83">
        <v>0</v>
      </c>
      <c r="M31" s="83">
        <v>0</v>
      </c>
      <c r="N31" s="83">
        <v>334.98332581672213</v>
      </c>
      <c r="O31" s="2"/>
      <c r="P31" s="5">
        <f t="shared" si="0"/>
        <v>55109.70077082987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48833.0012818166</v>
      </c>
      <c r="Y31"/>
    </row>
    <row r="32" spans="1:25" ht="12.75" customHeight="1" x14ac:dyDescent="0.25">
      <c r="A32" s="4"/>
      <c r="C32" s="81" t="s">
        <v>71</v>
      </c>
      <c r="D32" s="82" t="s">
        <v>49</v>
      </c>
      <c r="E32" s="80" t="s">
        <v>13</v>
      </c>
      <c r="F32" s="2"/>
      <c r="G32" s="64">
        <f>IF($E32="Labour",Assumptions!$B$14,)</f>
        <v>0</v>
      </c>
      <c r="H32" s="9" t="str">
        <f t="shared" si="5"/>
        <v>$</v>
      </c>
      <c r="I32" s="2"/>
      <c r="J32" s="83">
        <v>25313.543939258478</v>
      </c>
      <c r="K32" s="83">
        <v>0</v>
      </c>
      <c r="L32" s="83">
        <v>0</v>
      </c>
      <c r="M32" s="83">
        <v>0</v>
      </c>
      <c r="N32" s="83">
        <v>22430.466983907667</v>
      </c>
      <c r="O32" s="2"/>
      <c r="P32" s="5">
        <f t="shared" si="0"/>
        <v>25313.543939258478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22430.466983907667</v>
      </c>
      <c r="Y32"/>
    </row>
    <row r="33" spans="1:25" ht="12.75" customHeight="1" x14ac:dyDescent="0.25">
      <c r="A33" s="4"/>
      <c r="C33" s="81" t="s">
        <v>75</v>
      </c>
      <c r="D33" s="82" t="s">
        <v>49</v>
      </c>
      <c r="E33" s="80" t="s">
        <v>11</v>
      </c>
      <c r="F33" s="2"/>
      <c r="G33" s="64">
        <f>IF($E33="Labour",Assumptions!$B$14,)</f>
        <v>145.77740895836223</v>
      </c>
      <c r="H33" s="9" t="str">
        <f t="shared" si="5"/>
        <v>Hours</v>
      </c>
      <c r="I33" s="2"/>
      <c r="J33" s="83">
        <v>25644.62594268395</v>
      </c>
      <c r="K33" s="83"/>
      <c r="L33" s="83"/>
      <c r="M33" s="83"/>
      <c r="N33" s="83">
        <v>15332.997172421961</v>
      </c>
      <c r="O33" s="2"/>
      <c r="P33" s="5">
        <f t="shared" si="0"/>
        <v>3738407.1236308636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2235204.5993615678</v>
      </c>
      <c r="Y33"/>
    </row>
    <row r="34" spans="1:25" ht="12.75" customHeight="1" x14ac:dyDescent="0.25">
      <c r="A34" s="4"/>
      <c r="C34" s="81" t="s">
        <v>75</v>
      </c>
      <c r="D34" s="82" t="s">
        <v>49</v>
      </c>
      <c r="E34" s="80" t="s">
        <v>13</v>
      </c>
      <c r="F34" s="2"/>
      <c r="G34" s="64">
        <f>IF($E34="Labour",Assumptions!$B$14,)</f>
        <v>0</v>
      </c>
      <c r="H34" s="9" t="str">
        <f t="shared" si="5"/>
        <v>$</v>
      </c>
      <c r="I34" s="2"/>
      <c r="J34" s="83">
        <v>37447.820636776436</v>
      </c>
      <c r="K34" s="83"/>
      <c r="L34" s="83"/>
      <c r="M34" s="83"/>
      <c r="N34" s="83"/>
      <c r="O34" s="2"/>
      <c r="P34" s="5">
        <f t="shared" si="0"/>
        <v>37447.820636776436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 t="s">
        <v>76</v>
      </c>
      <c r="D35" s="82" t="s">
        <v>49</v>
      </c>
      <c r="E35" s="80" t="s">
        <v>11</v>
      </c>
      <c r="F35" s="2"/>
      <c r="G35" s="64">
        <f>IF($E35="Labour",Assumptions!$B$14,)</f>
        <v>145.77740895836223</v>
      </c>
      <c r="H35" s="9" t="str">
        <f t="shared" si="5"/>
        <v>Hours</v>
      </c>
      <c r="I35" s="2"/>
      <c r="J35" s="83">
        <v>6436.7175026413042</v>
      </c>
      <c r="K35" s="83"/>
      <c r="L35" s="83"/>
      <c r="M35" s="83"/>
      <c r="N35" s="83">
        <v>3862.0305015847825</v>
      </c>
      <c r="O35" s="2"/>
      <c r="P35" s="5">
        <f t="shared" si="0"/>
        <v>938327.99973198946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562996.7998391937</v>
      </c>
      <c r="Y35"/>
    </row>
    <row r="36" spans="1:25" ht="12.75" customHeight="1" x14ac:dyDescent="0.25">
      <c r="A36" s="4"/>
      <c r="C36" s="81" t="s">
        <v>76</v>
      </c>
      <c r="D36" s="82" t="s">
        <v>49</v>
      </c>
      <c r="E36" s="80" t="s">
        <v>13</v>
      </c>
      <c r="F36" s="2"/>
      <c r="G36" s="64">
        <f>IF($E36="Labour",Assumptions!$B$14,)</f>
        <v>0</v>
      </c>
      <c r="H36" s="9" t="str">
        <f t="shared" si="5"/>
        <v>$</v>
      </c>
      <c r="I36" s="2"/>
      <c r="J36" s="83">
        <v>8494</v>
      </c>
      <c r="K36" s="83"/>
      <c r="L36" s="83"/>
      <c r="M36" s="83"/>
      <c r="N36" s="83"/>
      <c r="O36" s="2"/>
      <c r="P36" s="5">
        <f t="shared" si="0"/>
        <v>8494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/>
      <c r="D37" s="82"/>
      <c r="E37" s="80"/>
      <c r="F37" s="2"/>
      <c r="G37" s="64">
        <f>IF($E37="Labour",Assumptions!$B$14,)</f>
        <v>0</v>
      </c>
      <c r="H37" s="9" t="str">
        <f t="shared" si="5"/>
        <v>$</v>
      </c>
      <c r="I37" s="2"/>
      <c r="J37" s="83"/>
      <c r="K37" s="83"/>
      <c r="L37" s="83"/>
      <c r="M37" s="83"/>
      <c r="N37" s="83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/>
      <c r="D38" s="82"/>
      <c r="E38" s="80"/>
      <c r="F38" s="2"/>
      <c r="G38" s="64">
        <f>IF($E38="Labour",Assumptions!$B$14,)</f>
        <v>0</v>
      </c>
      <c r="H38" s="9" t="str">
        <f t="shared" si="5"/>
        <v>$</v>
      </c>
      <c r="I38" s="2"/>
      <c r="J38" s="83"/>
      <c r="K38" s="83"/>
      <c r="L38" s="83"/>
      <c r="M38" s="83"/>
      <c r="N38" s="83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/>
      <c r="D39" s="82"/>
      <c r="E39" s="80"/>
      <c r="F39" s="2"/>
      <c r="G39" s="64">
        <f>IF($E39="Labour",Assumptions!$B$14,)</f>
        <v>0</v>
      </c>
      <c r="H39" s="9" t="str">
        <f t="shared" si="5"/>
        <v>$</v>
      </c>
      <c r="I39" s="2"/>
      <c r="J39" s="83"/>
      <c r="K39" s="83"/>
      <c r="L39" s="83"/>
      <c r="M39" s="83"/>
      <c r="N39" s="83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/>
      <c r="D40" s="82"/>
      <c r="E40" s="80"/>
      <c r="G40" s="64">
        <f>IF($E40="Labour",Assumptions!$B$14,)</f>
        <v>0</v>
      </c>
      <c r="H40" s="9" t="str">
        <f t="shared" si="5"/>
        <v>$</v>
      </c>
      <c r="J40" s="83"/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/>
      <c r="D41" s="82"/>
      <c r="E41" s="80"/>
      <c r="G41" s="64">
        <f>IF($E41="Labour",Assumptions!$B$14,)</f>
        <v>0</v>
      </c>
      <c r="H41" s="9" t="str">
        <f t="shared" si="5"/>
        <v>$</v>
      </c>
      <c r="J41" s="83"/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/>
      <c r="D42" s="82"/>
      <c r="E42" s="80"/>
      <c r="G42" s="64">
        <f>IF($E42="Labour",Assumptions!$B$14,)</f>
        <v>0</v>
      </c>
      <c r="H42" s="9" t="str">
        <f t="shared" si="5"/>
        <v>$</v>
      </c>
      <c r="J42" s="83"/>
      <c r="K42" s="83"/>
      <c r="L42" s="83"/>
      <c r="M42" s="83"/>
      <c r="N42" s="83"/>
      <c r="P42" s="5">
        <f t="shared" ref="P42:P60" si="6">IF($E42="Labour",$G42*J42,J42)</f>
        <v>0</v>
      </c>
      <c r="Q42" s="5">
        <f t="shared" ref="Q42:Q60" si="7">IF($E42="Labour",$G42*K42,K42)</f>
        <v>0</v>
      </c>
      <c r="R42" s="5">
        <f t="shared" ref="R42:R60" si="8">IF($E42="Labour",$G42*L42,L42)</f>
        <v>0</v>
      </c>
      <c r="S42" s="5">
        <f t="shared" ref="S42:S60" si="9">IF($E42="Labour",$G42*M42,M42)</f>
        <v>0</v>
      </c>
      <c r="T42" s="5">
        <f t="shared" ref="T42:T60" si="10">IF($E42="Labour",$G42*N42,N42)</f>
        <v>0</v>
      </c>
    </row>
    <row r="43" spans="1:25" ht="12.75" customHeight="1" x14ac:dyDescent="0.2">
      <c r="A43" s="4"/>
      <c r="C43" s="81"/>
      <c r="D43" s="82"/>
      <c r="E43" s="80"/>
      <c r="G43" s="64">
        <f>IF($E43="Labour",Assumptions!$B$14,)</f>
        <v>0</v>
      </c>
      <c r="H43" s="9" t="str">
        <f t="shared" si="5"/>
        <v>$</v>
      </c>
      <c r="J43" s="83"/>
      <c r="K43" s="83"/>
      <c r="L43" s="83"/>
      <c r="M43" s="83"/>
      <c r="N43" s="83"/>
      <c r="P43" s="5">
        <f t="shared" si="6"/>
        <v>0</v>
      </c>
      <c r="Q43" s="5">
        <f t="shared" si="7"/>
        <v>0</v>
      </c>
      <c r="R43" s="5">
        <f t="shared" si="8"/>
        <v>0</v>
      </c>
      <c r="S43" s="5">
        <f t="shared" si="9"/>
        <v>0</v>
      </c>
      <c r="T43" s="5">
        <f t="shared" si="10"/>
        <v>0</v>
      </c>
    </row>
    <row r="44" spans="1:25" ht="12.75" customHeight="1" x14ac:dyDescent="0.2">
      <c r="A44" s="4"/>
      <c r="C44" s="81"/>
      <c r="D44" s="82"/>
      <c r="E44" s="80"/>
      <c r="G44" s="64">
        <f>IF($E44="Labour",Assumptions!$B$14,)</f>
        <v>0</v>
      </c>
      <c r="H44" s="9" t="str">
        <f t="shared" si="5"/>
        <v>$</v>
      </c>
      <c r="J44" s="83"/>
      <c r="K44" s="83"/>
      <c r="L44" s="83"/>
      <c r="M44" s="83"/>
      <c r="N44" s="83"/>
      <c r="P44" s="5">
        <f t="shared" si="6"/>
        <v>0</v>
      </c>
      <c r="Q44" s="5">
        <f t="shared" si="7"/>
        <v>0</v>
      </c>
      <c r="R44" s="5">
        <f t="shared" si="8"/>
        <v>0</v>
      </c>
      <c r="S44" s="5">
        <f t="shared" si="9"/>
        <v>0</v>
      </c>
      <c r="T44" s="5">
        <f t="shared" si="10"/>
        <v>0</v>
      </c>
    </row>
    <row r="45" spans="1:25" ht="12.75" customHeight="1" x14ac:dyDescent="0.2">
      <c r="A45" s="4"/>
      <c r="C45" s="81"/>
      <c r="D45" s="82"/>
      <c r="E45" s="80"/>
      <c r="G45" s="64">
        <f>IF($E45="Labour",Assumptions!$B$14,)</f>
        <v>0</v>
      </c>
      <c r="H45" s="9" t="str">
        <f t="shared" si="5"/>
        <v>$</v>
      </c>
      <c r="J45" s="83"/>
      <c r="K45" s="83"/>
      <c r="L45" s="83"/>
      <c r="M45" s="83"/>
      <c r="N45" s="83"/>
      <c r="P45" s="5">
        <f t="shared" si="6"/>
        <v>0</v>
      </c>
      <c r="Q45" s="5">
        <f t="shared" si="7"/>
        <v>0</v>
      </c>
      <c r="R45" s="5">
        <f t="shared" si="8"/>
        <v>0</v>
      </c>
      <c r="S45" s="5">
        <f t="shared" si="9"/>
        <v>0</v>
      </c>
      <c r="T45" s="5">
        <f t="shared" si="10"/>
        <v>0</v>
      </c>
    </row>
    <row r="46" spans="1:25" ht="12.75" customHeight="1" x14ac:dyDescent="0.2">
      <c r="A46" s="4"/>
      <c r="C46" s="81"/>
      <c r="D46" s="82"/>
      <c r="E46" s="80"/>
      <c r="G46" s="64">
        <f>IF($E46="Labour",Assumptions!$B$14,)</f>
        <v>0</v>
      </c>
      <c r="H46" s="9" t="str">
        <f t="shared" si="5"/>
        <v>$</v>
      </c>
      <c r="J46" s="83"/>
      <c r="K46" s="83"/>
      <c r="L46" s="83"/>
      <c r="M46" s="83"/>
      <c r="N46" s="83"/>
      <c r="P46" s="5">
        <f t="shared" si="6"/>
        <v>0</v>
      </c>
      <c r="Q46" s="5">
        <f t="shared" si="7"/>
        <v>0</v>
      </c>
      <c r="R46" s="5">
        <f t="shared" si="8"/>
        <v>0</v>
      </c>
      <c r="S46" s="5">
        <f t="shared" si="9"/>
        <v>0</v>
      </c>
      <c r="T46" s="5">
        <f t="shared" si="10"/>
        <v>0</v>
      </c>
    </row>
    <row r="47" spans="1:25" ht="12.75" customHeight="1" x14ac:dyDescent="0.2">
      <c r="A47" s="4"/>
      <c r="C47" s="81"/>
      <c r="D47" s="82"/>
      <c r="E47" s="80"/>
      <c r="G47" s="64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6"/>
        <v>0</v>
      </c>
      <c r="Q47" s="5">
        <f t="shared" si="7"/>
        <v>0</v>
      </c>
      <c r="R47" s="5">
        <f t="shared" si="8"/>
        <v>0</v>
      </c>
      <c r="S47" s="5">
        <f t="shared" si="9"/>
        <v>0</v>
      </c>
      <c r="T47" s="5">
        <f t="shared" si="10"/>
        <v>0</v>
      </c>
    </row>
    <row r="48" spans="1:25" ht="12.75" customHeight="1" x14ac:dyDescent="0.2">
      <c r="A48" s="4"/>
      <c r="C48" s="81"/>
      <c r="D48" s="82"/>
      <c r="E48" s="80"/>
      <c r="G48" s="64">
        <f>IF($E48="Labour",Assumptions!$B$14,)</f>
        <v>0</v>
      </c>
      <c r="H48" s="9" t="str">
        <f t="shared" si="5"/>
        <v>$</v>
      </c>
      <c r="J48" s="83"/>
      <c r="K48" s="83"/>
      <c r="L48" s="83"/>
      <c r="M48" s="83"/>
      <c r="N48" s="83"/>
      <c r="P48" s="5">
        <f t="shared" si="6"/>
        <v>0</v>
      </c>
      <c r="Q48" s="5">
        <f t="shared" si="7"/>
        <v>0</v>
      </c>
      <c r="R48" s="5">
        <f t="shared" si="8"/>
        <v>0</v>
      </c>
      <c r="S48" s="5">
        <f t="shared" si="9"/>
        <v>0</v>
      </c>
      <c r="T48" s="5">
        <f t="shared" si="10"/>
        <v>0</v>
      </c>
    </row>
    <row r="49" spans="1:25" ht="12.75" customHeight="1" x14ac:dyDescent="0.2">
      <c r="A49" s="4"/>
      <c r="C49" s="81"/>
      <c r="D49" s="82"/>
      <c r="E49" s="80"/>
      <c r="G49" s="64">
        <f>IF($E49="Labour",Assumptions!$B$14,)</f>
        <v>0</v>
      </c>
      <c r="H49" s="9" t="str">
        <f t="shared" si="5"/>
        <v>$</v>
      </c>
      <c r="J49" s="83"/>
      <c r="K49" s="83"/>
      <c r="L49" s="83"/>
      <c r="M49" s="83"/>
      <c r="N49" s="83"/>
      <c r="P49" s="5">
        <f t="shared" si="6"/>
        <v>0</v>
      </c>
      <c r="Q49" s="5">
        <f t="shared" si="7"/>
        <v>0</v>
      </c>
      <c r="R49" s="5">
        <f t="shared" si="8"/>
        <v>0</v>
      </c>
      <c r="S49" s="5">
        <f t="shared" si="9"/>
        <v>0</v>
      </c>
      <c r="T49" s="5">
        <f t="shared" si="10"/>
        <v>0</v>
      </c>
    </row>
    <row r="50" spans="1:25" ht="12.75" customHeight="1" x14ac:dyDescent="0.2">
      <c r="A50" s="4"/>
      <c r="C50" s="81"/>
      <c r="D50" s="82"/>
      <c r="E50" s="80"/>
      <c r="G50" s="64">
        <f>IF($E50="Labour",Assumptions!$B$14,)</f>
        <v>0</v>
      </c>
      <c r="H50" s="9" t="str">
        <f t="shared" si="5"/>
        <v>$</v>
      </c>
      <c r="J50" s="83"/>
      <c r="K50" s="83"/>
      <c r="L50" s="83"/>
      <c r="M50" s="83"/>
      <c r="N50" s="83"/>
      <c r="P50" s="5">
        <f t="shared" si="6"/>
        <v>0</v>
      </c>
      <c r="Q50" s="5">
        <f t="shared" si="7"/>
        <v>0</v>
      </c>
      <c r="R50" s="5">
        <f t="shared" si="8"/>
        <v>0</v>
      </c>
      <c r="S50" s="5">
        <f t="shared" si="9"/>
        <v>0</v>
      </c>
      <c r="T50" s="5">
        <f t="shared" si="10"/>
        <v>0</v>
      </c>
    </row>
    <row r="51" spans="1:25" ht="12.75" customHeight="1" x14ac:dyDescent="0.2">
      <c r="A51" s="4"/>
      <c r="C51" s="81"/>
      <c r="D51" s="82"/>
      <c r="E51" s="80"/>
      <c r="G51" s="64">
        <f>IF($E51="Labour",Assumptions!$B$14,)</f>
        <v>0</v>
      </c>
      <c r="H51" s="9" t="str">
        <f t="shared" si="5"/>
        <v>$</v>
      </c>
      <c r="J51" s="83"/>
      <c r="K51" s="83"/>
      <c r="L51" s="83"/>
      <c r="M51" s="83"/>
      <c r="N51" s="83"/>
      <c r="P51" s="5">
        <f t="shared" si="6"/>
        <v>0</v>
      </c>
      <c r="Q51" s="5">
        <f t="shared" si="7"/>
        <v>0</v>
      </c>
      <c r="R51" s="5">
        <f t="shared" si="8"/>
        <v>0</v>
      </c>
      <c r="S51" s="5">
        <f t="shared" si="9"/>
        <v>0</v>
      </c>
      <c r="T51" s="5">
        <f t="shared" si="10"/>
        <v>0</v>
      </c>
    </row>
    <row r="52" spans="1:25" ht="12.75" customHeight="1" x14ac:dyDescent="0.2">
      <c r="A52" s="4"/>
      <c r="C52" s="81"/>
      <c r="D52" s="82"/>
      <c r="E52" s="80"/>
      <c r="G52" s="64">
        <f>IF($E52="Labour",Assumptions!$B$14,)</f>
        <v>0</v>
      </c>
      <c r="H52" s="9" t="str">
        <f t="shared" si="5"/>
        <v>$</v>
      </c>
      <c r="J52" s="83"/>
      <c r="K52" s="83"/>
      <c r="L52" s="83"/>
      <c r="M52" s="83"/>
      <c r="N52" s="83"/>
      <c r="P52" s="5">
        <f t="shared" si="6"/>
        <v>0</v>
      </c>
      <c r="Q52" s="5">
        <f t="shared" si="7"/>
        <v>0</v>
      </c>
      <c r="R52" s="5">
        <f t="shared" si="8"/>
        <v>0</v>
      </c>
      <c r="S52" s="5">
        <f t="shared" si="9"/>
        <v>0</v>
      </c>
      <c r="T52" s="5">
        <f t="shared" si="10"/>
        <v>0</v>
      </c>
    </row>
    <row r="53" spans="1:25" ht="12.75" customHeight="1" x14ac:dyDescent="0.2">
      <c r="A53" s="4"/>
      <c r="C53" s="81"/>
      <c r="D53" s="82"/>
      <c r="E53" s="80"/>
      <c r="G53" s="64">
        <f>IF($E53="Labour",Assumptions!$B$14,)</f>
        <v>0</v>
      </c>
      <c r="H53" s="9" t="str">
        <f t="shared" si="5"/>
        <v>$</v>
      </c>
      <c r="J53" s="83"/>
      <c r="K53" s="83"/>
      <c r="L53" s="83"/>
      <c r="M53" s="83"/>
      <c r="N53" s="83"/>
      <c r="P53" s="5">
        <f t="shared" si="6"/>
        <v>0</v>
      </c>
      <c r="Q53" s="5">
        <f t="shared" si="7"/>
        <v>0</v>
      </c>
      <c r="R53" s="5">
        <f t="shared" si="8"/>
        <v>0</v>
      </c>
      <c r="S53" s="5">
        <f t="shared" si="9"/>
        <v>0</v>
      </c>
      <c r="T53" s="5">
        <f t="shared" si="10"/>
        <v>0</v>
      </c>
    </row>
    <row r="54" spans="1:25" ht="12.75" customHeight="1" x14ac:dyDescent="0.2">
      <c r="A54" s="4"/>
      <c r="C54" s="81"/>
      <c r="D54" s="82"/>
      <c r="E54" s="80"/>
      <c r="G54" s="64">
        <f>IF($E54="Labour",Assumptions!$B$14,)</f>
        <v>0</v>
      </c>
      <c r="H54" s="9" t="str">
        <f t="shared" si="5"/>
        <v>$</v>
      </c>
      <c r="J54" s="83"/>
      <c r="K54" s="83"/>
      <c r="L54" s="83"/>
      <c r="M54" s="83"/>
      <c r="N54" s="83"/>
      <c r="P54" s="5">
        <f t="shared" si="6"/>
        <v>0</v>
      </c>
      <c r="Q54" s="5">
        <f t="shared" si="7"/>
        <v>0</v>
      </c>
      <c r="R54" s="5">
        <f t="shared" si="8"/>
        <v>0</v>
      </c>
      <c r="S54" s="5">
        <f t="shared" si="9"/>
        <v>0</v>
      </c>
      <c r="T54" s="5">
        <f t="shared" si="10"/>
        <v>0</v>
      </c>
    </row>
    <row r="55" spans="1:25" ht="12.75" customHeight="1" x14ac:dyDescent="0.2">
      <c r="A55" s="4"/>
      <c r="C55" s="81"/>
      <c r="D55" s="82"/>
      <c r="E55" s="80"/>
      <c r="G55" s="64">
        <f>IF($E55="Labour",Assumptions!$B$14,)</f>
        <v>0</v>
      </c>
      <c r="H55" s="9" t="str">
        <f t="shared" si="5"/>
        <v>$</v>
      </c>
      <c r="J55" s="83"/>
      <c r="K55" s="83"/>
      <c r="L55" s="83"/>
      <c r="M55" s="83"/>
      <c r="N55" s="83"/>
      <c r="P55" s="5">
        <f t="shared" si="6"/>
        <v>0</v>
      </c>
      <c r="Q55" s="5">
        <f t="shared" si="7"/>
        <v>0</v>
      </c>
      <c r="R55" s="5">
        <f t="shared" si="8"/>
        <v>0</v>
      </c>
      <c r="S55" s="5">
        <f t="shared" si="9"/>
        <v>0</v>
      </c>
      <c r="T55" s="5">
        <f t="shared" si="10"/>
        <v>0</v>
      </c>
    </row>
    <row r="56" spans="1:25" ht="12.75" customHeight="1" x14ac:dyDescent="0.2">
      <c r="A56" s="4"/>
      <c r="C56" s="81"/>
      <c r="D56" s="82"/>
      <c r="E56" s="80"/>
      <c r="G56" s="64">
        <f>IF($E56="Labour",Assumptions!$B$14,)</f>
        <v>0</v>
      </c>
      <c r="H56" s="9" t="str">
        <f t="shared" si="5"/>
        <v>$</v>
      </c>
      <c r="J56" s="83"/>
      <c r="K56" s="83"/>
      <c r="L56" s="83"/>
      <c r="M56" s="83"/>
      <c r="N56" s="83"/>
      <c r="P56" s="5">
        <f t="shared" si="6"/>
        <v>0</v>
      </c>
      <c r="Q56" s="5">
        <f t="shared" si="7"/>
        <v>0</v>
      </c>
      <c r="R56" s="5">
        <f t="shared" si="8"/>
        <v>0</v>
      </c>
      <c r="S56" s="5">
        <f t="shared" si="9"/>
        <v>0</v>
      </c>
      <c r="T56" s="5">
        <f t="shared" si="10"/>
        <v>0</v>
      </c>
    </row>
    <row r="57" spans="1:25" ht="12.75" customHeight="1" x14ac:dyDescent="0.2">
      <c r="A57" s="4"/>
      <c r="C57" s="81"/>
      <c r="D57" s="82"/>
      <c r="E57" s="80"/>
      <c r="G57" s="64">
        <f>IF($E57="Labour",Assumptions!$B$14,)</f>
        <v>0</v>
      </c>
      <c r="H57" s="9" t="str">
        <f t="shared" si="5"/>
        <v>$</v>
      </c>
      <c r="J57" s="83"/>
      <c r="K57" s="83"/>
      <c r="L57" s="83"/>
      <c r="M57" s="83"/>
      <c r="N57" s="83"/>
      <c r="P57" s="5">
        <f t="shared" si="6"/>
        <v>0</v>
      </c>
      <c r="Q57" s="5">
        <f t="shared" si="7"/>
        <v>0</v>
      </c>
      <c r="R57" s="5">
        <f t="shared" si="8"/>
        <v>0</v>
      </c>
      <c r="S57" s="5">
        <f t="shared" si="9"/>
        <v>0</v>
      </c>
      <c r="T57" s="5">
        <f t="shared" si="10"/>
        <v>0</v>
      </c>
    </row>
    <row r="58" spans="1:25" ht="12.75" customHeight="1" x14ac:dyDescent="0.2">
      <c r="A58" s="4"/>
      <c r="C58" s="81"/>
      <c r="D58" s="82"/>
      <c r="E58" s="80"/>
      <c r="G58" s="64">
        <f>IF($E58="Labour",Assumptions!$B$14,)</f>
        <v>0</v>
      </c>
      <c r="H58" s="9" t="str">
        <f t="shared" si="5"/>
        <v>$</v>
      </c>
      <c r="J58" s="83"/>
      <c r="K58" s="83"/>
      <c r="L58" s="83"/>
      <c r="M58" s="83"/>
      <c r="N58" s="83"/>
      <c r="P58" s="5">
        <f t="shared" si="6"/>
        <v>0</v>
      </c>
      <c r="Q58" s="5">
        <f t="shared" si="7"/>
        <v>0</v>
      </c>
      <c r="R58" s="5">
        <f t="shared" si="8"/>
        <v>0</v>
      </c>
      <c r="S58" s="5">
        <f t="shared" si="9"/>
        <v>0</v>
      </c>
      <c r="T58" s="5">
        <f t="shared" si="10"/>
        <v>0</v>
      </c>
    </row>
    <row r="59" spans="1:25" ht="12.75" customHeight="1" x14ac:dyDescent="0.2">
      <c r="A59" s="4"/>
      <c r="C59" s="81"/>
      <c r="D59" s="82"/>
      <c r="E59" s="80"/>
      <c r="G59" s="64">
        <f>IF($E59="Labour",Assumptions!$B$14,)</f>
        <v>0</v>
      </c>
      <c r="H59" s="9" t="str">
        <f t="shared" si="5"/>
        <v>$</v>
      </c>
      <c r="J59" s="83"/>
      <c r="K59" s="83"/>
      <c r="L59" s="83"/>
      <c r="M59" s="83"/>
      <c r="N59" s="83"/>
      <c r="P59" s="5">
        <f t="shared" si="6"/>
        <v>0</v>
      </c>
      <c r="Q59" s="5">
        <f t="shared" si="7"/>
        <v>0</v>
      </c>
      <c r="R59" s="5">
        <f t="shared" si="8"/>
        <v>0</v>
      </c>
      <c r="S59" s="5">
        <f t="shared" si="9"/>
        <v>0</v>
      </c>
      <c r="T59" s="5">
        <f t="shared" si="10"/>
        <v>0</v>
      </c>
    </row>
    <row r="60" spans="1:25" ht="12.75" customHeight="1" x14ac:dyDescent="0.2">
      <c r="A60" s="4"/>
      <c r="C60" s="81"/>
      <c r="D60" s="82"/>
      <c r="E60" s="80"/>
      <c r="G60" s="64">
        <f>IF($E60="Labour",Assumptions!$B$14,)</f>
        <v>0</v>
      </c>
      <c r="H60" s="9" t="str">
        <f t="shared" si="5"/>
        <v>$</v>
      </c>
      <c r="J60" s="83"/>
      <c r="K60" s="83"/>
      <c r="L60" s="83"/>
      <c r="M60" s="83"/>
      <c r="N60" s="83"/>
      <c r="P60" s="5">
        <f t="shared" si="6"/>
        <v>0</v>
      </c>
      <c r="Q60" s="5">
        <f t="shared" si="7"/>
        <v>0</v>
      </c>
      <c r="R60" s="5">
        <f t="shared" si="8"/>
        <v>0</v>
      </c>
      <c r="S60" s="5">
        <f t="shared" si="9"/>
        <v>0</v>
      </c>
      <c r="T60" s="5">
        <f t="shared" si="10"/>
        <v>0</v>
      </c>
    </row>
    <row r="61" spans="1:25" ht="12.75" customHeight="1" x14ac:dyDescent="0.25">
      <c r="F61" s="2"/>
      <c r="I61" s="2"/>
      <c r="O61" s="2"/>
      <c r="Y61"/>
    </row>
    <row r="62" spans="1:25" ht="12.75" customHeight="1" x14ac:dyDescent="0.25">
      <c r="F62" s="2"/>
      <c r="I62" s="2"/>
      <c r="O62" s="2"/>
      <c r="Y62"/>
    </row>
    <row r="63" spans="1:25" ht="12.75" customHeight="1" x14ac:dyDescent="0.25">
      <c r="C63" s="3" t="s">
        <v>48</v>
      </c>
      <c r="F63" s="2"/>
      <c r="I63" s="2"/>
      <c r="O63" s="2"/>
      <c r="P63" s="69" t="s">
        <v>6</v>
      </c>
      <c r="Q63" s="69" t="s">
        <v>7</v>
      </c>
      <c r="R63" s="69" t="s">
        <v>8</v>
      </c>
      <c r="S63" s="69" t="s">
        <v>9</v>
      </c>
      <c r="T63" s="69" t="s">
        <v>10</v>
      </c>
      <c r="U63" s="69" t="s">
        <v>0</v>
      </c>
      <c r="Y63"/>
    </row>
    <row r="64" spans="1:25" ht="12.75" customHeight="1" x14ac:dyDescent="0.2">
      <c r="C64" s="24" t="s">
        <v>11</v>
      </c>
      <c r="D64" s="24" t="s">
        <v>49</v>
      </c>
      <c r="E64" s="24"/>
      <c r="F64" s="2"/>
      <c r="G64" s="66"/>
      <c r="H64" s="67"/>
      <c r="I64" s="2"/>
      <c r="J64" s="24"/>
      <c r="K64" s="24"/>
      <c r="L64" s="24"/>
      <c r="M64" s="24"/>
      <c r="N64" s="24"/>
      <c r="O64" s="2"/>
      <c r="P64" s="25">
        <f t="shared" ref="P64:T66" si="11">SUMIFS(P$10:P$60,$E$10:$E$60,$C64,$D$10:$D$60,$D64)</f>
        <v>9951485.2493224498</v>
      </c>
      <c r="Q64" s="25">
        <f t="shared" si="11"/>
        <v>587337.18069324142</v>
      </c>
      <c r="R64" s="25">
        <f t="shared" si="11"/>
        <v>0</v>
      </c>
      <c r="S64" s="25">
        <f t="shared" si="11"/>
        <v>0</v>
      </c>
      <c r="T64" s="25">
        <f t="shared" si="11"/>
        <v>7791945.1409662981</v>
      </c>
      <c r="U64" s="71">
        <f>SUM(P64:T64)</f>
        <v>18330767.570981987</v>
      </c>
    </row>
    <row r="65" spans="3:22" ht="12.75" customHeight="1" x14ac:dyDescent="0.2">
      <c r="C65" s="1" t="s">
        <v>13</v>
      </c>
      <c r="D65" s="1" t="s">
        <v>49</v>
      </c>
      <c r="F65" s="2"/>
      <c r="G65" s="68"/>
      <c r="I65" s="2"/>
      <c r="O65" s="2"/>
      <c r="P65" s="6">
        <f t="shared" si="11"/>
        <v>171255.36457603492</v>
      </c>
      <c r="Q65" s="6">
        <f t="shared" si="11"/>
        <v>63200</v>
      </c>
      <c r="R65" s="6">
        <f t="shared" si="11"/>
        <v>0</v>
      </c>
      <c r="S65" s="6">
        <f t="shared" si="11"/>
        <v>0</v>
      </c>
      <c r="T65" s="6">
        <f t="shared" si="11"/>
        <v>772430.46698390762</v>
      </c>
      <c r="U65" s="72">
        <f t="shared" ref="U65:U70" si="12">SUM(P65:T65)</f>
        <v>1006885.8315599426</v>
      </c>
    </row>
    <row r="66" spans="3:22" ht="12.75" customHeight="1" x14ac:dyDescent="0.2">
      <c r="C66" s="1" t="s">
        <v>14</v>
      </c>
      <c r="D66" s="1" t="s">
        <v>49</v>
      </c>
      <c r="F66" s="2"/>
      <c r="G66" s="68"/>
      <c r="I66" s="2"/>
      <c r="O66" s="2"/>
      <c r="P66" s="6">
        <f t="shared" si="11"/>
        <v>0</v>
      </c>
      <c r="Q66" s="6">
        <f t="shared" si="11"/>
        <v>0</v>
      </c>
      <c r="R66" s="6">
        <f t="shared" si="11"/>
        <v>0</v>
      </c>
      <c r="S66" s="6">
        <f t="shared" si="11"/>
        <v>0</v>
      </c>
      <c r="T66" s="6">
        <f t="shared" si="11"/>
        <v>0</v>
      </c>
      <c r="U66" s="72">
        <f t="shared" si="12"/>
        <v>0</v>
      </c>
    </row>
    <row r="67" spans="3:22" ht="12.75" customHeight="1" x14ac:dyDescent="0.2">
      <c r="C67" s="21" t="s">
        <v>15</v>
      </c>
      <c r="D67" s="21" t="s">
        <v>49</v>
      </c>
      <c r="E67" s="101"/>
      <c r="F67" s="103"/>
      <c r="G67" s="102"/>
      <c r="H67" s="104"/>
      <c r="I67" s="103"/>
      <c r="J67" s="101"/>
      <c r="K67" s="101"/>
      <c r="L67" s="101"/>
      <c r="M67" s="101"/>
      <c r="N67" s="101"/>
      <c r="O67" s="103"/>
      <c r="P67" s="22">
        <f>SUM(P64:P66)</f>
        <v>10122740.613898484</v>
      </c>
      <c r="Q67" s="22">
        <f t="shared" ref="Q67:U67" si="13">SUM(Q64:Q66)</f>
        <v>650537.18069324142</v>
      </c>
      <c r="R67" s="22">
        <f t="shared" si="13"/>
        <v>0</v>
      </c>
      <c r="S67" s="22">
        <f t="shared" si="13"/>
        <v>0</v>
      </c>
      <c r="T67" s="22">
        <f t="shared" si="13"/>
        <v>8564375.607950205</v>
      </c>
      <c r="U67" s="22">
        <f t="shared" si="13"/>
        <v>19337653.402541928</v>
      </c>
    </row>
    <row r="68" spans="3:22" ht="12.75" customHeight="1" x14ac:dyDescent="0.2">
      <c r="C68" s="1" t="s">
        <v>11</v>
      </c>
      <c r="D68" s="1" t="s">
        <v>44</v>
      </c>
      <c r="F68" s="2"/>
      <c r="G68" s="68"/>
      <c r="I68" s="2"/>
      <c r="O68" s="2"/>
      <c r="P68" s="6">
        <f t="shared" ref="P68:T70" si="14">SUMIFS(P$10:P$60,$E$10:$E$60,$C68,$D$10:$D$60,$D68)</f>
        <v>0</v>
      </c>
      <c r="Q68" s="6">
        <f t="shared" si="14"/>
        <v>0</v>
      </c>
      <c r="R68" s="6">
        <f t="shared" si="14"/>
        <v>0</v>
      </c>
      <c r="S68" s="6">
        <f t="shared" si="14"/>
        <v>0</v>
      </c>
      <c r="T68" s="6">
        <f t="shared" si="14"/>
        <v>0</v>
      </c>
      <c r="U68" s="72">
        <f t="shared" si="12"/>
        <v>0</v>
      </c>
    </row>
    <row r="69" spans="3:22" ht="12.75" customHeight="1" x14ac:dyDescent="0.2">
      <c r="C69" s="1" t="s">
        <v>13</v>
      </c>
      <c r="D69" s="1" t="s">
        <v>44</v>
      </c>
      <c r="F69" s="2"/>
      <c r="G69" s="68"/>
      <c r="I69" s="2"/>
      <c r="O69" s="2"/>
      <c r="P69" s="6">
        <f t="shared" si="14"/>
        <v>0</v>
      </c>
      <c r="Q69" s="6">
        <f t="shared" si="14"/>
        <v>0</v>
      </c>
      <c r="R69" s="6">
        <f t="shared" si="14"/>
        <v>0</v>
      </c>
      <c r="S69" s="6">
        <f t="shared" si="14"/>
        <v>0</v>
      </c>
      <c r="T69" s="6">
        <f t="shared" si="14"/>
        <v>0</v>
      </c>
      <c r="U69" s="72">
        <f t="shared" si="12"/>
        <v>0</v>
      </c>
    </row>
    <row r="70" spans="3:22" ht="12.75" customHeight="1" x14ac:dyDescent="0.2">
      <c r="C70" s="1" t="s">
        <v>14</v>
      </c>
      <c r="D70" s="1" t="s">
        <v>44</v>
      </c>
      <c r="F70" s="2"/>
      <c r="G70" s="68"/>
      <c r="I70" s="2"/>
      <c r="O70" s="2"/>
      <c r="P70" s="6">
        <f t="shared" si="14"/>
        <v>0</v>
      </c>
      <c r="Q70" s="6">
        <f t="shared" si="14"/>
        <v>0</v>
      </c>
      <c r="R70" s="6">
        <f t="shared" si="14"/>
        <v>0</v>
      </c>
      <c r="S70" s="6">
        <f t="shared" si="14"/>
        <v>0</v>
      </c>
      <c r="T70" s="6">
        <f t="shared" si="14"/>
        <v>0</v>
      </c>
      <c r="U70" s="72">
        <f t="shared" si="12"/>
        <v>0</v>
      </c>
    </row>
    <row r="71" spans="3:22" ht="12.75" customHeight="1" x14ac:dyDescent="0.2">
      <c r="C71" s="21" t="s">
        <v>17</v>
      </c>
      <c r="D71" s="21" t="s">
        <v>44</v>
      </c>
      <c r="E71" s="101"/>
      <c r="F71" s="103"/>
      <c r="G71" s="102"/>
      <c r="H71" s="104"/>
      <c r="I71" s="103"/>
      <c r="J71" s="101"/>
      <c r="K71" s="101"/>
      <c r="L71" s="101"/>
      <c r="M71" s="101"/>
      <c r="N71" s="101"/>
      <c r="O71" s="103"/>
      <c r="P71" s="22">
        <f>SUM(P68:P70)</f>
        <v>0</v>
      </c>
      <c r="Q71" s="22">
        <f t="shared" ref="Q71:U71" si="15">SUM(Q68:Q70)</f>
        <v>0</v>
      </c>
      <c r="R71" s="22">
        <f t="shared" si="15"/>
        <v>0</v>
      </c>
      <c r="S71" s="22">
        <f t="shared" si="15"/>
        <v>0</v>
      </c>
      <c r="T71" s="22">
        <f t="shared" si="15"/>
        <v>0</v>
      </c>
      <c r="U71" s="22">
        <f t="shared" si="15"/>
        <v>0</v>
      </c>
    </row>
    <row r="72" spans="3:22" ht="12.75" customHeight="1" x14ac:dyDescent="0.2">
      <c r="F72" s="2"/>
      <c r="G72" s="68"/>
      <c r="I72" s="2"/>
      <c r="O72" s="2"/>
      <c r="P72" s="6"/>
      <c r="Q72" s="6"/>
      <c r="R72" s="6"/>
      <c r="S72" s="6"/>
      <c r="T72" s="6"/>
      <c r="U72" s="72"/>
    </row>
    <row r="73" spans="3:22" ht="12.75" customHeight="1" x14ac:dyDescent="0.2">
      <c r="C73" s="7" t="str">
        <f>"Total Expenditure ($ "&amp;Assumptions!$B$12&amp;")"</f>
        <v>Total Expenditure ($ June 2024)</v>
      </c>
      <c r="D73" s="7" t="s">
        <v>50</v>
      </c>
      <c r="E73" s="7"/>
      <c r="F73" s="2"/>
      <c r="G73" s="7"/>
      <c r="H73" s="10"/>
      <c r="I73" s="2"/>
      <c r="J73" s="7"/>
      <c r="K73" s="7"/>
      <c r="L73" s="7"/>
      <c r="M73" s="7"/>
      <c r="N73" s="7"/>
      <c r="O73" s="2"/>
      <c r="P73" s="8">
        <f>P67+P71</f>
        <v>10122740.613898484</v>
      </c>
      <c r="Q73" s="8">
        <f t="shared" ref="Q73:T73" si="16">Q67+Q71</f>
        <v>650537.18069324142</v>
      </c>
      <c r="R73" s="8">
        <f t="shared" si="16"/>
        <v>0</v>
      </c>
      <c r="S73" s="8">
        <f t="shared" si="16"/>
        <v>0</v>
      </c>
      <c r="T73" s="8">
        <f t="shared" si="16"/>
        <v>8564375.607950205</v>
      </c>
      <c r="U73" s="73">
        <f t="shared" ref="U73" si="17">SUM(P73:T73)</f>
        <v>19337653.402541928</v>
      </c>
    </row>
    <row r="74" spans="3:22" ht="12.75" customHeight="1" x14ac:dyDescent="0.2">
      <c r="C74" s="45" t="s">
        <v>51</v>
      </c>
      <c r="D74" s="45"/>
      <c r="E74" s="45"/>
      <c r="F74" s="2"/>
      <c r="G74" s="45"/>
      <c r="H74" s="45"/>
      <c r="I74" s="2"/>
      <c r="J74" s="45"/>
      <c r="K74" s="45"/>
      <c r="L74" s="45"/>
      <c r="M74" s="45"/>
      <c r="N74" s="45"/>
      <c r="O74" s="2"/>
      <c r="P74" s="46">
        <f>P73-SUM(P$10:P$60)</f>
        <v>0</v>
      </c>
      <c r="Q74" s="46">
        <f t="shared" ref="Q74:T74" si="18">Q73-SUM(Q$10:Q$60)</f>
        <v>0</v>
      </c>
      <c r="R74" s="46">
        <f t="shared" si="18"/>
        <v>0</v>
      </c>
      <c r="S74" s="46">
        <f t="shared" si="18"/>
        <v>0</v>
      </c>
      <c r="T74" s="46">
        <f t="shared" si="18"/>
        <v>0</v>
      </c>
      <c r="U74" s="46">
        <f>U73-SUM(P$10:T$60)</f>
        <v>0</v>
      </c>
      <c r="V74" s="46">
        <f>SUM(P74:U74)</f>
        <v>0</v>
      </c>
    </row>
    <row r="75" spans="3:22" ht="12.75" customHeight="1" x14ac:dyDescent="0.2">
      <c r="F75" s="2"/>
      <c r="I75" s="2"/>
      <c r="O75" s="2"/>
    </row>
    <row r="76" spans="3:22" ht="12.75" customHeight="1" x14ac:dyDescent="0.2">
      <c r="C76" s="55" t="str">
        <f>"NPV ($ "&amp;Assumptions!$B$12&amp;")"</f>
        <v>NPV ($ June 2024)</v>
      </c>
      <c r="D76" s="56">
        <f>NPV(Real_Discount_rate,P73:T73)</f>
        <v>17598683.585866641</v>
      </c>
      <c r="F76" s="2"/>
      <c r="I76" s="2"/>
      <c r="O76" s="2"/>
    </row>
    <row r="77" spans="3:22" ht="12.75" customHeight="1" x14ac:dyDescent="0.2">
      <c r="F77" s="2"/>
      <c r="I77" s="2"/>
      <c r="O77" s="2"/>
    </row>
    <row r="78" spans="3:22" ht="12.75" customHeight="1" x14ac:dyDescent="0.2">
      <c r="F78" s="2"/>
      <c r="I78" s="2"/>
      <c r="O78" s="2"/>
    </row>
    <row r="79" spans="3:22" ht="12.75" customHeight="1" x14ac:dyDescent="0.2">
      <c r="C79" s="76" t="s">
        <v>52</v>
      </c>
      <c r="F79" s="2"/>
      <c r="I79" s="2"/>
      <c r="O79" s="2"/>
      <c r="P79" s="69" t="s">
        <v>6</v>
      </c>
      <c r="Q79" s="69" t="s">
        <v>7</v>
      </c>
      <c r="R79" s="69" t="s">
        <v>8</v>
      </c>
      <c r="S79" s="69" t="s">
        <v>9</v>
      </c>
      <c r="T79" s="69" t="s">
        <v>10</v>
      </c>
      <c r="U79" s="69" t="s">
        <v>0</v>
      </c>
    </row>
    <row r="80" spans="3:22" ht="12.75" customHeight="1" x14ac:dyDescent="0.2">
      <c r="C80" s="24" t="s">
        <v>11</v>
      </c>
      <c r="D80" s="24" t="s">
        <v>49</v>
      </c>
      <c r="E80" s="24"/>
      <c r="F80" s="2"/>
      <c r="G80" s="66"/>
      <c r="H80" s="67"/>
      <c r="I80" s="2"/>
      <c r="J80" s="24"/>
      <c r="K80" s="24"/>
      <c r="L80" s="24"/>
      <c r="M80" s="24"/>
      <c r="N80" s="24"/>
      <c r="O80" s="2"/>
      <c r="P80" s="25">
        <f t="shared" ref="P80:T82" si="19">P64*business_case_dollars</f>
        <v>11075133.784599172</v>
      </c>
      <c r="Q80" s="25">
        <f t="shared" si="19"/>
        <v>653654.97610417812</v>
      </c>
      <c r="R80" s="25">
        <f t="shared" si="19"/>
        <v>0</v>
      </c>
      <c r="S80" s="25">
        <f t="shared" si="19"/>
        <v>0</v>
      </c>
      <c r="T80" s="25">
        <f t="shared" si="19"/>
        <v>8671754.2875657436</v>
      </c>
      <c r="U80" s="71">
        <f>SUM(P80:T80)</f>
        <v>20400543.048269093</v>
      </c>
    </row>
    <row r="81" spans="3:22" ht="12.75" customHeight="1" x14ac:dyDescent="0.2">
      <c r="C81" s="1" t="s">
        <v>13</v>
      </c>
      <c r="D81" s="1" t="s">
        <v>49</v>
      </c>
      <c r="F81" s="2"/>
      <c r="G81" s="68"/>
      <c r="I81" s="2"/>
      <c r="O81" s="2"/>
      <c r="P81" s="6">
        <f t="shared" si="19"/>
        <v>190592.2610033541</v>
      </c>
      <c r="Q81" s="6">
        <f t="shared" si="19"/>
        <v>70336.079253528907</v>
      </c>
      <c r="R81" s="6">
        <f t="shared" si="19"/>
        <v>0</v>
      </c>
      <c r="S81" s="6">
        <f t="shared" si="19"/>
        <v>0</v>
      </c>
      <c r="T81" s="6">
        <f t="shared" si="19"/>
        <v>859647.63518386823</v>
      </c>
      <c r="U81" s="72">
        <f t="shared" ref="U81:U82" si="20">SUM(P81:T81)</f>
        <v>1120575.9754407513</v>
      </c>
    </row>
    <row r="82" spans="3:22" ht="12.75" customHeight="1" x14ac:dyDescent="0.2">
      <c r="C82" s="1" t="s">
        <v>14</v>
      </c>
      <c r="D82" s="1" t="s">
        <v>49</v>
      </c>
      <c r="F82" s="2"/>
      <c r="G82" s="68"/>
      <c r="I82" s="2"/>
      <c r="O82" s="2"/>
      <c r="P82" s="6">
        <f t="shared" si="19"/>
        <v>0</v>
      </c>
      <c r="Q82" s="6">
        <f t="shared" si="19"/>
        <v>0</v>
      </c>
      <c r="R82" s="6">
        <f t="shared" si="19"/>
        <v>0</v>
      </c>
      <c r="S82" s="6">
        <f t="shared" si="19"/>
        <v>0</v>
      </c>
      <c r="T82" s="6">
        <f t="shared" si="19"/>
        <v>0</v>
      </c>
      <c r="U82" s="72">
        <f t="shared" si="20"/>
        <v>0</v>
      </c>
    </row>
    <row r="83" spans="3:22" ht="12.75" customHeight="1" x14ac:dyDescent="0.2">
      <c r="C83" s="21" t="s">
        <v>15</v>
      </c>
      <c r="D83" s="21" t="s">
        <v>49</v>
      </c>
      <c r="E83" s="101"/>
      <c r="F83" s="103"/>
      <c r="G83" s="102"/>
      <c r="H83" s="104"/>
      <c r="I83" s="103"/>
      <c r="J83" s="101"/>
      <c r="K83" s="101"/>
      <c r="L83" s="101"/>
      <c r="M83" s="101"/>
      <c r="N83" s="101"/>
      <c r="O83" s="103"/>
      <c r="P83" s="22">
        <f>SUM(P80:P82)</f>
        <v>11265726.045602527</v>
      </c>
      <c r="Q83" s="22">
        <f t="shared" ref="Q83:U83" si="21">SUM(Q80:Q82)</f>
        <v>723991.05535770697</v>
      </c>
      <c r="R83" s="22">
        <f t="shared" si="21"/>
        <v>0</v>
      </c>
      <c r="S83" s="22">
        <f t="shared" si="21"/>
        <v>0</v>
      </c>
      <c r="T83" s="22">
        <f t="shared" si="21"/>
        <v>9531401.9227496125</v>
      </c>
      <c r="U83" s="22">
        <f t="shared" si="21"/>
        <v>21521119.023709845</v>
      </c>
    </row>
    <row r="84" spans="3:22" ht="12.75" customHeight="1" x14ac:dyDescent="0.2">
      <c r="C84" s="1" t="s">
        <v>11</v>
      </c>
      <c r="D84" s="1" t="s">
        <v>44</v>
      </c>
      <c r="F84" s="2"/>
      <c r="G84" s="68"/>
      <c r="I84" s="2"/>
      <c r="O84" s="2"/>
      <c r="P84" s="25">
        <f t="shared" ref="P84:T86" si="22">P68*business_case_dollars</f>
        <v>0</v>
      </c>
      <c r="Q84" s="25">
        <f t="shared" si="22"/>
        <v>0</v>
      </c>
      <c r="R84" s="25">
        <f t="shared" si="22"/>
        <v>0</v>
      </c>
      <c r="S84" s="25">
        <f t="shared" si="22"/>
        <v>0</v>
      </c>
      <c r="T84" s="25">
        <f t="shared" si="22"/>
        <v>0</v>
      </c>
      <c r="U84" s="71">
        <f>SUM(P84:T84)</f>
        <v>0</v>
      </c>
    </row>
    <row r="85" spans="3:22" ht="12.75" customHeight="1" x14ac:dyDescent="0.2">
      <c r="C85" s="1" t="s">
        <v>13</v>
      </c>
      <c r="D85" s="1" t="s">
        <v>44</v>
      </c>
      <c r="F85" s="2"/>
      <c r="G85" s="68"/>
      <c r="I85" s="2"/>
      <c r="O85" s="2"/>
      <c r="P85" s="6">
        <f t="shared" si="22"/>
        <v>0</v>
      </c>
      <c r="Q85" s="6">
        <f t="shared" si="22"/>
        <v>0</v>
      </c>
      <c r="R85" s="6">
        <f t="shared" si="22"/>
        <v>0</v>
      </c>
      <c r="S85" s="6">
        <f t="shared" si="22"/>
        <v>0</v>
      </c>
      <c r="T85" s="6">
        <f t="shared" si="22"/>
        <v>0</v>
      </c>
      <c r="U85" s="72">
        <f t="shared" ref="U85:U86" si="23">SUM(P85:T85)</f>
        <v>0</v>
      </c>
    </row>
    <row r="86" spans="3:22" ht="12.75" customHeight="1" x14ac:dyDescent="0.2">
      <c r="C86" s="1" t="s">
        <v>14</v>
      </c>
      <c r="D86" s="1" t="s">
        <v>44</v>
      </c>
      <c r="F86" s="2"/>
      <c r="G86" s="68"/>
      <c r="I86" s="2"/>
      <c r="O86" s="2"/>
      <c r="P86" s="6">
        <f t="shared" si="22"/>
        <v>0</v>
      </c>
      <c r="Q86" s="6">
        <f t="shared" si="22"/>
        <v>0</v>
      </c>
      <c r="R86" s="6">
        <f t="shared" si="22"/>
        <v>0</v>
      </c>
      <c r="S86" s="6">
        <f t="shared" si="22"/>
        <v>0</v>
      </c>
      <c r="T86" s="6">
        <f t="shared" si="22"/>
        <v>0</v>
      </c>
      <c r="U86" s="72">
        <f t="shared" si="23"/>
        <v>0</v>
      </c>
    </row>
    <row r="87" spans="3:22" ht="12.75" customHeight="1" x14ac:dyDescent="0.2">
      <c r="C87" s="21" t="s">
        <v>17</v>
      </c>
      <c r="D87" s="21" t="s">
        <v>44</v>
      </c>
      <c r="E87" s="101"/>
      <c r="F87" s="103"/>
      <c r="G87" s="102"/>
      <c r="H87" s="104"/>
      <c r="I87" s="103"/>
      <c r="J87" s="101"/>
      <c r="K87" s="101"/>
      <c r="L87" s="101"/>
      <c r="M87" s="101"/>
      <c r="N87" s="101"/>
      <c r="O87" s="103"/>
      <c r="P87" s="22">
        <f>SUM(P84:P86)</f>
        <v>0</v>
      </c>
      <c r="Q87" s="22">
        <f t="shared" ref="Q87:U87" si="24">SUM(Q84:Q86)</f>
        <v>0</v>
      </c>
      <c r="R87" s="22">
        <f t="shared" si="24"/>
        <v>0</v>
      </c>
      <c r="S87" s="22">
        <f t="shared" si="24"/>
        <v>0</v>
      </c>
      <c r="T87" s="22">
        <f t="shared" si="24"/>
        <v>0</v>
      </c>
      <c r="U87" s="22">
        <f t="shared" si="24"/>
        <v>0</v>
      </c>
    </row>
    <row r="88" spans="3:22" ht="12.75" customHeight="1" x14ac:dyDescent="0.2">
      <c r="F88" s="2"/>
      <c r="G88" s="68"/>
      <c r="I88" s="2"/>
      <c r="O88" s="2"/>
      <c r="P88" s="6"/>
      <c r="Q88" s="6"/>
      <c r="R88" s="6"/>
      <c r="S88" s="6"/>
      <c r="T88" s="6"/>
      <c r="U88" s="72"/>
    </row>
    <row r="89" spans="3:22" x14ac:dyDescent="0.2">
      <c r="C89" s="7" t="str">
        <f>"Total Expenditure ($ "&amp;Assumptions!$C$35&amp;")"</f>
        <v>Total Expenditure ($ June 2026)</v>
      </c>
      <c r="D89" s="7" t="s">
        <v>50</v>
      </c>
      <c r="E89" s="7"/>
      <c r="F89" s="2"/>
      <c r="G89" s="7"/>
      <c r="H89" s="10"/>
      <c r="I89" s="2"/>
      <c r="J89" s="7"/>
      <c r="K89" s="7"/>
      <c r="L89" s="7"/>
      <c r="M89" s="7"/>
      <c r="N89" s="7"/>
      <c r="O89" s="2"/>
      <c r="P89" s="8">
        <f>P83+P87</f>
        <v>11265726.045602527</v>
      </c>
      <c r="Q89" s="8">
        <f t="shared" ref="Q89:T89" si="25">Q83+Q87</f>
        <v>723991.05535770697</v>
      </c>
      <c r="R89" s="8">
        <f t="shared" si="25"/>
        <v>0</v>
      </c>
      <c r="S89" s="8">
        <f t="shared" si="25"/>
        <v>0</v>
      </c>
      <c r="T89" s="8">
        <f t="shared" si="25"/>
        <v>9531401.9227496125</v>
      </c>
      <c r="U89" s="73">
        <f t="shared" ref="U89" si="26">SUM(P89:T89)</f>
        <v>21521119.023709849</v>
      </c>
    </row>
    <row r="90" spans="3:22" x14ac:dyDescent="0.2">
      <c r="F90" s="2"/>
      <c r="I90" s="2"/>
      <c r="O90" s="2"/>
      <c r="P90" s="46">
        <f>SUM(P10:P60)*business_case_dollars-P89</f>
        <v>0</v>
      </c>
      <c r="Q90" s="46">
        <f>SUM(Q10:Q60)*business_case_dollars-Q89</f>
        <v>0</v>
      </c>
      <c r="R90" s="46">
        <f>SUM(R10:R60)*business_case_dollars-R89</f>
        <v>0</v>
      </c>
      <c r="S90" s="46">
        <f>SUM(S10:S60)*business_case_dollars-S89</f>
        <v>0</v>
      </c>
      <c r="T90" s="46">
        <f>SUM(T10:T60)*business_case_dollars-T89</f>
        <v>0</v>
      </c>
      <c r="U90" s="46">
        <f>SUM(P10:T60)*business_case_dollars-U89</f>
        <v>0</v>
      </c>
      <c r="V90" s="46">
        <f>SUM(P90:U90)</f>
        <v>0</v>
      </c>
    </row>
    <row r="91" spans="3:22" x14ac:dyDescent="0.2">
      <c r="C91" s="55" t="str">
        <f>"NPV ($ "&amp;Assumptions!$C$35&amp;")"</f>
        <v>NPV ($ June 2026)</v>
      </c>
      <c r="D91" s="56">
        <f>NPV(Real_Discount_rate,P89:T89)</f>
        <v>19585797.52299517</v>
      </c>
      <c r="F91" s="2"/>
      <c r="I91" s="2"/>
      <c r="O91" s="2"/>
      <c r="P91" s="52"/>
      <c r="Q91" s="52"/>
      <c r="R91" s="52"/>
      <c r="S91" s="52"/>
      <c r="T91" s="52"/>
    </row>
  </sheetData>
  <conditionalFormatting sqref="G10:G60">
    <cfRule type="expression" dxfId="13" priority="6">
      <formula>$E10="Contracts"</formula>
    </cfRule>
    <cfRule type="expression" dxfId="12" priority="7">
      <formula>$E10="Materials"</formula>
    </cfRule>
    <cfRule type="expression" dxfId="11" priority="8">
      <formula>$E10="Labour"</formula>
    </cfRule>
  </conditionalFormatting>
  <conditionalFormatting sqref="P74:U74">
    <cfRule type="expression" dxfId="10" priority="1">
      <formula>ABS(P74)&gt;0.001</formula>
    </cfRule>
  </conditionalFormatting>
  <conditionalFormatting sqref="P90:U90">
    <cfRule type="expression" dxfId="9" priority="2">
      <formula>ABS(P90)&gt;0.001</formula>
    </cfRule>
  </conditionalFormatting>
  <conditionalFormatting sqref="V74">
    <cfRule type="expression" dxfId="8" priority="12">
      <formula>ABS(V74)&gt;0.001</formula>
    </cfRule>
  </conditionalFormatting>
  <conditionalFormatting sqref="V90">
    <cfRule type="expression" dxfId="7" priority="3">
      <formula>ABS(V90)&gt;0.001</formula>
    </cfRule>
  </conditionalFormatting>
  <dataValidations count="2">
    <dataValidation type="list" allowBlank="1" showInputMessage="1" showErrorMessage="1" sqref="E10:E60" xr:uid="{B30C51E7-6CCB-4165-857D-6C68F6D5B597}">
      <formula1>"Labour, Materials, Contracts"</formula1>
    </dataValidation>
    <dataValidation type="list" allowBlank="1" showInputMessage="1" showErrorMessage="1" sqref="D10:D60" xr:uid="{DF0503E8-5C90-44E3-A680-C7F86DE1A1A6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7:T67 P83:U8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6690-2D4B-45C0-8F1C-3EA4B01F9CA8}">
  <dimension ref="A1:Y91"/>
  <sheetViews>
    <sheetView showGridLines="0" zoomScale="80" zoomScaleNormal="80" workbookViewId="0">
      <pane ySplit="9" topLeftCell="A10" activePane="bottomLeft" state="frozen"/>
      <selection activeCell="C14" sqref="C14"/>
      <selection pane="bottomLeft" activeCell="C14" sqref="C14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Market systems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 &amp; PAL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SUM(V7:V61)=0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38</v>
      </c>
      <c r="D7" s="65" t="s">
        <v>39</v>
      </c>
      <c r="E7" s="65" t="s">
        <v>40</v>
      </c>
      <c r="F7" s="16"/>
      <c r="G7" s="109" t="s">
        <v>11</v>
      </c>
      <c r="H7" s="19" t="s">
        <v>41</v>
      </c>
      <c r="J7" s="19" t="s">
        <v>42</v>
      </c>
      <c r="K7" s="20"/>
      <c r="L7" s="20"/>
      <c r="M7" s="20"/>
      <c r="N7" s="20"/>
      <c r="P7" s="19" t="s">
        <v>43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 t="s">
        <v>44</v>
      </c>
      <c r="E8" s="99"/>
      <c r="F8" s="16"/>
      <c r="G8" s="110" t="s">
        <v>45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F9" s="16"/>
    </row>
    <row r="10" spans="1:25" ht="12.75" customHeight="1" x14ac:dyDescent="0.2">
      <c r="A10" s="4"/>
      <c r="C10" s="81" t="s">
        <v>53</v>
      </c>
      <c r="D10" s="82" t="s">
        <v>49</v>
      </c>
      <c r="E10" s="80" t="s">
        <v>13</v>
      </c>
      <c r="F10" s="2"/>
      <c r="G10" s="64">
        <f>IF($E10="Labour",Assumptions!$B$14,)</f>
        <v>0</v>
      </c>
      <c r="H10" s="9" t="str">
        <f>IF($E10="Labour","Hours","$")</f>
        <v>$</v>
      </c>
      <c r="I10" s="2"/>
      <c r="J10" s="83"/>
      <c r="K10" s="83">
        <v>63200</v>
      </c>
      <c r="L10" s="83"/>
      <c r="M10" s="83"/>
      <c r="N10" s="83"/>
      <c r="O10" s="2"/>
      <c r="P10" s="5">
        <f t="shared" ref="P10:P41" si="0">IF($E10="Labour",$G10*J10,J10)</f>
        <v>0</v>
      </c>
      <c r="Q10" s="5">
        <f t="shared" ref="Q10:Q41" si="1">IF($E10="Labour",$G10*K10,K10)</f>
        <v>63200</v>
      </c>
      <c r="R10" s="5">
        <f t="shared" ref="R10:R41" si="2">IF($E10="Labour",$G10*L10,L10)</f>
        <v>0</v>
      </c>
      <c r="S10" s="5">
        <f t="shared" ref="S10:S41" si="3">IF($E10="Labour",$G10*M10,M10)</f>
        <v>0</v>
      </c>
      <c r="T10" s="5">
        <f t="shared" ref="T10:T41" si="4">IF($E10="Labour",$G10*N10,N10)</f>
        <v>0</v>
      </c>
    </row>
    <row r="11" spans="1:25" ht="12.75" customHeight="1" x14ac:dyDescent="0.2">
      <c r="A11" s="4"/>
      <c r="C11" s="81" t="s">
        <v>54</v>
      </c>
      <c r="D11" s="82" t="s">
        <v>49</v>
      </c>
      <c r="E11" s="80" t="s">
        <v>11</v>
      </c>
      <c r="F11" s="2"/>
      <c r="G11" s="64">
        <f>IF($E11="Labour",Assumptions!$B$14,)</f>
        <v>145.77740895836223</v>
      </c>
      <c r="H11" s="9" t="str">
        <f t="shared" ref="H11:H60" si="5">IF($E11="Labour","Hours","$")</f>
        <v>Hours</v>
      </c>
      <c r="I11" s="2"/>
      <c r="J11" s="83">
        <v>190</v>
      </c>
      <c r="K11" s="83">
        <v>379</v>
      </c>
      <c r="L11" s="83">
        <v>190</v>
      </c>
      <c r="M11" s="83">
        <v>190</v>
      </c>
      <c r="N11" s="83">
        <v>190</v>
      </c>
      <c r="O11" s="2"/>
      <c r="P11" s="5">
        <f t="shared" si="0"/>
        <v>27697.707702088825</v>
      </c>
      <c r="Q11" s="5">
        <f t="shared" si="1"/>
        <v>55249.637995219287</v>
      </c>
      <c r="R11" s="5">
        <f t="shared" si="2"/>
        <v>27697.707702088825</v>
      </c>
      <c r="S11" s="5">
        <f t="shared" si="3"/>
        <v>27697.707702088825</v>
      </c>
      <c r="T11" s="5">
        <f t="shared" si="4"/>
        <v>27697.707702088825</v>
      </c>
    </row>
    <row r="12" spans="1:25" ht="12.75" customHeight="1" x14ac:dyDescent="0.2">
      <c r="A12" s="4"/>
      <c r="C12" s="81" t="s">
        <v>55</v>
      </c>
      <c r="D12" s="82" t="s">
        <v>49</v>
      </c>
      <c r="E12" s="80" t="s">
        <v>11</v>
      </c>
      <c r="F12" s="2"/>
      <c r="G12" s="64">
        <f>IF($E12="Labour",Assumptions!$B$14,)</f>
        <v>145.77740895836223</v>
      </c>
      <c r="H12" s="9" t="str">
        <f t="shared" si="5"/>
        <v>Hours</v>
      </c>
      <c r="I12" s="2"/>
      <c r="J12" s="83">
        <v>190</v>
      </c>
      <c r="K12" s="83">
        <v>379</v>
      </c>
      <c r="L12" s="83">
        <v>190</v>
      </c>
      <c r="M12" s="83">
        <v>190</v>
      </c>
      <c r="N12" s="83">
        <v>190</v>
      </c>
      <c r="O12" s="2"/>
      <c r="P12" s="5">
        <f t="shared" si="0"/>
        <v>27697.707702088825</v>
      </c>
      <c r="Q12" s="5">
        <f t="shared" si="1"/>
        <v>55249.637995219287</v>
      </c>
      <c r="R12" s="5">
        <f t="shared" si="2"/>
        <v>27697.707702088825</v>
      </c>
      <c r="S12" s="5">
        <f t="shared" si="3"/>
        <v>27697.707702088825</v>
      </c>
      <c r="T12" s="5">
        <f t="shared" si="4"/>
        <v>27697.707702088825</v>
      </c>
    </row>
    <row r="13" spans="1:25" ht="12.75" customHeight="1" x14ac:dyDescent="0.25">
      <c r="A13" s="4"/>
      <c r="C13" s="81" t="s">
        <v>56</v>
      </c>
      <c r="D13" s="82" t="s">
        <v>49</v>
      </c>
      <c r="E13" s="80" t="s">
        <v>11</v>
      </c>
      <c r="F13" s="2"/>
      <c r="G13" s="64">
        <f>IF($E13="Labour",Assumptions!$B$14,)</f>
        <v>145.77740895836223</v>
      </c>
      <c r="H13" s="9" t="str">
        <f t="shared" si="5"/>
        <v>Hours</v>
      </c>
      <c r="I13" s="2"/>
      <c r="J13" s="83">
        <v>758</v>
      </c>
      <c r="K13" s="83">
        <v>1517</v>
      </c>
      <c r="L13" s="83">
        <v>758</v>
      </c>
      <c r="M13" s="83">
        <v>758</v>
      </c>
      <c r="N13" s="83">
        <v>758</v>
      </c>
      <c r="O13" s="2"/>
      <c r="P13" s="5">
        <f t="shared" si="0"/>
        <v>110499.27599043857</v>
      </c>
      <c r="Q13" s="5">
        <f t="shared" si="1"/>
        <v>221144.3293898355</v>
      </c>
      <c r="R13" s="5">
        <f t="shared" si="2"/>
        <v>110499.27599043857</v>
      </c>
      <c r="S13" s="5">
        <f t="shared" si="3"/>
        <v>110499.27599043857</v>
      </c>
      <c r="T13" s="5">
        <f t="shared" si="4"/>
        <v>110499.27599043857</v>
      </c>
      <c r="Y13"/>
    </row>
    <row r="14" spans="1:25" ht="12.75" customHeight="1" x14ac:dyDescent="0.25">
      <c r="A14" s="4"/>
      <c r="C14" s="81" t="s">
        <v>57</v>
      </c>
      <c r="D14" s="82" t="s">
        <v>49</v>
      </c>
      <c r="E14" s="80" t="s">
        <v>11</v>
      </c>
      <c r="F14" s="2"/>
      <c r="G14" s="64">
        <f>IF($E14="Labour",Assumptions!$B$14,)</f>
        <v>145.77740895836223</v>
      </c>
      <c r="H14" s="9" t="str">
        <f t="shared" si="5"/>
        <v>Hours</v>
      </c>
      <c r="I14" s="2"/>
      <c r="J14" s="83">
        <v>379</v>
      </c>
      <c r="K14" s="83">
        <v>758</v>
      </c>
      <c r="L14" s="83">
        <v>379</v>
      </c>
      <c r="M14" s="83">
        <v>379</v>
      </c>
      <c r="N14" s="83">
        <v>379</v>
      </c>
      <c r="O14" s="2"/>
      <c r="P14" s="5">
        <f t="shared" si="0"/>
        <v>55249.637995219287</v>
      </c>
      <c r="Q14" s="5">
        <f t="shared" si="1"/>
        <v>110499.27599043857</v>
      </c>
      <c r="R14" s="5">
        <f t="shared" si="2"/>
        <v>55249.637995219287</v>
      </c>
      <c r="S14" s="5">
        <f t="shared" si="3"/>
        <v>55249.637995219287</v>
      </c>
      <c r="T14" s="5">
        <f t="shared" si="4"/>
        <v>55249.637995219287</v>
      </c>
      <c r="Y14"/>
    </row>
    <row r="15" spans="1:25" ht="12.75" customHeight="1" x14ac:dyDescent="0.25">
      <c r="A15" s="4"/>
      <c r="C15" s="81" t="s">
        <v>58</v>
      </c>
      <c r="D15" s="82" t="s">
        <v>49</v>
      </c>
      <c r="E15" s="80" t="s">
        <v>11</v>
      </c>
      <c r="F15" s="2"/>
      <c r="G15" s="64">
        <f>IF($E15="Labour",Assumptions!$B$14,)</f>
        <v>145.77740895836223</v>
      </c>
      <c r="H15" s="9" t="str">
        <f t="shared" si="5"/>
        <v>Hours</v>
      </c>
      <c r="I15" s="2"/>
      <c r="J15" s="83">
        <v>95</v>
      </c>
      <c r="K15" s="83">
        <v>190</v>
      </c>
      <c r="L15" s="83">
        <v>95</v>
      </c>
      <c r="M15" s="83">
        <v>95</v>
      </c>
      <c r="N15" s="83">
        <v>95</v>
      </c>
      <c r="O15" s="2"/>
      <c r="P15" s="5">
        <f t="shared" si="0"/>
        <v>13848.853851044412</v>
      </c>
      <c r="Q15" s="5">
        <f t="shared" si="1"/>
        <v>27697.707702088825</v>
      </c>
      <c r="R15" s="5">
        <f t="shared" si="2"/>
        <v>13848.853851044412</v>
      </c>
      <c r="S15" s="5">
        <f t="shared" si="3"/>
        <v>13848.853851044412</v>
      </c>
      <c r="T15" s="5">
        <f t="shared" si="4"/>
        <v>13848.853851044412</v>
      </c>
      <c r="Y15"/>
    </row>
    <row r="16" spans="1:25" ht="12.75" customHeight="1" x14ac:dyDescent="0.25">
      <c r="A16" s="4"/>
      <c r="C16" s="81" t="s">
        <v>59</v>
      </c>
      <c r="D16" s="82" t="s">
        <v>49</v>
      </c>
      <c r="E16" s="80" t="s">
        <v>13</v>
      </c>
      <c r="F16" s="2"/>
      <c r="G16" s="64">
        <f>IF($E16="Labour",Assumptions!$B$14,)</f>
        <v>0</v>
      </c>
      <c r="H16" s="9" t="str">
        <f t="shared" si="5"/>
        <v>$</v>
      </c>
      <c r="I16" s="2"/>
      <c r="J16" s="83">
        <v>100000</v>
      </c>
      <c r="K16" s="83"/>
      <c r="L16" s="83"/>
      <c r="M16" s="83"/>
      <c r="N16" s="83">
        <v>750000</v>
      </c>
      <c r="O16" s="2"/>
      <c r="P16" s="5">
        <f t="shared" si="0"/>
        <v>100000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750000</v>
      </c>
      <c r="Y16"/>
    </row>
    <row r="17" spans="1:25" ht="12.75" customHeight="1" x14ac:dyDescent="0.25">
      <c r="A17" s="4"/>
      <c r="C17" s="81" t="s">
        <v>60</v>
      </c>
      <c r="D17" s="82" t="s">
        <v>49</v>
      </c>
      <c r="E17" s="80" t="s">
        <v>11</v>
      </c>
      <c r="F17" s="2"/>
      <c r="G17" s="64">
        <f>IF($E17="Labour",Assumptions!$B$14,)</f>
        <v>145.77740895836223</v>
      </c>
      <c r="H17" s="9" t="str">
        <f t="shared" si="5"/>
        <v>Hours</v>
      </c>
      <c r="I17" s="2"/>
      <c r="J17" s="83">
        <v>2000</v>
      </c>
      <c r="K17" s="83"/>
      <c r="L17" s="83">
        <v>1500</v>
      </c>
      <c r="M17" s="83"/>
      <c r="N17" s="83">
        <v>2000</v>
      </c>
      <c r="O17" s="2"/>
      <c r="P17" s="5">
        <f t="shared" si="0"/>
        <v>291554.81791672448</v>
      </c>
      <c r="Q17" s="5">
        <f t="shared" si="1"/>
        <v>0</v>
      </c>
      <c r="R17" s="5">
        <f t="shared" si="2"/>
        <v>218666.11343754333</v>
      </c>
      <c r="S17" s="5">
        <f t="shared" si="3"/>
        <v>0</v>
      </c>
      <c r="T17" s="5">
        <f t="shared" si="4"/>
        <v>291554.81791672448</v>
      </c>
      <c r="Y17"/>
    </row>
    <row r="18" spans="1:25" ht="12.75" customHeight="1" x14ac:dyDescent="0.25">
      <c r="A18" s="4"/>
      <c r="C18" s="81" t="s">
        <v>61</v>
      </c>
      <c r="D18" s="82" t="s">
        <v>49</v>
      </c>
      <c r="E18" s="80" t="s">
        <v>11</v>
      </c>
      <c r="F18" s="2"/>
      <c r="G18" s="64">
        <f>IF($E18="Labour",Assumptions!$B$14,)</f>
        <v>145.77740895836223</v>
      </c>
      <c r="H18" s="9" t="str">
        <f t="shared" si="5"/>
        <v>Hours</v>
      </c>
      <c r="I18" s="2"/>
      <c r="J18" s="83">
        <v>2000</v>
      </c>
      <c r="K18" s="83"/>
      <c r="L18" s="83">
        <v>1000</v>
      </c>
      <c r="M18" s="83"/>
      <c r="N18" s="83">
        <v>2000</v>
      </c>
      <c r="O18" s="2"/>
      <c r="P18" s="5">
        <f t="shared" si="0"/>
        <v>291554.81791672448</v>
      </c>
      <c r="Q18" s="5">
        <f t="shared" si="1"/>
        <v>0</v>
      </c>
      <c r="R18" s="5">
        <f t="shared" si="2"/>
        <v>145777.40895836224</v>
      </c>
      <c r="S18" s="5">
        <f t="shared" si="3"/>
        <v>0</v>
      </c>
      <c r="T18" s="5">
        <f t="shared" si="4"/>
        <v>291554.81791672448</v>
      </c>
      <c r="Y18"/>
    </row>
    <row r="19" spans="1:25" ht="12.75" customHeight="1" x14ac:dyDescent="0.25">
      <c r="A19" s="4"/>
      <c r="C19" s="81" t="s">
        <v>62</v>
      </c>
      <c r="D19" s="82" t="s">
        <v>49</v>
      </c>
      <c r="E19" s="80" t="s">
        <v>11</v>
      </c>
      <c r="F19" s="2"/>
      <c r="G19" s="64">
        <f>IF($E19="Labour",Assumptions!$B$14,)</f>
        <v>145.77740895836223</v>
      </c>
      <c r="H19" s="9" t="str">
        <f t="shared" si="5"/>
        <v>Hours</v>
      </c>
      <c r="I19" s="2"/>
      <c r="J19" s="83">
        <v>8000</v>
      </c>
      <c r="K19" s="83"/>
      <c r="L19" s="83">
        <v>3000</v>
      </c>
      <c r="M19" s="83"/>
      <c r="N19" s="83">
        <v>6000</v>
      </c>
      <c r="O19" s="2"/>
      <c r="P19" s="5">
        <f t="shared" si="0"/>
        <v>1166219.2716668979</v>
      </c>
      <c r="Q19" s="5">
        <f t="shared" si="1"/>
        <v>0</v>
      </c>
      <c r="R19" s="5">
        <f t="shared" si="2"/>
        <v>437332.22687508666</v>
      </c>
      <c r="S19" s="5">
        <f t="shared" si="3"/>
        <v>0</v>
      </c>
      <c r="T19" s="5">
        <f t="shared" si="4"/>
        <v>874664.45375017333</v>
      </c>
      <c r="Y19"/>
    </row>
    <row r="20" spans="1:25" ht="12.75" customHeight="1" x14ac:dyDescent="0.25">
      <c r="A20" s="4"/>
      <c r="C20" s="81" t="s">
        <v>63</v>
      </c>
      <c r="D20" s="82" t="s">
        <v>49</v>
      </c>
      <c r="E20" s="80" t="s">
        <v>11</v>
      </c>
      <c r="F20" s="2"/>
      <c r="G20" s="64">
        <f>IF($E20="Labour",Assumptions!$B$14,)</f>
        <v>145.77740895836223</v>
      </c>
      <c r="H20" s="9" t="str">
        <f t="shared" si="5"/>
        <v>Hours</v>
      </c>
      <c r="I20" s="2"/>
      <c r="J20" s="83">
        <v>4000</v>
      </c>
      <c r="K20" s="83"/>
      <c r="L20" s="83">
        <v>2000</v>
      </c>
      <c r="M20" s="83"/>
      <c r="N20" s="83">
        <v>4000</v>
      </c>
      <c r="O20" s="2"/>
      <c r="P20" s="5">
        <f t="shared" si="0"/>
        <v>583109.63583344896</v>
      </c>
      <c r="Q20" s="5">
        <f t="shared" si="1"/>
        <v>0</v>
      </c>
      <c r="R20" s="5">
        <f t="shared" si="2"/>
        <v>291554.81791672448</v>
      </c>
      <c r="S20" s="5">
        <f t="shared" si="3"/>
        <v>0</v>
      </c>
      <c r="T20" s="5">
        <f t="shared" si="4"/>
        <v>583109.63583344896</v>
      </c>
      <c r="Y20"/>
    </row>
    <row r="21" spans="1:25" ht="12.75" customHeight="1" x14ac:dyDescent="0.25">
      <c r="A21" s="4"/>
      <c r="C21" s="81" t="s">
        <v>64</v>
      </c>
      <c r="D21" s="82" t="s">
        <v>49</v>
      </c>
      <c r="E21" s="80" t="s">
        <v>11</v>
      </c>
      <c r="F21" s="2"/>
      <c r="G21" s="64">
        <f>IF($E21="Labour",Assumptions!$B$14,)</f>
        <v>145.77740895836223</v>
      </c>
      <c r="H21" s="9" t="str">
        <f t="shared" si="5"/>
        <v>Hours</v>
      </c>
      <c r="I21" s="2"/>
      <c r="J21" s="83">
        <v>1000</v>
      </c>
      <c r="K21" s="83"/>
      <c r="L21" s="83">
        <v>750</v>
      </c>
      <c r="M21" s="83"/>
      <c r="N21" s="83">
        <v>1000</v>
      </c>
      <c r="O21" s="2"/>
      <c r="P21" s="5">
        <f t="shared" si="0"/>
        <v>145777.40895836224</v>
      </c>
      <c r="Q21" s="5">
        <f t="shared" si="1"/>
        <v>0</v>
      </c>
      <c r="R21" s="5">
        <f t="shared" si="2"/>
        <v>109333.05671877167</v>
      </c>
      <c r="S21" s="5">
        <f t="shared" si="3"/>
        <v>0</v>
      </c>
      <c r="T21" s="5">
        <f t="shared" si="4"/>
        <v>145777.40895836224</v>
      </c>
      <c r="Y21"/>
    </row>
    <row r="22" spans="1:25" ht="12.75" customHeight="1" x14ac:dyDescent="0.25">
      <c r="A22" s="4"/>
      <c r="C22" s="81" t="s">
        <v>65</v>
      </c>
      <c r="D22" s="82" t="s">
        <v>49</v>
      </c>
      <c r="E22" s="80" t="s">
        <v>11</v>
      </c>
      <c r="F22" s="2"/>
      <c r="G22" s="64">
        <f>IF($E22="Labour",Assumptions!$B$14,)</f>
        <v>145.77740895836223</v>
      </c>
      <c r="H22" s="9" t="str">
        <f t="shared" si="5"/>
        <v>Hours</v>
      </c>
      <c r="I22" s="2"/>
      <c r="J22" s="83">
        <v>1560.7356559958173</v>
      </c>
      <c r="K22" s="83">
        <v>0</v>
      </c>
      <c r="L22" s="83">
        <v>3121.4713119916346</v>
      </c>
      <c r="M22" s="83">
        <v>0</v>
      </c>
      <c r="N22" s="83">
        <v>3121.4713119916346</v>
      </c>
      <c r="O22" s="2"/>
      <c r="P22" s="5">
        <f t="shared" si="0"/>
        <v>227520</v>
      </c>
      <c r="Q22" s="5">
        <f t="shared" si="1"/>
        <v>0</v>
      </c>
      <c r="R22" s="5">
        <f t="shared" si="2"/>
        <v>455040</v>
      </c>
      <c r="S22" s="5">
        <f t="shared" si="3"/>
        <v>0</v>
      </c>
      <c r="T22" s="5">
        <f t="shared" si="4"/>
        <v>455040</v>
      </c>
      <c r="Y22"/>
    </row>
    <row r="23" spans="1:25" ht="12.75" customHeight="1" x14ac:dyDescent="0.25">
      <c r="A23" s="4"/>
      <c r="C23" s="81" t="s">
        <v>66</v>
      </c>
      <c r="D23" s="82" t="s">
        <v>49</v>
      </c>
      <c r="E23" s="80" t="s">
        <v>11</v>
      </c>
      <c r="F23" s="2"/>
      <c r="G23" s="64">
        <f>IF($E23="Labour",Assumptions!$B$14,)</f>
        <v>145.77740895836223</v>
      </c>
      <c r="H23" s="9" t="str">
        <f t="shared" si="5"/>
        <v>Hours</v>
      </c>
      <c r="I23" s="2"/>
      <c r="J23" s="83">
        <v>269.34607088048739</v>
      </c>
      <c r="K23" s="83">
        <v>0</v>
      </c>
      <c r="L23" s="83">
        <v>538.69214176097478</v>
      </c>
      <c r="M23" s="83">
        <v>0</v>
      </c>
      <c r="N23" s="83">
        <v>538.69214176097478</v>
      </c>
      <c r="O23" s="2"/>
      <c r="P23" s="5">
        <f t="shared" si="0"/>
        <v>39264.572326072834</v>
      </c>
      <c r="Q23" s="5">
        <f t="shared" si="1"/>
        <v>0</v>
      </c>
      <c r="R23" s="5">
        <f t="shared" si="2"/>
        <v>78529.144652145667</v>
      </c>
      <c r="S23" s="5">
        <f t="shared" si="3"/>
        <v>0</v>
      </c>
      <c r="T23" s="5">
        <f t="shared" si="4"/>
        <v>78529.144652145667</v>
      </c>
      <c r="Y23"/>
    </row>
    <row r="24" spans="1:25" ht="12.75" customHeight="1" x14ac:dyDescent="0.25">
      <c r="A24" s="4"/>
      <c r="C24" s="81" t="s">
        <v>67</v>
      </c>
      <c r="D24" s="82" t="s">
        <v>49</v>
      </c>
      <c r="E24" s="80" t="s">
        <v>11</v>
      </c>
      <c r="F24" s="2"/>
      <c r="G24" s="64">
        <f>IF($E24="Labour",Assumptions!$B$14,)</f>
        <v>145.77740895836223</v>
      </c>
      <c r="H24" s="9" t="str">
        <f t="shared" si="5"/>
        <v>Hours</v>
      </c>
      <c r="I24" s="2"/>
      <c r="J24" s="83">
        <v>639.47624028550172</v>
      </c>
      <c r="K24" s="83">
        <v>0</v>
      </c>
      <c r="L24" s="83">
        <v>1278.9524805710034</v>
      </c>
      <c r="M24" s="83">
        <v>0</v>
      </c>
      <c r="N24" s="83">
        <v>1278.9524805710034</v>
      </c>
      <c r="O24" s="2"/>
      <c r="P24" s="5">
        <f t="shared" si="0"/>
        <v>93221.189399255498</v>
      </c>
      <c r="Q24" s="5">
        <f t="shared" si="1"/>
        <v>0</v>
      </c>
      <c r="R24" s="5">
        <f t="shared" si="2"/>
        <v>186442.378798511</v>
      </c>
      <c r="S24" s="5">
        <f t="shared" si="3"/>
        <v>0</v>
      </c>
      <c r="T24" s="5">
        <f t="shared" si="4"/>
        <v>186442.378798511</v>
      </c>
      <c r="Y24"/>
    </row>
    <row r="25" spans="1:25" ht="12.75" customHeight="1" x14ac:dyDescent="0.25">
      <c r="A25" s="4"/>
      <c r="C25" s="81" t="s">
        <v>68</v>
      </c>
      <c r="D25" s="82" t="s">
        <v>49</v>
      </c>
      <c r="E25" s="80" t="s">
        <v>11</v>
      </c>
      <c r="F25" s="2"/>
      <c r="G25" s="64">
        <f>IF($E25="Labour",Assumptions!$B$14,)</f>
        <v>145.77740895836223</v>
      </c>
      <c r="H25" s="9" t="str">
        <f t="shared" si="5"/>
        <v>Hours</v>
      </c>
      <c r="I25" s="2"/>
      <c r="J25" s="83">
        <v>625.75252007644792</v>
      </c>
      <c r="K25" s="83">
        <v>0</v>
      </c>
      <c r="L25" s="83">
        <v>1251.5050401528958</v>
      </c>
      <c r="M25" s="83">
        <v>0</v>
      </c>
      <c r="N25" s="83">
        <v>1251.5050401528958</v>
      </c>
      <c r="O25" s="2"/>
      <c r="P25" s="5">
        <f t="shared" si="0"/>
        <v>91220.581025910127</v>
      </c>
      <c r="Q25" s="5">
        <f t="shared" si="1"/>
        <v>0</v>
      </c>
      <c r="R25" s="5">
        <f t="shared" si="2"/>
        <v>182441.16205182025</v>
      </c>
      <c r="S25" s="5">
        <f t="shared" si="3"/>
        <v>0</v>
      </c>
      <c r="T25" s="5">
        <f t="shared" si="4"/>
        <v>182441.16205182025</v>
      </c>
      <c r="Y25"/>
    </row>
    <row r="26" spans="1:25" ht="12.75" customHeight="1" x14ac:dyDescent="0.25">
      <c r="A26" s="4"/>
      <c r="C26" s="81" t="s">
        <v>69</v>
      </c>
      <c r="D26" s="82" t="s">
        <v>49</v>
      </c>
      <c r="E26" s="80" t="s">
        <v>11</v>
      </c>
      <c r="F26" s="2"/>
      <c r="G26" s="64">
        <f>IF($E26="Labour",Assumptions!$B$14,)</f>
        <v>145.77740895836223</v>
      </c>
      <c r="H26" s="9" t="str">
        <f t="shared" si="5"/>
        <v>Hours</v>
      </c>
      <c r="I26" s="2"/>
      <c r="J26" s="83">
        <v>1122.6644629816426</v>
      </c>
      <c r="K26" s="83">
        <v>0</v>
      </c>
      <c r="L26" s="83">
        <v>2245.3289259632852</v>
      </c>
      <c r="M26" s="83">
        <v>0</v>
      </c>
      <c r="N26" s="83">
        <v>2245.3289259632852</v>
      </c>
      <c r="O26" s="2"/>
      <c r="P26" s="5">
        <f t="shared" si="0"/>
        <v>163659.11654309504</v>
      </c>
      <c r="Q26" s="5">
        <f t="shared" si="1"/>
        <v>0</v>
      </c>
      <c r="R26" s="5">
        <f t="shared" si="2"/>
        <v>327318.23308619007</v>
      </c>
      <c r="S26" s="5">
        <f t="shared" si="3"/>
        <v>0</v>
      </c>
      <c r="T26" s="5">
        <f t="shared" si="4"/>
        <v>327318.23308619007</v>
      </c>
      <c r="Y26"/>
    </row>
    <row r="27" spans="1:25" ht="12.75" customHeight="1" x14ac:dyDescent="0.25">
      <c r="A27" s="4"/>
      <c r="C27" s="81" t="s">
        <v>70</v>
      </c>
      <c r="D27" s="82" t="s">
        <v>49</v>
      </c>
      <c r="E27" s="80" t="s">
        <v>11</v>
      </c>
      <c r="F27" s="2"/>
      <c r="G27" s="64">
        <f>IF($E27="Labour",Assumptions!$B$14,)</f>
        <v>145.77740895836223</v>
      </c>
      <c r="H27" s="9" t="str">
        <f t="shared" si="5"/>
        <v>Hours</v>
      </c>
      <c r="I27" s="2"/>
      <c r="J27" s="83">
        <v>161.46506184000174</v>
      </c>
      <c r="K27" s="83">
        <v>0</v>
      </c>
      <c r="L27" s="83">
        <v>322.93012368000348</v>
      </c>
      <c r="M27" s="83">
        <v>0</v>
      </c>
      <c r="N27" s="83">
        <v>322.93012368000348</v>
      </c>
      <c r="O27" s="2"/>
      <c r="P27" s="5">
        <f t="shared" si="0"/>
        <v>23537.95835233718</v>
      </c>
      <c r="Q27" s="5">
        <f t="shared" si="1"/>
        <v>0</v>
      </c>
      <c r="R27" s="5">
        <f t="shared" si="2"/>
        <v>47075.916704674361</v>
      </c>
      <c r="S27" s="5">
        <f t="shared" si="3"/>
        <v>0</v>
      </c>
      <c r="T27" s="5">
        <f t="shared" si="4"/>
        <v>47075.916704674361</v>
      </c>
      <c r="Y27"/>
    </row>
    <row r="28" spans="1:25" ht="12.75" customHeight="1" x14ac:dyDescent="0.25">
      <c r="A28" s="4"/>
      <c r="C28" s="81" t="s">
        <v>71</v>
      </c>
      <c r="D28" s="82" t="s">
        <v>49</v>
      </c>
      <c r="E28" s="80" t="s">
        <v>11</v>
      </c>
      <c r="F28" s="2"/>
      <c r="G28" s="64">
        <f>IF($E28="Labour",Assumptions!$B$14,)</f>
        <v>145.77740895836223</v>
      </c>
      <c r="H28" s="9" t="str">
        <f t="shared" si="5"/>
        <v>Hours</v>
      </c>
      <c r="I28" s="2"/>
      <c r="J28" s="83">
        <v>46.328993859803631</v>
      </c>
      <c r="K28" s="83">
        <v>0</v>
      </c>
      <c r="L28" s="83">
        <v>92.657987719607263</v>
      </c>
      <c r="M28" s="83">
        <v>0</v>
      </c>
      <c r="N28" s="83">
        <v>92.657987719607263</v>
      </c>
      <c r="O28" s="2"/>
      <c r="P28" s="5">
        <f t="shared" si="0"/>
        <v>6753.720684530047</v>
      </c>
      <c r="Q28" s="5">
        <f t="shared" si="1"/>
        <v>0</v>
      </c>
      <c r="R28" s="5">
        <f t="shared" si="2"/>
        <v>13507.441369060094</v>
      </c>
      <c r="S28" s="5">
        <f t="shared" si="3"/>
        <v>0</v>
      </c>
      <c r="T28" s="5">
        <f t="shared" si="4"/>
        <v>13507.441369060094</v>
      </c>
      <c r="Y28"/>
    </row>
    <row r="29" spans="1:25" ht="12.75" customHeight="1" x14ac:dyDescent="0.25">
      <c r="A29" s="4"/>
      <c r="C29" s="81" t="s">
        <v>72</v>
      </c>
      <c r="D29" s="82" t="s">
        <v>49</v>
      </c>
      <c r="E29" s="80" t="s">
        <v>11</v>
      </c>
      <c r="F29" s="2"/>
      <c r="G29" s="64">
        <f>IF($E29="Labour",Assumptions!$B$14,)</f>
        <v>145.77740895836223</v>
      </c>
      <c r="H29" s="9" t="str">
        <f t="shared" si="5"/>
        <v>Hours</v>
      </c>
      <c r="I29" s="2"/>
      <c r="J29" s="83">
        <v>428.31828730270342</v>
      </c>
      <c r="K29" s="83">
        <v>0</v>
      </c>
      <c r="L29" s="83">
        <v>856.63657460540685</v>
      </c>
      <c r="M29" s="83">
        <v>0</v>
      </c>
      <c r="N29" s="83">
        <v>856.63657460540685</v>
      </c>
      <c r="O29" s="2"/>
      <c r="P29" s="5">
        <f t="shared" si="0"/>
        <v>62439.130132471488</v>
      </c>
      <c r="Q29" s="5">
        <f t="shared" si="1"/>
        <v>0</v>
      </c>
      <c r="R29" s="5">
        <f t="shared" si="2"/>
        <v>124878.26026494298</v>
      </c>
      <c r="S29" s="5">
        <f t="shared" si="3"/>
        <v>0</v>
      </c>
      <c r="T29" s="5">
        <f t="shared" si="4"/>
        <v>124878.26026494298</v>
      </c>
      <c r="Y29"/>
    </row>
    <row r="30" spans="1:25" ht="12.75" customHeight="1" x14ac:dyDescent="0.25">
      <c r="A30" s="4"/>
      <c r="C30" s="81" t="s">
        <v>73</v>
      </c>
      <c r="D30" s="82" t="s">
        <v>49</v>
      </c>
      <c r="E30" s="80" t="s">
        <v>11</v>
      </c>
      <c r="F30" s="2"/>
      <c r="G30" s="64">
        <f>IF($E30="Labour",Assumptions!$B$14,)</f>
        <v>145.77740895836223</v>
      </c>
      <c r="H30" s="9" t="str">
        <f t="shared" si="5"/>
        <v>Hours</v>
      </c>
      <c r="I30" s="2"/>
      <c r="J30" s="83">
        <v>821.80098655355766</v>
      </c>
      <c r="K30" s="83">
        <v>0</v>
      </c>
      <c r="L30" s="83">
        <v>1643.6019731071153</v>
      </c>
      <c r="M30" s="83">
        <v>0</v>
      </c>
      <c r="N30" s="83">
        <v>1643.6019731071153</v>
      </c>
      <c r="O30" s="2"/>
      <c r="P30" s="5">
        <f t="shared" si="0"/>
        <v>119800.01849920352</v>
      </c>
      <c r="Q30" s="5">
        <f t="shared" si="1"/>
        <v>0</v>
      </c>
      <c r="R30" s="5">
        <f t="shared" si="2"/>
        <v>239600.03699840704</v>
      </c>
      <c r="S30" s="5">
        <f t="shared" si="3"/>
        <v>0</v>
      </c>
      <c r="T30" s="5">
        <f t="shared" si="4"/>
        <v>239600.03699840704</v>
      </c>
      <c r="Y30"/>
    </row>
    <row r="31" spans="1:25" ht="12.75" customHeight="1" x14ac:dyDescent="0.25">
      <c r="A31" s="4"/>
      <c r="C31" s="81" t="s">
        <v>74</v>
      </c>
      <c r="D31" s="82" t="s">
        <v>49</v>
      </c>
      <c r="E31" s="80" t="s">
        <v>11</v>
      </c>
      <c r="F31" s="2"/>
      <c r="G31" s="64">
        <f>IF($E31="Labour",Assumptions!$B$14,)</f>
        <v>145.77740895836223</v>
      </c>
      <c r="H31" s="9" t="str">
        <f t="shared" si="5"/>
        <v>Hours</v>
      </c>
      <c r="I31" s="2"/>
      <c r="J31" s="83">
        <v>100.86209164366355</v>
      </c>
      <c r="K31" s="83">
        <v>0</v>
      </c>
      <c r="L31" s="83">
        <v>201.72418328732709</v>
      </c>
      <c r="M31" s="83">
        <v>0</v>
      </c>
      <c r="N31" s="83">
        <v>201.72418328732709</v>
      </c>
      <c r="O31" s="2"/>
      <c r="P31" s="5">
        <f t="shared" si="0"/>
        <v>14703.41438193415</v>
      </c>
      <c r="Q31" s="5">
        <f t="shared" si="1"/>
        <v>0</v>
      </c>
      <c r="R31" s="5">
        <f t="shared" si="2"/>
        <v>29406.8287638683</v>
      </c>
      <c r="S31" s="5">
        <f t="shared" si="3"/>
        <v>0</v>
      </c>
      <c r="T31" s="5">
        <f t="shared" si="4"/>
        <v>29406.8287638683</v>
      </c>
      <c r="Y31"/>
    </row>
    <row r="32" spans="1:25" ht="12.75" customHeight="1" x14ac:dyDescent="0.25">
      <c r="A32" s="4"/>
      <c r="C32" s="81" t="s">
        <v>71</v>
      </c>
      <c r="D32" s="82" t="s">
        <v>49</v>
      </c>
      <c r="E32" s="80" t="s">
        <v>13</v>
      </c>
      <c r="F32" s="2"/>
      <c r="G32" s="64">
        <f>IF($E32="Labour",Assumptions!$B$14,)</f>
        <v>0</v>
      </c>
      <c r="H32" s="9" t="str">
        <f t="shared" si="5"/>
        <v>$</v>
      </c>
      <c r="I32" s="2"/>
      <c r="J32" s="83">
        <v>6753.720684530047</v>
      </c>
      <c r="K32" s="83">
        <v>0</v>
      </c>
      <c r="L32" s="83">
        <v>13507.441369060094</v>
      </c>
      <c r="M32" s="83">
        <v>0</v>
      </c>
      <c r="N32" s="83">
        <v>13507.441369060094</v>
      </c>
      <c r="O32" s="2"/>
      <c r="P32" s="5">
        <f t="shared" si="0"/>
        <v>6753.720684530047</v>
      </c>
      <c r="Q32" s="5">
        <f t="shared" si="1"/>
        <v>0</v>
      </c>
      <c r="R32" s="5">
        <f t="shared" si="2"/>
        <v>13507.441369060094</v>
      </c>
      <c r="S32" s="5">
        <f t="shared" si="3"/>
        <v>0</v>
      </c>
      <c r="T32" s="5">
        <f t="shared" si="4"/>
        <v>13507.441369060094</v>
      </c>
      <c r="Y32"/>
    </row>
    <row r="33" spans="1:25" ht="12.75" customHeight="1" x14ac:dyDescent="0.25">
      <c r="A33" s="4"/>
      <c r="C33" s="81" t="s">
        <v>75</v>
      </c>
      <c r="D33" s="82" t="s">
        <v>49</v>
      </c>
      <c r="E33" s="80" t="s">
        <v>11</v>
      </c>
      <c r="F33" s="2"/>
      <c r="G33" s="64">
        <f>IF($E33="Labour",Assumptions!$B$14,)</f>
        <v>145.77740895836223</v>
      </c>
      <c r="H33" s="9" t="str">
        <f t="shared" si="5"/>
        <v>Hours</v>
      </c>
      <c r="I33" s="2"/>
      <c r="J33" s="83">
        <v>25644.62594268395</v>
      </c>
      <c r="K33" s="83"/>
      <c r="L33" s="83"/>
      <c r="M33" s="83"/>
      <c r="N33" s="83">
        <v>15332.997172421961</v>
      </c>
      <c r="O33" s="2"/>
      <c r="P33" s="5">
        <f t="shared" si="0"/>
        <v>3738407.1236308636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2235204.5993615678</v>
      </c>
      <c r="Y33"/>
    </row>
    <row r="34" spans="1:25" ht="12.75" customHeight="1" x14ac:dyDescent="0.25">
      <c r="A34" s="4"/>
      <c r="C34" s="81" t="s">
        <v>75</v>
      </c>
      <c r="D34" s="82" t="s">
        <v>49</v>
      </c>
      <c r="E34" s="80" t="s">
        <v>13</v>
      </c>
      <c r="F34" s="2"/>
      <c r="G34" s="64">
        <f>IF($E34="Labour",Assumptions!$B$14,)</f>
        <v>0</v>
      </c>
      <c r="H34" s="9" t="str">
        <f t="shared" si="5"/>
        <v>$</v>
      </c>
      <c r="I34" s="2"/>
      <c r="J34" s="83">
        <v>37447.820636776436</v>
      </c>
      <c r="K34" s="83"/>
      <c r="L34" s="83"/>
      <c r="M34" s="83"/>
      <c r="N34" s="83"/>
      <c r="O34" s="2"/>
      <c r="P34" s="5">
        <f t="shared" si="0"/>
        <v>37447.820636776436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 t="s">
        <v>76</v>
      </c>
      <c r="D35" s="82" t="s">
        <v>49</v>
      </c>
      <c r="E35" s="80" t="s">
        <v>11</v>
      </c>
      <c r="F35" s="2"/>
      <c r="G35" s="64">
        <f>IF($E35="Labour",Assumptions!$B$14,)</f>
        <v>145.77740895836223</v>
      </c>
      <c r="H35" s="9" t="str">
        <f t="shared" si="5"/>
        <v>Hours</v>
      </c>
      <c r="I35" s="2"/>
      <c r="J35" s="83">
        <v>6436.7175026413042</v>
      </c>
      <c r="K35" s="83"/>
      <c r="L35" s="83"/>
      <c r="M35" s="83"/>
      <c r="N35" s="83">
        <v>3862.0305015847825</v>
      </c>
      <c r="O35" s="2"/>
      <c r="P35" s="5">
        <f t="shared" si="0"/>
        <v>938327.99973198946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562996.7998391937</v>
      </c>
      <c r="Y35"/>
    </row>
    <row r="36" spans="1:25" ht="12.75" customHeight="1" x14ac:dyDescent="0.25">
      <c r="A36" s="4"/>
      <c r="C36" s="81" t="s">
        <v>76</v>
      </c>
      <c r="D36" s="82" t="s">
        <v>49</v>
      </c>
      <c r="E36" s="80" t="s">
        <v>13</v>
      </c>
      <c r="F36" s="2"/>
      <c r="G36" s="64">
        <f>IF($E36="Labour",Assumptions!$B$14,)</f>
        <v>0</v>
      </c>
      <c r="H36" s="9" t="str">
        <f t="shared" si="5"/>
        <v>$</v>
      </c>
      <c r="I36" s="2"/>
      <c r="J36" s="83">
        <v>8494</v>
      </c>
      <c r="K36" s="83"/>
      <c r="L36" s="83"/>
      <c r="M36" s="83"/>
      <c r="N36" s="83"/>
      <c r="O36" s="2"/>
      <c r="P36" s="5">
        <f t="shared" si="0"/>
        <v>8494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/>
      <c r="D37" s="82"/>
      <c r="E37" s="80"/>
      <c r="F37" s="2"/>
      <c r="G37" s="64">
        <f>IF($E37="Labour",Assumptions!$B$14,)</f>
        <v>0</v>
      </c>
      <c r="H37" s="9" t="str">
        <f t="shared" si="5"/>
        <v>$</v>
      </c>
      <c r="I37" s="2"/>
      <c r="J37" s="83"/>
      <c r="K37" s="83"/>
      <c r="L37" s="83"/>
      <c r="M37" s="83"/>
      <c r="N37" s="83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/>
      <c r="D38" s="82"/>
      <c r="E38" s="80"/>
      <c r="F38" s="2"/>
      <c r="G38" s="64">
        <f>IF($E38="Labour",Assumptions!$B$14,)</f>
        <v>0</v>
      </c>
      <c r="H38" s="9" t="str">
        <f t="shared" si="5"/>
        <v>$</v>
      </c>
      <c r="I38" s="2"/>
      <c r="J38" s="83"/>
      <c r="K38" s="83"/>
      <c r="L38" s="83"/>
      <c r="M38" s="83"/>
      <c r="N38" s="83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/>
      <c r="D39" s="82"/>
      <c r="E39" s="80"/>
      <c r="F39" s="2"/>
      <c r="G39" s="64">
        <f>IF($E39="Labour",Assumptions!$B$14,)</f>
        <v>0</v>
      </c>
      <c r="H39" s="9" t="str">
        <f t="shared" si="5"/>
        <v>$</v>
      </c>
      <c r="I39" s="2"/>
      <c r="J39" s="83"/>
      <c r="K39" s="83"/>
      <c r="L39" s="83"/>
      <c r="M39" s="83"/>
      <c r="N39" s="83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/>
      <c r="D40" s="82"/>
      <c r="E40" s="80"/>
      <c r="G40" s="64">
        <f>IF($E40="Labour",Assumptions!$B$14,)</f>
        <v>0</v>
      </c>
      <c r="H40" s="9" t="str">
        <f t="shared" si="5"/>
        <v>$</v>
      </c>
      <c r="J40" s="83"/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/>
      <c r="D41" s="82"/>
      <c r="E41" s="80"/>
      <c r="G41" s="64">
        <f>IF($E41="Labour",Assumptions!$B$14,)</f>
        <v>0</v>
      </c>
      <c r="H41" s="9" t="str">
        <f t="shared" si="5"/>
        <v>$</v>
      </c>
      <c r="J41" s="83"/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/>
      <c r="D42" s="82"/>
      <c r="E42" s="80"/>
      <c r="G42" s="64">
        <f>IF($E42="Labour",Assumptions!$B$14,)</f>
        <v>0</v>
      </c>
      <c r="H42" s="9" t="str">
        <f t="shared" si="5"/>
        <v>$</v>
      </c>
      <c r="J42" s="83"/>
      <c r="K42" s="83"/>
      <c r="L42" s="83"/>
      <c r="M42" s="83"/>
      <c r="N42" s="83"/>
      <c r="P42" s="5">
        <f t="shared" ref="P42:P60" si="6">IF($E42="Labour",$G42*J42,J42)</f>
        <v>0</v>
      </c>
      <c r="Q42" s="5">
        <f t="shared" ref="Q42:Q60" si="7">IF($E42="Labour",$G42*K42,K42)</f>
        <v>0</v>
      </c>
      <c r="R42" s="5">
        <f t="shared" ref="R42:R60" si="8">IF($E42="Labour",$G42*L42,L42)</f>
        <v>0</v>
      </c>
      <c r="S42" s="5">
        <f t="shared" ref="S42:S60" si="9">IF($E42="Labour",$G42*M42,M42)</f>
        <v>0</v>
      </c>
      <c r="T42" s="5">
        <f t="shared" ref="T42:T60" si="10">IF($E42="Labour",$G42*N42,N42)</f>
        <v>0</v>
      </c>
    </row>
    <row r="43" spans="1:25" ht="12.75" customHeight="1" x14ac:dyDescent="0.2">
      <c r="A43" s="4"/>
      <c r="C43" s="81"/>
      <c r="D43" s="82"/>
      <c r="E43" s="80"/>
      <c r="G43" s="64">
        <f>IF($E43="Labour",Assumptions!$B$14,)</f>
        <v>0</v>
      </c>
      <c r="H43" s="9" t="str">
        <f t="shared" si="5"/>
        <v>$</v>
      </c>
      <c r="J43" s="83"/>
      <c r="K43" s="83"/>
      <c r="L43" s="83"/>
      <c r="M43" s="83"/>
      <c r="N43" s="83"/>
      <c r="P43" s="5">
        <f t="shared" si="6"/>
        <v>0</v>
      </c>
      <c r="Q43" s="5">
        <f t="shared" si="7"/>
        <v>0</v>
      </c>
      <c r="R43" s="5">
        <f t="shared" si="8"/>
        <v>0</v>
      </c>
      <c r="S43" s="5">
        <f t="shared" si="9"/>
        <v>0</v>
      </c>
      <c r="T43" s="5">
        <f t="shared" si="10"/>
        <v>0</v>
      </c>
    </row>
    <row r="44" spans="1:25" ht="12.75" customHeight="1" x14ac:dyDescent="0.2">
      <c r="A44" s="4"/>
      <c r="C44" s="81"/>
      <c r="D44" s="82"/>
      <c r="E44" s="80"/>
      <c r="G44" s="64">
        <f>IF($E44="Labour",Assumptions!$B$14,)</f>
        <v>0</v>
      </c>
      <c r="H44" s="9" t="str">
        <f t="shared" si="5"/>
        <v>$</v>
      </c>
      <c r="J44" s="83"/>
      <c r="K44" s="83"/>
      <c r="L44" s="83"/>
      <c r="M44" s="83"/>
      <c r="N44" s="83"/>
      <c r="P44" s="5">
        <f t="shared" si="6"/>
        <v>0</v>
      </c>
      <c r="Q44" s="5">
        <f t="shared" si="7"/>
        <v>0</v>
      </c>
      <c r="R44" s="5">
        <f t="shared" si="8"/>
        <v>0</v>
      </c>
      <c r="S44" s="5">
        <f t="shared" si="9"/>
        <v>0</v>
      </c>
      <c r="T44" s="5">
        <f t="shared" si="10"/>
        <v>0</v>
      </c>
    </row>
    <row r="45" spans="1:25" ht="12.75" customHeight="1" x14ac:dyDescent="0.2">
      <c r="A45" s="4"/>
      <c r="C45" s="81"/>
      <c r="D45" s="82"/>
      <c r="E45" s="80"/>
      <c r="G45" s="64">
        <f>IF($E45="Labour",Assumptions!$B$14,)</f>
        <v>0</v>
      </c>
      <c r="H45" s="9" t="str">
        <f t="shared" si="5"/>
        <v>$</v>
      </c>
      <c r="J45" s="83"/>
      <c r="K45" s="83"/>
      <c r="L45" s="83"/>
      <c r="M45" s="83"/>
      <c r="N45" s="83"/>
      <c r="P45" s="5">
        <f t="shared" si="6"/>
        <v>0</v>
      </c>
      <c r="Q45" s="5">
        <f t="shared" si="7"/>
        <v>0</v>
      </c>
      <c r="R45" s="5">
        <f t="shared" si="8"/>
        <v>0</v>
      </c>
      <c r="S45" s="5">
        <f t="shared" si="9"/>
        <v>0</v>
      </c>
      <c r="T45" s="5">
        <f t="shared" si="10"/>
        <v>0</v>
      </c>
    </row>
    <row r="46" spans="1:25" ht="12.75" customHeight="1" x14ac:dyDescent="0.2">
      <c r="A46" s="4"/>
      <c r="C46" s="81"/>
      <c r="D46" s="82"/>
      <c r="E46" s="80"/>
      <c r="G46" s="64">
        <f>IF($E46="Labour",Assumptions!$B$14,)</f>
        <v>0</v>
      </c>
      <c r="H46" s="9" t="str">
        <f t="shared" si="5"/>
        <v>$</v>
      </c>
      <c r="J46" s="83"/>
      <c r="K46" s="83"/>
      <c r="L46" s="83"/>
      <c r="M46" s="83"/>
      <c r="N46" s="83"/>
      <c r="P46" s="5">
        <f t="shared" si="6"/>
        <v>0</v>
      </c>
      <c r="Q46" s="5">
        <f t="shared" si="7"/>
        <v>0</v>
      </c>
      <c r="R46" s="5">
        <f t="shared" si="8"/>
        <v>0</v>
      </c>
      <c r="S46" s="5">
        <f t="shared" si="9"/>
        <v>0</v>
      </c>
      <c r="T46" s="5">
        <f t="shared" si="10"/>
        <v>0</v>
      </c>
    </row>
    <row r="47" spans="1:25" ht="12.75" customHeight="1" x14ac:dyDescent="0.2">
      <c r="A47" s="4"/>
      <c r="C47" s="81"/>
      <c r="D47" s="82"/>
      <c r="E47" s="80"/>
      <c r="G47" s="64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6"/>
        <v>0</v>
      </c>
      <c r="Q47" s="5">
        <f t="shared" si="7"/>
        <v>0</v>
      </c>
      <c r="R47" s="5">
        <f t="shared" si="8"/>
        <v>0</v>
      </c>
      <c r="S47" s="5">
        <f t="shared" si="9"/>
        <v>0</v>
      </c>
      <c r="T47" s="5">
        <f t="shared" si="10"/>
        <v>0</v>
      </c>
    </row>
    <row r="48" spans="1:25" ht="12.75" customHeight="1" x14ac:dyDescent="0.2">
      <c r="A48" s="4"/>
      <c r="C48" s="81"/>
      <c r="D48" s="82"/>
      <c r="E48" s="80"/>
      <c r="G48" s="64">
        <f>IF($E48="Labour",Assumptions!$B$14,)</f>
        <v>0</v>
      </c>
      <c r="H48" s="9" t="str">
        <f t="shared" si="5"/>
        <v>$</v>
      </c>
      <c r="J48" s="83"/>
      <c r="K48" s="83"/>
      <c r="L48" s="83"/>
      <c r="M48" s="83"/>
      <c r="N48" s="83"/>
      <c r="P48" s="5">
        <f t="shared" si="6"/>
        <v>0</v>
      </c>
      <c r="Q48" s="5">
        <f t="shared" si="7"/>
        <v>0</v>
      </c>
      <c r="R48" s="5">
        <f t="shared" si="8"/>
        <v>0</v>
      </c>
      <c r="S48" s="5">
        <f t="shared" si="9"/>
        <v>0</v>
      </c>
      <c r="T48" s="5">
        <f t="shared" si="10"/>
        <v>0</v>
      </c>
    </row>
    <row r="49" spans="1:25" ht="12.75" customHeight="1" x14ac:dyDescent="0.2">
      <c r="A49" s="4"/>
      <c r="C49" s="81"/>
      <c r="D49" s="82"/>
      <c r="E49" s="80"/>
      <c r="G49" s="64">
        <f>IF($E49="Labour",Assumptions!$B$14,)</f>
        <v>0</v>
      </c>
      <c r="H49" s="9" t="str">
        <f t="shared" si="5"/>
        <v>$</v>
      </c>
      <c r="J49" s="83"/>
      <c r="K49" s="83"/>
      <c r="L49" s="83"/>
      <c r="M49" s="83"/>
      <c r="N49" s="83"/>
      <c r="P49" s="5">
        <f t="shared" si="6"/>
        <v>0</v>
      </c>
      <c r="Q49" s="5">
        <f t="shared" si="7"/>
        <v>0</v>
      </c>
      <c r="R49" s="5">
        <f t="shared" si="8"/>
        <v>0</v>
      </c>
      <c r="S49" s="5">
        <f t="shared" si="9"/>
        <v>0</v>
      </c>
      <c r="T49" s="5">
        <f t="shared" si="10"/>
        <v>0</v>
      </c>
    </row>
    <row r="50" spans="1:25" ht="12.75" customHeight="1" x14ac:dyDescent="0.2">
      <c r="A50" s="4"/>
      <c r="C50" s="81"/>
      <c r="D50" s="82"/>
      <c r="E50" s="80"/>
      <c r="G50" s="64">
        <f>IF($E50="Labour",Assumptions!$B$14,)</f>
        <v>0</v>
      </c>
      <c r="H50" s="9" t="str">
        <f t="shared" si="5"/>
        <v>$</v>
      </c>
      <c r="J50" s="83"/>
      <c r="K50" s="83"/>
      <c r="L50" s="83"/>
      <c r="M50" s="83"/>
      <c r="N50" s="83"/>
      <c r="P50" s="5">
        <f t="shared" si="6"/>
        <v>0</v>
      </c>
      <c r="Q50" s="5">
        <f t="shared" si="7"/>
        <v>0</v>
      </c>
      <c r="R50" s="5">
        <f t="shared" si="8"/>
        <v>0</v>
      </c>
      <c r="S50" s="5">
        <f t="shared" si="9"/>
        <v>0</v>
      </c>
      <c r="T50" s="5">
        <f t="shared" si="10"/>
        <v>0</v>
      </c>
    </row>
    <row r="51" spans="1:25" ht="12.75" customHeight="1" x14ac:dyDescent="0.2">
      <c r="A51" s="4"/>
      <c r="C51" s="81"/>
      <c r="D51" s="82"/>
      <c r="E51" s="80"/>
      <c r="G51" s="64">
        <f>IF($E51="Labour",Assumptions!$B$14,)</f>
        <v>0</v>
      </c>
      <c r="H51" s="9" t="str">
        <f t="shared" si="5"/>
        <v>$</v>
      </c>
      <c r="J51" s="83"/>
      <c r="K51" s="83"/>
      <c r="L51" s="83"/>
      <c r="M51" s="83"/>
      <c r="N51" s="83"/>
      <c r="P51" s="5">
        <f t="shared" si="6"/>
        <v>0</v>
      </c>
      <c r="Q51" s="5">
        <f t="shared" si="7"/>
        <v>0</v>
      </c>
      <c r="R51" s="5">
        <f t="shared" si="8"/>
        <v>0</v>
      </c>
      <c r="S51" s="5">
        <f t="shared" si="9"/>
        <v>0</v>
      </c>
      <c r="T51" s="5">
        <f t="shared" si="10"/>
        <v>0</v>
      </c>
    </row>
    <row r="52" spans="1:25" ht="12.75" customHeight="1" x14ac:dyDescent="0.2">
      <c r="A52" s="4"/>
      <c r="C52" s="81"/>
      <c r="D52" s="82"/>
      <c r="E52" s="80"/>
      <c r="G52" s="64">
        <f>IF($E52="Labour",Assumptions!$B$14,)</f>
        <v>0</v>
      </c>
      <c r="H52" s="9" t="str">
        <f t="shared" si="5"/>
        <v>$</v>
      </c>
      <c r="J52" s="83"/>
      <c r="K52" s="83"/>
      <c r="L52" s="83"/>
      <c r="M52" s="83"/>
      <c r="N52" s="83"/>
      <c r="P52" s="5">
        <f t="shared" si="6"/>
        <v>0</v>
      </c>
      <c r="Q52" s="5">
        <f t="shared" si="7"/>
        <v>0</v>
      </c>
      <c r="R52" s="5">
        <f t="shared" si="8"/>
        <v>0</v>
      </c>
      <c r="S52" s="5">
        <f t="shared" si="9"/>
        <v>0</v>
      </c>
      <c r="T52" s="5">
        <f t="shared" si="10"/>
        <v>0</v>
      </c>
    </row>
    <row r="53" spans="1:25" ht="12.75" customHeight="1" x14ac:dyDescent="0.2">
      <c r="A53" s="4"/>
      <c r="C53" s="81"/>
      <c r="D53" s="82"/>
      <c r="E53" s="80"/>
      <c r="G53" s="64">
        <f>IF($E53="Labour",Assumptions!$B$14,)</f>
        <v>0</v>
      </c>
      <c r="H53" s="9" t="str">
        <f t="shared" si="5"/>
        <v>$</v>
      </c>
      <c r="J53" s="83"/>
      <c r="K53" s="83"/>
      <c r="L53" s="83"/>
      <c r="M53" s="83"/>
      <c r="N53" s="83"/>
      <c r="P53" s="5">
        <f t="shared" si="6"/>
        <v>0</v>
      </c>
      <c r="Q53" s="5">
        <f t="shared" si="7"/>
        <v>0</v>
      </c>
      <c r="R53" s="5">
        <f t="shared" si="8"/>
        <v>0</v>
      </c>
      <c r="S53" s="5">
        <f t="shared" si="9"/>
        <v>0</v>
      </c>
      <c r="T53" s="5">
        <f t="shared" si="10"/>
        <v>0</v>
      </c>
    </row>
    <row r="54" spans="1:25" ht="12.75" customHeight="1" x14ac:dyDescent="0.2">
      <c r="A54" s="4"/>
      <c r="C54" s="81"/>
      <c r="D54" s="82"/>
      <c r="E54" s="80"/>
      <c r="G54" s="64">
        <f>IF($E54="Labour",Assumptions!$B$14,)</f>
        <v>0</v>
      </c>
      <c r="H54" s="9" t="str">
        <f t="shared" si="5"/>
        <v>$</v>
      </c>
      <c r="J54" s="83"/>
      <c r="K54" s="83"/>
      <c r="L54" s="83"/>
      <c r="M54" s="83"/>
      <c r="N54" s="83"/>
      <c r="P54" s="5">
        <f t="shared" si="6"/>
        <v>0</v>
      </c>
      <c r="Q54" s="5">
        <f t="shared" si="7"/>
        <v>0</v>
      </c>
      <c r="R54" s="5">
        <f t="shared" si="8"/>
        <v>0</v>
      </c>
      <c r="S54" s="5">
        <f t="shared" si="9"/>
        <v>0</v>
      </c>
      <c r="T54" s="5">
        <f t="shared" si="10"/>
        <v>0</v>
      </c>
    </row>
    <row r="55" spans="1:25" ht="12.75" customHeight="1" x14ac:dyDescent="0.2">
      <c r="A55" s="4"/>
      <c r="C55" s="81"/>
      <c r="D55" s="82"/>
      <c r="E55" s="80"/>
      <c r="G55" s="64">
        <f>IF($E55="Labour",Assumptions!$B$14,)</f>
        <v>0</v>
      </c>
      <c r="H55" s="9" t="str">
        <f t="shared" si="5"/>
        <v>$</v>
      </c>
      <c r="J55" s="83"/>
      <c r="K55" s="83"/>
      <c r="L55" s="83"/>
      <c r="M55" s="83"/>
      <c r="N55" s="83"/>
      <c r="P55" s="5">
        <f t="shared" si="6"/>
        <v>0</v>
      </c>
      <c r="Q55" s="5">
        <f t="shared" si="7"/>
        <v>0</v>
      </c>
      <c r="R55" s="5">
        <f t="shared" si="8"/>
        <v>0</v>
      </c>
      <c r="S55" s="5">
        <f t="shared" si="9"/>
        <v>0</v>
      </c>
      <c r="T55" s="5">
        <f t="shared" si="10"/>
        <v>0</v>
      </c>
    </row>
    <row r="56" spans="1:25" ht="12.75" customHeight="1" x14ac:dyDescent="0.2">
      <c r="A56" s="4"/>
      <c r="C56" s="81"/>
      <c r="D56" s="82"/>
      <c r="E56" s="80"/>
      <c r="G56" s="64">
        <f>IF($E56="Labour",Assumptions!$B$14,)</f>
        <v>0</v>
      </c>
      <c r="H56" s="9" t="str">
        <f t="shared" si="5"/>
        <v>$</v>
      </c>
      <c r="J56" s="83"/>
      <c r="K56" s="83"/>
      <c r="L56" s="83"/>
      <c r="M56" s="83"/>
      <c r="N56" s="83"/>
      <c r="P56" s="5">
        <f t="shared" si="6"/>
        <v>0</v>
      </c>
      <c r="Q56" s="5">
        <f t="shared" si="7"/>
        <v>0</v>
      </c>
      <c r="R56" s="5">
        <f t="shared" si="8"/>
        <v>0</v>
      </c>
      <c r="S56" s="5">
        <f t="shared" si="9"/>
        <v>0</v>
      </c>
      <c r="T56" s="5">
        <f t="shared" si="10"/>
        <v>0</v>
      </c>
    </row>
    <row r="57" spans="1:25" ht="12.75" customHeight="1" x14ac:dyDescent="0.2">
      <c r="A57" s="4"/>
      <c r="C57" s="81"/>
      <c r="D57" s="82"/>
      <c r="E57" s="80"/>
      <c r="G57" s="64">
        <f>IF($E57="Labour",Assumptions!$B$14,)</f>
        <v>0</v>
      </c>
      <c r="H57" s="9" t="str">
        <f t="shared" si="5"/>
        <v>$</v>
      </c>
      <c r="J57" s="83"/>
      <c r="K57" s="83"/>
      <c r="L57" s="83"/>
      <c r="M57" s="83"/>
      <c r="N57" s="83"/>
      <c r="P57" s="5">
        <f t="shared" si="6"/>
        <v>0</v>
      </c>
      <c r="Q57" s="5">
        <f t="shared" si="7"/>
        <v>0</v>
      </c>
      <c r="R57" s="5">
        <f t="shared" si="8"/>
        <v>0</v>
      </c>
      <c r="S57" s="5">
        <f t="shared" si="9"/>
        <v>0</v>
      </c>
      <c r="T57" s="5">
        <f t="shared" si="10"/>
        <v>0</v>
      </c>
    </row>
    <row r="58" spans="1:25" ht="12.75" customHeight="1" x14ac:dyDescent="0.2">
      <c r="A58" s="4"/>
      <c r="C58" s="81"/>
      <c r="D58" s="82"/>
      <c r="E58" s="80"/>
      <c r="G58" s="64">
        <f>IF($E58="Labour",Assumptions!$B$14,)</f>
        <v>0</v>
      </c>
      <c r="H58" s="9" t="str">
        <f t="shared" si="5"/>
        <v>$</v>
      </c>
      <c r="J58" s="83"/>
      <c r="K58" s="83"/>
      <c r="L58" s="83"/>
      <c r="M58" s="83"/>
      <c r="N58" s="83"/>
      <c r="P58" s="5">
        <f t="shared" si="6"/>
        <v>0</v>
      </c>
      <c r="Q58" s="5">
        <f t="shared" si="7"/>
        <v>0</v>
      </c>
      <c r="R58" s="5">
        <f t="shared" si="8"/>
        <v>0</v>
      </c>
      <c r="S58" s="5">
        <f t="shared" si="9"/>
        <v>0</v>
      </c>
      <c r="T58" s="5">
        <f t="shared" si="10"/>
        <v>0</v>
      </c>
    </row>
    <row r="59" spans="1:25" ht="12.75" customHeight="1" x14ac:dyDescent="0.2">
      <c r="A59" s="4"/>
      <c r="C59" s="81"/>
      <c r="D59" s="82"/>
      <c r="E59" s="80"/>
      <c r="G59" s="64">
        <f>IF($E59="Labour",Assumptions!$B$14,)</f>
        <v>0</v>
      </c>
      <c r="H59" s="9" t="str">
        <f t="shared" si="5"/>
        <v>$</v>
      </c>
      <c r="J59" s="83"/>
      <c r="K59" s="83"/>
      <c r="L59" s="83"/>
      <c r="M59" s="83"/>
      <c r="N59" s="83"/>
      <c r="P59" s="5">
        <f t="shared" si="6"/>
        <v>0</v>
      </c>
      <c r="Q59" s="5">
        <f t="shared" si="7"/>
        <v>0</v>
      </c>
      <c r="R59" s="5">
        <f t="shared" si="8"/>
        <v>0</v>
      </c>
      <c r="S59" s="5">
        <f t="shared" si="9"/>
        <v>0</v>
      </c>
      <c r="T59" s="5">
        <f t="shared" si="10"/>
        <v>0</v>
      </c>
    </row>
    <row r="60" spans="1:25" ht="12.75" customHeight="1" x14ac:dyDescent="0.2">
      <c r="A60" s="4"/>
      <c r="C60" s="81"/>
      <c r="D60" s="82"/>
      <c r="E60" s="80"/>
      <c r="G60" s="64">
        <f>IF($E60="Labour",Assumptions!$B$14,)</f>
        <v>0</v>
      </c>
      <c r="H60" s="9" t="str">
        <f t="shared" si="5"/>
        <v>$</v>
      </c>
      <c r="J60" s="83"/>
      <c r="K60" s="83"/>
      <c r="L60" s="83"/>
      <c r="M60" s="83"/>
      <c r="N60" s="83"/>
      <c r="P60" s="5">
        <f t="shared" si="6"/>
        <v>0</v>
      </c>
      <c r="Q60" s="5">
        <f t="shared" si="7"/>
        <v>0</v>
      </c>
      <c r="R60" s="5">
        <f t="shared" si="8"/>
        <v>0</v>
      </c>
      <c r="S60" s="5">
        <f t="shared" si="9"/>
        <v>0</v>
      </c>
      <c r="T60" s="5">
        <f t="shared" si="10"/>
        <v>0</v>
      </c>
    </row>
    <row r="61" spans="1:25" ht="12.75" customHeight="1" x14ac:dyDescent="0.25">
      <c r="F61" s="2"/>
      <c r="I61" s="2"/>
      <c r="O61" s="2"/>
      <c r="Y61"/>
    </row>
    <row r="62" spans="1:25" ht="12.75" customHeight="1" x14ac:dyDescent="0.25">
      <c r="F62" s="2"/>
      <c r="I62" s="2"/>
      <c r="O62" s="2"/>
      <c r="Y62"/>
    </row>
    <row r="63" spans="1:25" ht="12.75" customHeight="1" x14ac:dyDescent="0.25">
      <c r="C63" s="3" t="s">
        <v>48</v>
      </c>
      <c r="F63" s="2"/>
      <c r="I63" s="2"/>
      <c r="O63" s="2"/>
      <c r="P63" s="69" t="s">
        <v>6</v>
      </c>
      <c r="Q63" s="69" t="s">
        <v>7</v>
      </c>
      <c r="R63" s="69" t="s">
        <v>8</v>
      </c>
      <c r="S63" s="69" t="s">
        <v>9</v>
      </c>
      <c r="T63" s="69" t="s">
        <v>10</v>
      </c>
      <c r="U63" s="69" t="s">
        <v>0</v>
      </c>
      <c r="Y63"/>
    </row>
    <row r="64" spans="1:25" ht="12.75" customHeight="1" x14ac:dyDescent="0.2">
      <c r="C64" s="24" t="s">
        <v>11</v>
      </c>
      <c r="D64" s="24" t="s">
        <v>49</v>
      </c>
      <c r="E64" s="24"/>
      <c r="F64" s="2"/>
      <c r="G64" s="66"/>
      <c r="H64" s="67"/>
      <c r="I64" s="2"/>
      <c r="J64" s="24"/>
      <c r="K64" s="24"/>
      <c r="L64" s="24"/>
      <c r="M64" s="24"/>
      <c r="N64" s="24"/>
      <c r="O64" s="2"/>
      <c r="P64" s="25">
        <f t="shared" ref="P64:T66" si="11">SUMIFS(P$10:P$60,$E$10:$E$60,$C64,$D$10:$D$60,$D64)</f>
        <v>8232063.9602407021</v>
      </c>
      <c r="Q64" s="25">
        <f t="shared" si="11"/>
        <v>469840.58907280146</v>
      </c>
      <c r="R64" s="25">
        <f t="shared" si="11"/>
        <v>3121896.2098369873</v>
      </c>
      <c r="S64" s="25">
        <f t="shared" si="11"/>
        <v>234993.18324087991</v>
      </c>
      <c r="T64" s="25">
        <f t="shared" si="11"/>
        <v>6904095.1195066944</v>
      </c>
      <c r="U64" s="71">
        <f>SUM(P64:T64)</f>
        <v>18962889.061898068</v>
      </c>
    </row>
    <row r="65" spans="3:22" ht="12.75" customHeight="1" x14ac:dyDescent="0.2">
      <c r="C65" s="1" t="s">
        <v>13</v>
      </c>
      <c r="D65" s="1" t="s">
        <v>49</v>
      </c>
      <c r="F65" s="2"/>
      <c r="G65" s="68"/>
      <c r="I65" s="2"/>
      <c r="O65" s="2"/>
      <c r="P65" s="6">
        <f t="shared" si="11"/>
        <v>152695.54132130649</v>
      </c>
      <c r="Q65" s="6">
        <f t="shared" si="11"/>
        <v>63200</v>
      </c>
      <c r="R65" s="6">
        <f t="shared" si="11"/>
        <v>13507.441369060094</v>
      </c>
      <c r="S65" s="6">
        <f t="shared" si="11"/>
        <v>0</v>
      </c>
      <c r="T65" s="6">
        <f t="shared" si="11"/>
        <v>763507.44136906008</v>
      </c>
      <c r="U65" s="72">
        <f t="shared" ref="U65:U70" si="12">SUM(P65:T65)</f>
        <v>992910.42405942664</v>
      </c>
    </row>
    <row r="66" spans="3:22" ht="12.75" customHeight="1" x14ac:dyDescent="0.2">
      <c r="C66" s="1" t="s">
        <v>14</v>
      </c>
      <c r="D66" s="1" t="s">
        <v>49</v>
      </c>
      <c r="F66" s="2"/>
      <c r="G66" s="68"/>
      <c r="I66" s="2"/>
      <c r="O66" s="2"/>
      <c r="P66" s="6">
        <f t="shared" si="11"/>
        <v>0</v>
      </c>
      <c r="Q66" s="6">
        <f t="shared" si="11"/>
        <v>0</v>
      </c>
      <c r="R66" s="6">
        <f t="shared" si="11"/>
        <v>0</v>
      </c>
      <c r="S66" s="6">
        <f t="shared" si="11"/>
        <v>0</v>
      </c>
      <c r="T66" s="6">
        <f t="shared" si="11"/>
        <v>0</v>
      </c>
      <c r="U66" s="72">
        <f t="shared" si="12"/>
        <v>0</v>
      </c>
    </row>
    <row r="67" spans="3:22" ht="12.75" customHeight="1" x14ac:dyDescent="0.2">
      <c r="C67" s="21" t="s">
        <v>15</v>
      </c>
      <c r="D67" s="21" t="s">
        <v>49</v>
      </c>
      <c r="E67" s="101"/>
      <c r="F67" s="103"/>
      <c r="G67" s="102"/>
      <c r="H67" s="104"/>
      <c r="I67" s="103"/>
      <c r="J67" s="101"/>
      <c r="K67" s="101"/>
      <c r="L67" s="101"/>
      <c r="M67" s="101"/>
      <c r="N67" s="101"/>
      <c r="O67" s="103"/>
      <c r="P67" s="22">
        <f>SUM(P64:P66)</f>
        <v>8384759.5015620086</v>
      </c>
      <c r="Q67" s="22">
        <f t="shared" ref="Q67:U67" si="13">SUM(Q64:Q66)</f>
        <v>533040.58907280141</v>
      </c>
      <c r="R67" s="22">
        <f t="shared" si="13"/>
        <v>3135403.6512060473</v>
      </c>
      <c r="S67" s="22">
        <f t="shared" si="13"/>
        <v>234993.18324087991</v>
      </c>
      <c r="T67" s="22">
        <f t="shared" si="13"/>
        <v>7667602.5608757548</v>
      </c>
      <c r="U67" s="22">
        <f t="shared" si="13"/>
        <v>19955799.485957496</v>
      </c>
    </row>
    <row r="68" spans="3:22" ht="12.75" customHeight="1" x14ac:dyDescent="0.2">
      <c r="C68" s="1" t="s">
        <v>11</v>
      </c>
      <c r="D68" s="1" t="s">
        <v>44</v>
      </c>
      <c r="F68" s="2"/>
      <c r="G68" s="68"/>
      <c r="I68" s="2"/>
      <c r="O68" s="2"/>
      <c r="P68" s="6">
        <f t="shared" ref="P68:T70" si="14">SUMIFS(P$10:P$60,$E$10:$E$60,$C68,$D$10:$D$60,$D68)</f>
        <v>0</v>
      </c>
      <c r="Q68" s="6">
        <f t="shared" si="14"/>
        <v>0</v>
      </c>
      <c r="R68" s="6">
        <f t="shared" si="14"/>
        <v>0</v>
      </c>
      <c r="S68" s="6">
        <f t="shared" si="14"/>
        <v>0</v>
      </c>
      <c r="T68" s="6">
        <f t="shared" si="14"/>
        <v>0</v>
      </c>
      <c r="U68" s="72">
        <f t="shared" si="12"/>
        <v>0</v>
      </c>
    </row>
    <row r="69" spans="3:22" ht="12.75" customHeight="1" x14ac:dyDescent="0.2">
      <c r="C69" s="1" t="s">
        <v>13</v>
      </c>
      <c r="D69" s="1" t="s">
        <v>44</v>
      </c>
      <c r="F69" s="2"/>
      <c r="G69" s="68"/>
      <c r="I69" s="2"/>
      <c r="O69" s="2"/>
      <c r="P69" s="6">
        <f t="shared" si="14"/>
        <v>0</v>
      </c>
      <c r="Q69" s="6">
        <f t="shared" si="14"/>
        <v>0</v>
      </c>
      <c r="R69" s="6">
        <f t="shared" si="14"/>
        <v>0</v>
      </c>
      <c r="S69" s="6">
        <f t="shared" si="14"/>
        <v>0</v>
      </c>
      <c r="T69" s="6">
        <f t="shared" si="14"/>
        <v>0</v>
      </c>
      <c r="U69" s="72">
        <f t="shared" si="12"/>
        <v>0</v>
      </c>
    </row>
    <row r="70" spans="3:22" ht="12.75" customHeight="1" x14ac:dyDescent="0.2">
      <c r="C70" s="1" t="s">
        <v>14</v>
      </c>
      <c r="D70" s="1" t="s">
        <v>44</v>
      </c>
      <c r="F70" s="2"/>
      <c r="G70" s="68"/>
      <c r="I70" s="2"/>
      <c r="O70" s="2"/>
      <c r="P70" s="6">
        <f t="shared" si="14"/>
        <v>0</v>
      </c>
      <c r="Q70" s="6">
        <f t="shared" si="14"/>
        <v>0</v>
      </c>
      <c r="R70" s="6">
        <f t="shared" si="14"/>
        <v>0</v>
      </c>
      <c r="S70" s="6">
        <f t="shared" si="14"/>
        <v>0</v>
      </c>
      <c r="T70" s="6">
        <f t="shared" si="14"/>
        <v>0</v>
      </c>
      <c r="U70" s="72">
        <f t="shared" si="12"/>
        <v>0</v>
      </c>
    </row>
    <row r="71" spans="3:22" ht="12.75" customHeight="1" x14ac:dyDescent="0.2">
      <c r="C71" s="21" t="s">
        <v>17</v>
      </c>
      <c r="D71" s="21" t="s">
        <v>44</v>
      </c>
      <c r="E71" s="101"/>
      <c r="F71" s="103"/>
      <c r="G71" s="102"/>
      <c r="H71" s="104"/>
      <c r="I71" s="103"/>
      <c r="J71" s="101"/>
      <c r="K71" s="101"/>
      <c r="L71" s="101"/>
      <c r="M71" s="101"/>
      <c r="N71" s="101"/>
      <c r="O71" s="103"/>
      <c r="P71" s="22">
        <f>SUM(P68:P70)</f>
        <v>0</v>
      </c>
      <c r="Q71" s="22">
        <f t="shared" ref="Q71:U71" si="15">SUM(Q68:Q70)</f>
        <v>0</v>
      </c>
      <c r="R71" s="22">
        <f t="shared" si="15"/>
        <v>0</v>
      </c>
      <c r="S71" s="22">
        <f t="shared" si="15"/>
        <v>0</v>
      </c>
      <c r="T71" s="22">
        <f t="shared" si="15"/>
        <v>0</v>
      </c>
      <c r="U71" s="22">
        <f t="shared" si="15"/>
        <v>0</v>
      </c>
    </row>
    <row r="72" spans="3:22" ht="12.75" customHeight="1" x14ac:dyDescent="0.2">
      <c r="F72" s="2"/>
      <c r="G72" s="68"/>
      <c r="I72" s="2"/>
      <c r="O72" s="2"/>
      <c r="P72" s="6"/>
      <c r="Q72" s="6"/>
      <c r="R72" s="6"/>
      <c r="S72" s="6"/>
      <c r="T72" s="6"/>
      <c r="U72" s="72"/>
    </row>
    <row r="73" spans="3:22" ht="12.75" customHeight="1" x14ac:dyDescent="0.2">
      <c r="C73" s="7" t="str">
        <f>"Total Expenditure ($ "&amp;Assumptions!$B$12&amp;")"</f>
        <v>Total Expenditure ($ June 2024)</v>
      </c>
      <c r="D73" s="7" t="s">
        <v>50</v>
      </c>
      <c r="E73" s="7"/>
      <c r="F73" s="2"/>
      <c r="G73" s="7"/>
      <c r="H73" s="10"/>
      <c r="I73" s="2"/>
      <c r="J73" s="7"/>
      <c r="K73" s="7"/>
      <c r="L73" s="7"/>
      <c r="M73" s="7"/>
      <c r="N73" s="7"/>
      <c r="O73" s="2"/>
      <c r="P73" s="8">
        <f>P67+P71</f>
        <v>8384759.5015620086</v>
      </c>
      <c r="Q73" s="8">
        <f t="shared" ref="Q73:T73" si="16">Q67+Q71</f>
        <v>533040.58907280141</v>
      </c>
      <c r="R73" s="8">
        <f t="shared" si="16"/>
        <v>3135403.6512060473</v>
      </c>
      <c r="S73" s="8">
        <f t="shared" si="16"/>
        <v>234993.18324087991</v>
      </c>
      <c r="T73" s="8">
        <f t="shared" si="16"/>
        <v>7667602.5608757548</v>
      </c>
      <c r="U73" s="73">
        <f t="shared" ref="U73" si="17">SUM(P73:T73)</f>
        <v>19955799.485957492</v>
      </c>
    </row>
    <row r="74" spans="3:22" ht="12.75" customHeight="1" x14ac:dyDescent="0.2">
      <c r="C74" s="45" t="s">
        <v>51</v>
      </c>
      <c r="D74" s="45"/>
      <c r="E74" s="45"/>
      <c r="F74" s="2"/>
      <c r="G74" s="45"/>
      <c r="H74" s="45"/>
      <c r="I74" s="2"/>
      <c r="J74" s="45"/>
      <c r="K74" s="45"/>
      <c r="L74" s="45"/>
      <c r="M74" s="45"/>
      <c r="N74" s="45"/>
      <c r="O74" s="2"/>
      <c r="P74" s="46">
        <f>P73-SUM(P$10:P$60)</f>
        <v>0</v>
      </c>
      <c r="Q74" s="46">
        <f t="shared" ref="Q74:T74" si="18">Q73-SUM(Q$10:Q$60)</f>
        <v>0</v>
      </c>
      <c r="R74" s="46">
        <f t="shared" si="18"/>
        <v>0</v>
      </c>
      <c r="S74" s="46">
        <f t="shared" si="18"/>
        <v>0</v>
      </c>
      <c r="T74" s="46">
        <f t="shared" si="18"/>
        <v>0</v>
      </c>
      <c r="U74" s="46">
        <f>U73-SUM(P$10:T$60)</f>
        <v>0</v>
      </c>
      <c r="V74" s="46">
        <f>SUM(P74:U74)</f>
        <v>0</v>
      </c>
    </row>
    <row r="75" spans="3:22" ht="12.75" customHeight="1" x14ac:dyDescent="0.2">
      <c r="F75" s="2"/>
      <c r="I75" s="2"/>
      <c r="O75" s="2"/>
    </row>
    <row r="76" spans="3:22" ht="12" customHeight="1" x14ac:dyDescent="0.2">
      <c r="C76" s="55" t="str">
        <f>"NPV ($ "&amp;Assumptions!$B$12&amp;")"</f>
        <v>NPV ($ June 2024)</v>
      </c>
      <c r="D76" s="56">
        <f>NPV(Real_Discount_rate,P73:T73)</f>
        <v>18087469.049371496</v>
      </c>
      <c r="F76" s="2"/>
      <c r="I76" s="2"/>
      <c r="O76" s="2"/>
    </row>
    <row r="77" spans="3:22" ht="12.75" customHeight="1" x14ac:dyDescent="0.2">
      <c r="F77" s="2"/>
      <c r="I77" s="2"/>
      <c r="O77" s="2"/>
    </row>
    <row r="78" spans="3:22" ht="12.75" customHeight="1" x14ac:dyDescent="0.2">
      <c r="F78" s="2"/>
      <c r="I78" s="2"/>
      <c r="O78" s="2"/>
    </row>
    <row r="79" spans="3:22" ht="12.75" customHeight="1" x14ac:dyDescent="0.2">
      <c r="C79" s="76" t="s">
        <v>52</v>
      </c>
      <c r="F79" s="2"/>
      <c r="I79" s="2"/>
      <c r="O79" s="2"/>
      <c r="P79" s="69" t="s">
        <v>6</v>
      </c>
      <c r="Q79" s="69" t="s">
        <v>7</v>
      </c>
      <c r="R79" s="69" t="s">
        <v>8</v>
      </c>
      <c r="S79" s="69" t="s">
        <v>9</v>
      </c>
      <c r="T79" s="69" t="s">
        <v>10</v>
      </c>
      <c r="U79" s="69" t="s">
        <v>0</v>
      </c>
    </row>
    <row r="80" spans="3:22" ht="12.75" customHeight="1" x14ac:dyDescent="0.2">
      <c r="C80" s="24" t="s">
        <v>11</v>
      </c>
      <c r="D80" s="24" t="s">
        <v>49</v>
      </c>
      <c r="E80" s="24"/>
      <c r="F80" s="2"/>
      <c r="G80" s="66"/>
      <c r="H80" s="67"/>
      <c r="I80" s="2"/>
      <c r="J80" s="24"/>
      <c r="K80" s="24"/>
      <c r="L80" s="24"/>
      <c r="M80" s="24"/>
      <c r="N80" s="24"/>
      <c r="O80" s="2"/>
      <c r="P80" s="25">
        <f t="shared" ref="P80:T82" si="19">P64*business_case_dollars</f>
        <v>9161568.0874621682</v>
      </c>
      <c r="Q80" s="25">
        <f t="shared" si="19"/>
        <v>522891.53337894415</v>
      </c>
      <c r="R80" s="25">
        <f t="shared" si="19"/>
        <v>3474397.772727624</v>
      </c>
      <c r="S80" s="25">
        <f t="shared" si="19"/>
        <v>261526.88545046787</v>
      </c>
      <c r="T80" s="25">
        <f t="shared" si="19"/>
        <v>7683654.7705621039</v>
      </c>
      <c r="U80" s="71">
        <f>SUM(P80:T80)</f>
        <v>21104039.049581308</v>
      </c>
    </row>
    <row r="81" spans="3:22" ht="12.75" customHeight="1" x14ac:dyDescent="0.2">
      <c r="C81" s="1" t="s">
        <v>13</v>
      </c>
      <c r="D81" s="1" t="s">
        <v>49</v>
      </c>
      <c r="F81" s="2"/>
      <c r="G81" s="68"/>
      <c r="I81" s="2"/>
      <c r="O81" s="2"/>
      <c r="P81" s="6">
        <f t="shared" si="19"/>
        <v>169936.79898790998</v>
      </c>
      <c r="Q81" s="6">
        <f t="shared" si="19"/>
        <v>70336.079253528907</v>
      </c>
      <c r="R81" s="6">
        <f t="shared" si="19"/>
        <v>15032.602320357686</v>
      </c>
      <c r="S81" s="6">
        <f t="shared" si="19"/>
        <v>0</v>
      </c>
      <c r="T81" s="6">
        <f t="shared" si="19"/>
        <v>849717.08713280514</v>
      </c>
      <c r="U81" s="72">
        <f t="shared" ref="U81:U82" si="20">SUM(P81:T81)</f>
        <v>1105022.5676946016</v>
      </c>
    </row>
    <row r="82" spans="3:22" ht="12.75" customHeight="1" x14ac:dyDescent="0.2">
      <c r="C82" s="1" t="s">
        <v>14</v>
      </c>
      <c r="D82" s="1" t="s">
        <v>49</v>
      </c>
      <c r="F82" s="2"/>
      <c r="G82" s="68"/>
      <c r="I82" s="2"/>
      <c r="O82" s="2"/>
      <c r="P82" s="6">
        <f t="shared" si="19"/>
        <v>0</v>
      </c>
      <c r="Q82" s="6">
        <f t="shared" si="19"/>
        <v>0</v>
      </c>
      <c r="R82" s="6">
        <f t="shared" si="19"/>
        <v>0</v>
      </c>
      <c r="S82" s="6">
        <f t="shared" si="19"/>
        <v>0</v>
      </c>
      <c r="T82" s="6">
        <f t="shared" si="19"/>
        <v>0</v>
      </c>
      <c r="U82" s="72">
        <f t="shared" si="20"/>
        <v>0</v>
      </c>
    </row>
    <row r="83" spans="3:22" ht="12.75" customHeight="1" x14ac:dyDescent="0.2">
      <c r="C83" s="21" t="s">
        <v>15</v>
      </c>
      <c r="D83" s="21" t="s">
        <v>49</v>
      </c>
      <c r="E83" s="101"/>
      <c r="F83" s="103"/>
      <c r="G83" s="102"/>
      <c r="H83" s="104"/>
      <c r="I83" s="103"/>
      <c r="J83" s="101"/>
      <c r="K83" s="101"/>
      <c r="L83" s="101"/>
      <c r="M83" s="101"/>
      <c r="N83" s="101"/>
      <c r="O83" s="103"/>
      <c r="P83" s="22">
        <f>SUM(P80:P82)</f>
        <v>9331504.8864500783</v>
      </c>
      <c r="Q83" s="22">
        <f t="shared" ref="Q83:U83" si="21">SUM(Q80:Q82)</f>
        <v>593227.612632473</v>
      </c>
      <c r="R83" s="22">
        <f t="shared" si="21"/>
        <v>3489430.3750479817</v>
      </c>
      <c r="S83" s="22">
        <f t="shared" si="21"/>
        <v>261526.88545046787</v>
      </c>
      <c r="T83" s="22">
        <f t="shared" si="21"/>
        <v>8533371.857694909</v>
      </c>
      <c r="U83" s="22">
        <f t="shared" si="21"/>
        <v>22209061.617275909</v>
      </c>
    </row>
    <row r="84" spans="3:22" ht="12.75" customHeight="1" x14ac:dyDescent="0.2">
      <c r="C84" s="1" t="s">
        <v>11</v>
      </c>
      <c r="D84" s="1" t="s">
        <v>44</v>
      </c>
      <c r="F84" s="2"/>
      <c r="G84" s="68"/>
      <c r="I84" s="2"/>
      <c r="O84" s="2"/>
      <c r="P84" s="25">
        <f t="shared" ref="P84:T86" si="22">P68*business_case_dollars</f>
        <v>0</v>
      </c>
      <c r="Q84" s="25">
        <f t="shared" si="22"/>
        <v>0</v>
      </c>
      <c r="R84" s="25">
        <f t="shared" si="22"/>
        <v>0</v>
      </c>
      <c r="S84" s="25">
        <f t="shared" si="22"/>
        <v>0</v>
      </c>
      <c r="T84" s="25">
        <f t="shared" si="22"/>
        <v>0</v>
      </c>
      <c r="U84" s="71">
        <f>SUM(P84:T84)</f>
        <v>0</v>
      </c>
    </row>
    <row r="85" spans="3:22" ht="12.75" customHeight="1" x14ac:dyDescent="0.2">
      <c r="C85" s="1" t="s">
        <v>13</v>
      </c>
      <c r="D85" s="1" t="s">
        <v>44</v>
      </c>
      <c r="F85" s="2"/>
      <c r="G85" s="68"/>
      <c r="I85" s="2"/>
      <c r="O85" s="2"/>
      <c r="P85" s="6">
        <f t="shared" si="22"/>
        <v>0</v>
      </c>
      <c r="Q85" s="6">
        <f t="shared" si="22"/>
        <v>0</v>
      </c>
      <c r="R85" s="6">
        <f t="shared" si="22"/>
        <v>0</v>
      </c>
      <c r="S85" s="6">
        <f t="shared" si="22"/>
        <v>0</v>
      </c>
      <c r="T85" s="6">
        <f t="shared" si="22"/>
        <v>0</v>
      </c>
      <c r="U85" s="72">
        <f t="shared" ref="U85:U86" si="23">SUM(P85:T85)</f>
        <v>0</v>
      </c>
    </row>
    <row r="86" spans="3:22" ht="12.75" customHeight="1" x14ac:dyDescent="0.2">
      <c r="C86" s="1" t="s">
        <v>14</v>
      </c>
      <c r="D86" s="1" t="s">
        <v>44</v>
      </c>
      <c r="F86" s="2"/>
      <c r="G86" s="68"/>
      <c r="I86" s="2"/>
      <c r="O86" s="2"/>
      <c r="P86" s="6">
        <f t="shared" si="22"/>
        <v>0</v>
      </c>
      <c r="Q86" s="6">
        <f t="shared" si="22"/>
        <v>0</v>
      </c>
      <c r="R86" s="6">
        <f t="shared" si="22"/>
        <v>0</v>
      </c>
      <c r="S86" s="6">
        <f t="shared" si="22"/>
        <v>0</v>
      </c>
      <c r="T86" s="6">
        <f t="shared" si="22"/>
        <v>0</v>
      </c>
      <c r="U86" s="72">
        <f t="shared" si="23"/>
        <v>0</v>
      </c>
    </row>
    <row r="87" spans="3:22" ht="12.75" customHeight="1" x14ac:dyDescent="0.2">
      <c r="C87" s="21" t="s">
        <v>17</v>
      </c>
      <c r="D87" s="21" t="s">
        <v>44</v>
      </c>
      <c r="E87" s="101"/>
      <c r="F87" s="103"/>
      <c r="G87" s="102"/>
      <c r="H87" s="104"/>
      <c r="I87" s="103"/>
      <c r="J87" s="101"/>
      <c r="K87" s="101"/>
      <c r="L87" s="101"/>
      <c r="M87" s="101"/>
      <c r="N87" s="101"/>
      <c r="O87" s="103"/>
      <c r="P87" s="22">
        <f>SUM(P84:P86)</f>
        <v>0</v>
      </c>
      <c r="Q87" s="22">
        <f t="shared" ref="Q87:U87" si="24">SUM(Q84:Q86)</f>
        <v>0</v>
      </c>
      <c r="R87" s="22">
        <f t="shared" si="24"/>
        <v>0</v>
      </c>
      <c r="S87" s="22">
        <f t="shared" si="24"/>
        <v>0</v>
      </c>
      <c r="T87" s="22">
        <f t="shared" si="24"/>
        <v>0</v>
      </c>
      <c r="U87" s="22">
        <f t="shared" si="24"/>
        <v>0</v>
      </c>
    </row>
    <row r="88" spans="3:22" ht="12.75" customHeight="1" x14ac:dyDescent="0.2">
      <c r="F88" s="2"/>
      <c r="G88" s="68"/>
      <c r="I88" s="2"/>
      <c r="O88" s="2"/>
      <c r="P88" s="6"/>
      <c r="Q88" s="6"/>
      <c r="R88" s="6"/>
      <c r="S88" s="6"/>
      <c r="T88" s="6"/>
      <c r="U88" s="72"/>
    </row>
    <row r="89" spans="3:22" x14ac:dyDescent="0.2">
      <c r="C89" s="7" t="str">
        <f>"Total Expenditure ($ "&amp;Assumptions!$C$35&amp;")"</f>
        <v>Total Expenditure ($ June 2026)</v>
      </c>
      <c r="D89" s="7" t="s">
        <v>50</v>
      </c>
      <c r="E89" s="7"/>
      <c r="F89" s="2"/>
      <c r="G89" s="7"/>
      <c r="H89" s="10"/>
      <c r="I89" s="2"/>
      <c r="J89" s="7"/>
      <c r="K89" s="7"/>
      <c r="L89" s="7"/>
      <c r="M89" s="7"/>
      <c r="N89" s="7"/>
      <c r="O89" s="2"/>
      <c r="P89" s="8">
        <f>P83+P87</f>
        <v>9331504.8864500783</v>
      </c>
      <c r="Q89" s="8">
        <f t="shared" ref="Q89:T89" si="25">Q83+Q87</f>
        <v>593227.612632473</v>
      </c>
      <c r="R89" s="8">
        <f t="shared" si="25"/>
        <v>3489430.3750479817</v>
      </c>
      <c r="S89" s="8">
        <f t="shared" si="25"/>
        <v>261526.88545046787</v>
      </c>
      <c r="T89" s="8">
        <f t="shared" si="25"/>
        <v>8533371.857694909</v>
      </c>
      <c r="U89" s="73">
        <f t="shared" ref="U89" si="26">SUM(P89:T89)</f>
        <v>22209061.617275909</v>
      </c>
    </row>
    <row r="90" spans="3:22" x14ac:dyDescent="0.2">
      <c r="F90" s="2"/>
      <c r="I90" s="2"/>
      <c r="O90" s="2"/>
      <c r="P90" s="46">
        <f>SUM(P10:P60)*business_case_dollars-P89</f>
        <v>0</v>
      </c>
      <c r="Q90" s="46">
        <f>SUM(Q10:Q60)*business_case_dollars-Q89</f>
        <v>0</v>
      </c>
      <c r="R90" s="46">
        <f>SUM(R10:R60)*business_case_dollars-R89</f>
        <v>0</v>
      </c>
      <c r="S90" s="46">
        <f>SUM(S10:S60)*business_case_dollars-S89</f>
        <v>0</v>
      </c>
      <c r="T90" s="46">
        <f>SUM(T10:T60)*business_case_dollars-T89</f>
        <v>0</v>
      </c>
      <c r="U90" s="46">
        <f>SUM(P10:T60)*business_case_dollars-U89</f>
        <v>0</v>
      </c>
      <c r="V90" s="46">
        <f>SUM(P90:U90)</f>
        <v>0</v>
      </c>
    </row>
    <row r="91" spans="3:22" x14ac:dyDescent="0.2">
      <c r="C91" s="55" t="str">
        <f>"NPV ($ "&amp;Assumptions!$C$35&amp;")"</f>
        <v>NPV ($ June 2026)</v>
      </c>
      <c r="D91" s="56">
        <f>NPV(Real_Discount_rate,P89:T89)</f>
        <v>20129773.046714313</v>
      </c>
      <c r="F91" s="2"/>
      <c r="I91" s="2"/>
      <c r="O91" s="2"/>
      <c r="P91" s="52"/>
      <c r="Q91" s="52"/>
      <c r="R91" s="52"/>
      <c r="S91" s="52"/>
      <c r="T91" s="52"/>
    </row>
  </sheetData>
  <conditionalFormatting sqref="G10:G60">
    <cfRule type="expression" dxfId="6" priority="7">
      <formula>$E10="Contracts"</formula>
    </cfRule>
    <cfRule type="expression" dxfId="5" priority="8">
      <formula>$E10="Materials"</formula>
    </cfRule>
    <cfRule type="expression" dxfId="4" priority="9">
      <formula>$E10="Labour"</formula>
    </cfRule>
  </conditionalFormatting>
  <conditionalFormatting sqref="P74:U74">
    <cfRule type="expression" dxfId="3" priority="1">
      <formula>ABS(P74)&gt;0.001</formula>
    </cfRule>
  </conditionalFormatting>
  <conditionalFormatting sqref="P90:U90">
    <cfRule type="expression" dxfId="2" priority="3">
      <formula>ABS(P90)&gt;0.001</formula>
    </cfRule>
  </conditionalFormatting>
  <conditionalFormatting sqref="V74">
    <cfRule type="expression" dxfId="1" priority="13">
      <formula>ABS(V74)&gt;0.001</formula>
    </cfRule>
  </conditionalFormatting>
  <conditionalFormatting sqref="V90">
    <cfRule type="expression" dxfId="0" priority="4">
      <formula>ABS(V90)&gt;0.001</formula>
    </cfRule>
  </conditionalFormatting>
  <dataValidations count="2">
    <dataValidation type="list" allowBlank="1" showInputMessage="1" showErrorMessage="1" sqref="E10:E60" xr:uid="{26E538AD-3FEB-49D4-AC67-0B06E2C98B23}">
      <formula1>"Labour, Materials, Contracts"</formula1>
    </dataValidation>
    <dataValidation type="list" allowBlank="1" showInputMessage="1" showErrorMessage="1" sqref="D10:D60" xr:uid="{FDE84A56-F23B-44AC-8FE1-49E4963B7378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7:T67 P83:U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CitiPower summary</vt:lpstr>
      <vt:lpstr>Project summary</vt:lpstr>
      <vt:lpstr>Assumptions</vt:lpstr>
      <vt:lpstr>Option 1</vt:lpstr>
      <vt:lpstr>Option 2</vt:lpstr>
      <vt:lpstr>Option 3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2025-01-21T03:00:06Z</dcterms:created>
  <dcterms:modified xsi:type="dcterms:W3CDTF">2025-01-21T04:56:40Z</dcterms:modified>
  <cp:category/>
  <cp:contentStatus/>
</cp:coreProperties>
</file>