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5CB02E0-A125-4288-A284-62B34787FC3E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88" r:id="rId1"/>
    <sheet name="CitiPower summary" sheetId="89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summary'!$A$1:$J$35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9" l="1"/>
  <c r="F27" i="89"/>
  <c r="F16" i="89"/>
  <c r="G33" i="89"/>
  <c r="H33" i="89"/>
  <c r="I33" i="89"/>
  <c r="J33" i="89"/>
  <c r="F33" i="89"/>
  <c r="F36" i="89" s="1"/>
  <c r="G22" i="89"/>
  <c r="H22" i="89"/>
  <c r="I22" i="89"/>
  <c r="J22" i="89"/>
  <c r="K22" i="89" s="1"/>
  <c r="K25" i="89" s="1"/>
  <c r="F22" i="89"/>
  <c r="J11" i="89"/>
  <c r="I11" i="89"/>
  <c r="H11" i="89"/>
  <c r="H14" i="89" s="1"/>
  <c r="G11" i="89"/>
  <c r="G14" i="89" s="1"/>
  <c r="F11" i="89"/>
  <c r="K11" i="89" s="1"/>
  <c r="K14" i="89" s="1"/>
  <c r="J36" i="89"/>
  <c r="I36" i="89"/>
  <c r="H36" i="89"/>
  <c r="G36" i="89"/>
  <c r="K35" i="89"/>
  <c r="K34" i="89"/>
  <c r="J25" i="89"/>
  <c r="I25" i="89"/>
  <c r="H25" i="89"/>
  <c r="G25" i="89"/>
  <c r="F25" i="89"/>
  <c r="K24" i="89"/>
  <c r="K23" i="89"/>
  <c r="J14" i="89"/>
  <c r="I14" i="89"/>
  <c r="F14" i="89"/>
  <c r="K13" i="89"/>
  <c r="K12" i="89"/>
  <c r="A3" i="89"/>
  <c r="A1" i="89"/>
  <c r="D6" i="88" a="1"/>
  <c r="D6" i="88" s="1"/>
  <c r="C5" i="88" a="1"/>
  <c r="C5" i="88" s="1"/>
  <c r="N15" i="84"/>
  <c r="T15" i="84" s="1"/>
  <c r="M15" i="84"/>
  <c r="L15" i="84"/>
  <c r="R15" i="84" s="1"/>
  <c r="K15" i="84"/>
  <c r="Q15" i="84" s="1"/>
  <c r="J15" i="84"/>
  <c r="P15" i="84" s="1"/>
  <c r="N14" i="84"/>
  <c r="T14" i="84" s="1"/>
  <c r="M14" i="84"/>
  <c r="S14" i="84" s="1"/>
  <c r="L14" i="84"/>
  <c r="R14" i="84" s="1"/>
  <c r="K14" i="84"/>
  <c r="Q14" i="84" s="1"/>
  <c r="J14" i="84"/>
  <c r="P14" i="84" s="1"/>
  <c r="N13" i="84"/>
  <c r="T13" i="84" s="1"/>
  <c r="M13" i="84"/>
  <c r="S13" i="84" s="1"/>
  <c r="L13" i="84"/>
  <c r="R13" i="84" s="1"/>
  <c r="K13" i="84"/>
  <c r="J13" i="84"/>
  <c r="P13" i="84" s="1"/>
  <c r="N12" i="84"/>
  <c r="T12" i="84" s="1"/>
  <c r="M12" i="84"/>
  <c r="S12" i="84" s="1"/>
  <c r="L12" i="84"/>
  <c r="R12" i="84" s="1"/>
  <c r="K12" i="84"/>
  <c r="Q12" i="84" s="1"/>
  <c r="J12" i="84"/>
  <c r="N11" i="84"/>
  <c r="M11" i="84"/>
  <c r="L11" i="84"/>
  <c r="K11" i="84"/>
  <c r="J11" i="84"/>
  <c r="N10" i="84"/>
  <c r="M10" i="84"/>
  <c r="L10" i="84"/>
  <c r="K10" i="84"/>
  <c r="J10" i="84"/>
  <c r="T21" i="84"/>
  <c r="S21" i="84"/>
  <c r="R21" i="84"/>
  <c r="Q21" i="84"/>
  <c r="P21" i="84"/>
  <c r="S15" i="84"/>
  <c r="Q13" i="84"/>
  <c r="N11" i="85"/>
  <c r="J11" i="85"/>
  <c r="T15" i="85"/>
  <c r="T14" i="85"/>
  <c r="S13" i="85"/>
  <c r="S12" i="85"/>
  <c r="S11" i="85"/>
  <c r="S10" i="85"/>
  <c r="R15" i="85"/>
  <c r="R14" i="85"/>
  <c r="R11" i="85"/>
  <c r="R10" i="85"/>
  <c r="Q15" i="85"/>
  <c r="Q14" i="85"/>
  <c r="Q13" i="85"/>
  <c r="Q12" i="85"/>
  <c r="Q11" i="85"/>
  <c r="Q10" i="85"/>
  <c r="N10" i="85"/>
  <c r="T10" i="85" s="1"/>
  <c r="J10" i="85"/>
  <c r="K33" i="89" l="1"/>
  <c r="K36" i="89" s="1"/>
  <c r="T11" i="85"/>
  <c r="P11" i="85"/>
  <c r="M15" i="85"/>
  <c r="S15" i="85" s="1"/>
  <c r="M14" i="85"/>
  <c r="S14" i="85" s="1"/>
  <c r="J15" i="85"/>
  <c r="P15" i="85" s="1"/>
  <c r="N12" i="85"/>
  <c r="T12" i="85" s="1"/>
  <c r="L12" i="85"/>
  <c r="R12" i="85" s="1"/>
  <c r="N13" i="85"/>
  <c r="T13" i="85" s="1"/>
  <c r="L13" i="85"/>
  <c r="R13" i="85" s="1"/>
  <c r="J14" i="85" l="1"/>
  <c r="P14" i="85" s="1"/>
  <c r="H15" i="85"/>
  <c r="H17" i="84"/>
  <c r="J12" i="85"/>
  <c r="P12" i="85" s="1"/>
  <c r="J13" i="85"/>
  <c r="P13" i="85" s="1"/>
  <c r="B14" i="74" l="1"/>
  <c r="G17" i="84" s="1"/>
  <c r="R17" i="84" l="1"/>
  <c r="S17" i="84"/>
  <c r="P17" i="84"/>
  <c r="T17" i="84"/>
  <c r="Q17" i="84"/>
  <c r="D6" i="89"/>
  <c r="C32" i="82"/>
  <c r="C23" i="82"/>
  <c r="C14" i="82"/>
  <c r="A3" i="82"/>
  <c r="B21" i="74" l="1"/>
  <c r="C73" i="85" l="1"/>
  <c r="C71" i="85"/>
  <c r="C64" i="85"/>
  <c r="C61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S24" i="85"/>
  <c r="H24" i="85"/>
  <c r="G24" i="85"/>
  <c r="R24" i="85" s="1"/>
  <c r="T23" i="85"/>
  <c r="R23" i="85"/>
  <c r="H23" i="85"/>
  <c r="G23" i="85"/>
  <c r="Q23" i="85" s="1"/>
  <c r="Q22" i="85"/>
  <c r="H22" i="85"/>
  <c r="G22" i="85"/>
  <c r="P22" i="85" s="1"/>
  <c r="R21" i="85"/>
  <c r="P21" i="85"/>
  <c r="H21" i="85"/>
  <c r="G21" i="85"/>
  <c r="T21" i="85" s="1"/>
  <c r="H20" i="85"/>
  <c r="G20" i="85"/>
  <c r="S20" i="85" s="1"/>
  <c r="H19" i="85"/>
  <c r="G19" i="85"/>
  <c r="H18" i="85"/>
  <c r="G18" i="85"/>
  <c r="H17" i="85"/>
  <c r="G17" i="85"/>
  <c r="H16" i="85"/>
  <c r="G16" i="85"/>
  <c r="H14" i="85"/>
  <c r="G14" i="85"/>
  <c r="H13" i="85"/>
  <c r="G13" i="85"/>
  <c r="H12" i="85"/>
  <c r="G12" i="85"/>
  <c r="H11" i="85"/>
  <c r="G11" i="85"/>
  <c r="H10" i="85"/>
  <c r="G10" i="85"/>
  <c r="A5" i="85"/>
  <c r="V3" i="85"/>
  <c r="A2" i="85"/>
  <c r="A1" i="85"/>
  <c r="C73" i="84"/>
  <c r="C71" i="84"/>
  <c r="C64" i="84"/>
  <c r="C61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H26" i="84"/>
  <c r="G26" i="84"/>
  <c r="S26" i="84" s="1"/>
  <c r="H25" i="84"/>
  <c r="G25" i="84"/>
  <c r="R25" i="84" s="1"/>
  <c r="H24" i="84"/>
  <c r="G24" i="84"/>
  <c r="Q24" i="84" s="1"/>
  <c r="H23" i="84"/>
  <c r="G23" i="84"/>
  <c r="P23" i="84" s="1"/>
  <c r="H22" i="84"/>
  <c r="G22" i="84"/>
  <c r="T22" i="84" s="1"/>
  <c r="H21" i="84"/>
  <c r="G21" i="84"/>
  <c r="H20" i="84"/>
  <c r="G20" i="84"/>
  <c r="H19" i="84"/>
  <c r="G19" i="84"/>
  <c r="H18" i="84"/>
  <c r="G18" i="84"/>
  <c r="H16" i="84"/>
  <c r="G16" i="84"/>
  <c r="H15" i="84"/>
  <c r="G15" i="84"/>
  <c r="H14" i="84"/>
  <c r="G14" i="84"/>
  <c r="H13" i="84"/>
  <c r="G13" i="84"/>
  <c r="H12" i="84"/>
  <c r="G12" i="84"/>
  <c r="H11" i="84"/>
  <c r="G11" i="84"/>
  <c r="T11" i="84" s="1"/>
  <c r="H10" i="84"/>
  <c r="G10" i="84"/>
  <c r="P10" i="84" s="1"/>
  <c r="A5" i="84"/>
  <c r="V3" i="84"/>
  <c r="A2" i="84"/>
  <c r="A1" i="84"/>
  <c r="J28" i="82"/>
  <c r="I28" i="82"/>
  <c r="H28" i="82"/>
  <c r="G28" i="82"/>
  <c r="F28" i="82"/>
  <c r="J19" i="82"/>
  <c r="I19" i="82"/>
  <c r="H19" i="82"/>
  <c r="G19" i="82"/>
  <c r="F19" i="82"/>
  <c r="A2" i="82"/>
  <c r="A1" i="82"/>
  <c r="C73" i="79"/>
  <c r="C71" i="79"/>
  <c r="C36" i="74"/>
  <c r="C37" i="74" s="1"/>
  <c r="T20" i="85" l="1"/>
  <c r="Q20" i="85"/>
  <c r="S18" i="84"/>
  <c r="R18" i="84"/>
  <c r="Q18" i="84"/>
  <c r="P18" i="84"/>
  <c r="T18" i="84"/>
  <c r="T19" i="84"/>
  <c r="S19" i="84"/>
  <c r="Q19" i="84"/>
  <c r="R19" i="84"/>
  <c r="P19" i="84"/>
  <c r="Q20" i="84"/>
  <c r="P20" i="84"/>
  <c r="T20" i="84"/>
  <c r="S20" i="84"/>
  <c r="R20" i="84"/>
  <c r="P16" i="84"/>
  <c r="T16" i="84"/>
  <c r="S16" i="84"/>
  <c r="R16" i="84"/>
  <c r="Q16" i="84"/>
  <c r="T17" i="85"/>
  <c r="P17" i="85"/>
  <c r="Q17" i="85"/>
  <c r="R17" i="85"/>
  <c r="S17" i="85"/>
  <c r="T19" i="85"/>
  <c r="P19" i="85"/>
  <c r="Q19" i="85"/>
  <c r="R19" i="85"/>
  <c r="S19" i="85"/>
  <c r="P18" i="85"/>
  <c r="R18" i="85"/>
  <c r="T18" i="85"/>
  <c r="Q18" i="85"/>
  <c r="S18" i="85"/>
  <c r="S16" i="85"/>
  <c r="T16" i="85"/>
  <c r="P16" i="85"/>
  <c r="Q16" i="85"/>
  <c r="R16" i="85"/>
  <c r="S25" i="84"/>
  <c r="P22" i="84"/>
  <c r="R24" i="84"/>
  <c r="S23" i="84"/>
  <c r="T26" i="84"/>
  <c r="S22" i="85"/>
  <c r="R22" i="84"/>
  <c r="S22" i="84"/>
  <c r="Q23" i="84"/>
  <c r="P20" i="85"/>
  <c r="Q21" i="85"/>
  <c r="R22" i="85"/>
  <c r="S23" i="85"/>
  <c r="T24" i="85"/>
  <c r="R20" i="85"/>
  <c r="S21" i="85"/>
  <c r="T22" i="85"/>
  <c r="P24" i="85"/>
  <c r="P23" i="85"/>
  <c r="Q24" i="85"/>
  <c r="Q22" i="84"/>
  <c r="R23" i="84"/>
  <c r="S24" i="84"/>
  <c r="T25" i="84"/>
  <c r="T24" i="84"/>
  <c r="T23" i="84"/>
  <c r="P26" i="84"/>
  <c r="P25" i="84"/>
  <c r="Q26" i="84"/>
  <c r="P24" i="84"/>
  <c r="Q25" i="84"/>
  <c r="R26" i="84"/>
  <c r="T59" i="85"/>
  <c r="T60" i="85"/>
  <c r="P60" i="85"/>
  <c r="S60" i="85"/>
  <c r="Q10" i="84"/>
  <c r="S60" i="84"/>
  <c r="Q60" i="85"/>
  <c r="R11" i="84"/>
  <c r="R10" i="84"/>
  <c r="T60" i="84"/>
  <c r="R60" i="85"/>
  <c r="Q60" i="84"/>
  <c r="S10" i="84"/>
  <c r="R60" i="84"/>
  <c r="T10" i="84"/>
  <c r="T59" i="84" s="1"/>
  <c r="P60" i="84"/>
  <c r="P10" i="85"/>
  <c r="P12" i="84"/>
  <c r="P11" i="84"/>
  <c r="Q11" i="84"/>
  <c r="S11" i="84"/>
  <c r="R59" i="84" l="1"/>
  <c r="S59" i="84"/>
  <c r="P59" i="84"/>
  <c r="P59" i="85"/>
  <c r="S59" i="85"/>
  <c r="R59" i="85"/>
  <c r="Q59" i="85"/>
  <c r="T58" i="84"/>
  <c r="Q59" i="84"/>
  <c r="S58" i="84"/>
  <c r="T58" i="85"/>
  <c r="U60" i="84"/>
  <c r="R58" i="84"/>
  <c r="Q58" i="84"/>
  <c r="R58" i="85"/>
  <c r="P58" i="84"/>
  <c r="S58" i="85"/>
  <c r="U60" i="85"/>
  <c r="Q58" i="85"/>
  <c r="P58" i="85"/>
  <c r="C64" i="79"/>
  <c r="U59" i="84" l="1"/>
  <c r="U59" i="85"/>
  <c r="T61" i="84"/>
  <c r="T62" i="84" s="1"/>
  <c r="T61" i="85"/>
  <c r="T62" i="85" s="1"/>
  <c r="S61" i="84"/>
  <c r="S62" i="84" s="1"/>
  <c r="R61" i="84"/>
  <c r="R62" i="84" s="1"/>
  <c r="S61" i="85"/>
  <c r="S62" i="85" s="1"/>
  <c r="Q61" i="84"/>
  <c r="Q62" i="84" s="1"/>
  <c r="R61" i="85"/>
  <c r="R62" i="85" s="1"/>
  <c r="U58" i="84"/>
  <c r="P61" i="84"/>
  <c r="Q61" i="85"/>
  <c r="Q62" i="85" s="1"/>
  <c r="P61" i="85"/>
  <c r="U58" i="85"/>
  <c r="A2" i="79"/>
  <c r="A1" i="79"/>
  <c r="A2" i="74"/>
  <c r="A1" i="74"/>
  <c r="C61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R16" i="79"/>
  <c r="Q16" i="79"/>
  <c r="P16" i="79"/>
  <c r="H16" i="79"/>
  <c r="G16" i="79"/>
  <c r="T15" i="79"/>
  <c r="S15" i="79"/>
  <c r="R15" i="79"/>
  <c r="Q15" i="79"/>
  <c r="P15" i="79"/>
  <c r="H15" i="79"/>
  <c r="G15" i="79"/>
  <c r="T14" i="79"/>
  <c r="S14" i="79"/>
  <c r="R14" i="79"/>
  <c r="Q14" i="79"/>
  <c r="P14" i="79"/>
  <c r="H14" i="79"/>
  <c r="G14" i="79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P62" i="84" l="1"/>
  <c r="V62" i="84" s="1"/>
  <c r="D64" i="84"/>
  <c r="D64" i="85"/>
  <c r="U61" i="84"/>
  <c r="P62" i="85"/>
  <c r="V62" i="85" s="1"/>
  <c r="U61" i="85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59" i="79"/>
  <c r="T11" i="79"/>
  <c r="S10" i="79"/>
  <c r="R11" i="79"/>
  <c r="Q10" i="79"/>
  <c r="R10" i="79"/>
  <c r="Q11" i="79"/>
  <c r="P13" i="79"/>
  <c r="Q13" i="79"/>
  <c r="P11" i="79"/>
  <c r="R13" i="79"/>
  <c r="S13" i="79"/>
  <c r="P59" i="79" l="1"/>
  <c r="R59" i="79"/>
  <c r="T58" i="79"/>
  <c r="S59" i="79"/>
  <c r="U60" i="79"/>
  <c r="P58" i="79"/>
  <c r="R58" i="79"/>
  <c r="Q58" i="79"/>
  <c r="Q59" i="79"/>
  <c r="S58" i="79"/>
  <c r="T61" i="79" l="1"/>
  <c r="T62" i="79" s="1"/>
  <c r="U59" i="79"/>
  <c r="U58" i="79"/>
  <c r="S61" i="79"/>
  <c r="S62" i="79" s="1"/>
  <c r="R61" i="79"/>
  <c r="R62" i="79" s="1"/>
  <c r="P61" i="79"/>
  <c r="Q61" i="79"/>
  <c r="Q62" i="79" s="1"/>
  <c r="D64" i="79" l="1"/>
  <c r="P62" i="79"/>
  <c r="V62" i="79" s="1"/>
  <c r="U61" i="79"/>
  <c r="T70" i="85" l="1"/>
  <c r="P70" i="85"/>
  <c r="F31" i="82" s="1"/>
  <c r="P70" i="84"/>
  <c r="F22" i="82" s="1"/>
  <c r="R69" i="85"/>
  <c r="Q69" i="84"/>
  <c r="T68" i="84"/>
  <c r="R70" i="85"/>
  <c r="Q70" i="85"/>
  <c r="P69" i="85"/>
  <c r="F30" i="82" s="1"/>
  <c r="T69" i="85"/>
  <c r="S70" i="84"/>
  <c r="P69" i="84"/>
  <c r="F21" i="82" s="1"/>
  <c r="R69" i="84"/>
  <c r="T69" i="84"/>
  <c r="T68" i="85"/>
  <c r="J29" i="82" s="1"/>
  <c r="Q70" i="84"/>
  <c r="S69" i="84"/>
  <c r="S69" i="85"/>
  <c r="R70" i="84"/>
  <c r="S70" i="85"/>
  <c r="Q69" i="85"/>
  <c r="T70" i="84"/>
  <c r="S68" i="84"/>
  <c r="R68" i="84"/>
  <c r="Q68" i="85"/>
  <c r="S68" i="85"/>
  <c r="Q68" i="84"/>
  <c r="P68" i="84"/>
  <c r="F20" i="82" s="1"/>
  <c r="R68" i="85"/>
  <c r="P68" i="85"/>
  <c r="F29" i="82" s="1"/>
  <c r="T70" i="79"/>
  <c r="J13" i="82" s="1"/>
  <c r="P70" i="79"/>
  <c r="F13" i="82" s="1"/>
  <c r="Q70" i="79"/>
  <c r="G13" i="82" s="1"/>
  <c r="R70" i="79"/>
  <c r="H13" i="82" s="1"/>
  <c r="S70" i="79"/>
  <c r="I13" i="82" s="1"/>
  <c r="T69" i="79"/>
  <c r="J12" i="82" s="1"/>
  <c r="T68" i="79"/>
  <c r="J11" i="82" s="1"/>
  <c r="S69" i="79"/>
  <c r="I12" i="82" s="1"/>
  <c r="P69" i="79"/>
  <c r="F12" i="82" s="1"/>
  <c r="R69" i="79"/>
  <c r="H12" i="82" s="1"/>
  <c r="S68" i="79"/>
  <c r="I11" i="82" s="1"/>
  <c r="Q68" i="79"/>
  <c r="G11" i="82" s="1"/>
  <c r="R68" i="79"/>
  <c r="H11" i="82" s="1"/>
  <c r="P68" i="79"/>
  <c r="F11" i="82" s="1"/>
  <c r="Q69" i="79"/>
  <c r="G12" i="82" s="1"/>
  <c r="H31" i="82" l="1"/>
  <c r="G31" i="82"/>
  <c r="I31" i="82"/>
  <c r="H30" i="82"/>
  <c r="G30" i="82"/>
  <c r="J30" i="82"/>
  <c r="I30" i="82"/>
  <c r="J31" i="82"/>
  <c r="J20" i="82"/>
  <c r="G21" i="82"/>
  <c r="G22" i="82"/>
  <c r="J21" i="82"/>
  <c r="H21" i="82"/>
  <c r="G20" i="82"/>
  <c r="I20" i="82"/>
  <c r="I22" i="82"/>
  <c r="H20" i="82"/>
  <c r="J22" i="82"/>
  <c r="H22" i="82"/>
  <c r="I21" i="82"/>
  <c r="G29" i="82"/>
  <c r="I29" i="82"/>
  <c r="H29" i="82"/>
  <c r="F14" i="82"/>
  <c r="H14" i="82"/>
  <c r="F32" i="82"/>
  <c r="T71" i="85"/>
  <c r="Q71" i="84"/>
  <c r="R71" i="84"/>
  <c r="S71" i="84"/>
  <c r="U68" i="85"/>
  <c r="P71" i="85"/>
  <c r="T71" i="84"/>
  <c r="P71" i="84"/>
  <c r="D73" i="84" s="1"/>
  <c r="U68" i="84"/>
  <c r="R71" i="85"/>
  <c r="U69" i="84"/>
  <c r="U70" i="84"/>
  <c r="S71" i="85"/>
  <c r="U70" i="85"/>
  <c r="Q71" i="85"/>
  <c r="U69" i="85"/>
  <c r="G14" i="82"/>
  <c r="R71" i="79"/>
  <c r="U70" i="79"/>
  <c r="T71" i="79"/>
  <c r="S71" i="79"/>
  <c r="Q71" i="79"/>
  <c r="U69" i="79"/>
  <c r="U68" i="79"/>
  <c r="P71" i="79"/>
  <c r="D73" i="79" l="1"/>
  <c r="D73" i="85"/>
  <c r="K11" i="82"/>
  <c r="H32" i="82"/>
  <c r="K12" i="82"/>
  <c r="K13" i="82"/>
  <c r="I14" i="82"/>
  <c r="G32" i="82"/>
  <c r="J14" i="82"/>
  <c r="K30" i="82"/>
  <c r="K29" i="82"/>
  <c r="J32" i="82"/>
  <c r="K31" i="82"/>
  <c r="I32" i="82"/>
  <c r="U71" i="85"/>
  <c r="U71" i="84"/>
  <c r="U71" i="79"/>
  <c r="F16" i="82" l="1"/>
  <c r="F34" i="82"/>
  <c r="K14" i="82"/>
  <c r="L14" i="82" s="1"/>
  <c r="K32" i="82"/>
  <c r="L32" i="82" l="1"/>
  <c r="K20" i="82" l="1"/>
  <c r="I23" i="82" l="1"/>
  <c r="J23" i="82"/>
  <c r="H23" i="82" l="1"/>
  <c r="F23" i="82"/>
  <c r="K21" i="82"/>
  <c r="G23" i="82"/>
  <c r="F25" i="82" l="1"/>
  <c r="K22" i="82"/>
  <c r="K23" i="82" l="1"/>
  <c r="L23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<sst xmlns="http://schemas.openxmlformats.org/spreadsheetml/2006/main" count="327" uniqueCount="82">
  <si>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</si>
  <si>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</si>
  <si>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</si>
  <si>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</si>
  <si>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</si>
  <si>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</si>
  <si>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</si>
  <si>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</si>
  <si>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</si>
  <si>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</si>
  <si>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</si>
  <si>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</si>
  <si>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Materials</t>
  </si>
  <si>
    <t>Contracts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</si>
  <si>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</si>
  <si>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</si>
  <si>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</si>
  <si>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</si>
  <si>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</si>
  <si>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</si>
  <si>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</si>
  <si>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</si>
  <si>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</si>
  <si>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</si>
  <si>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</si>
  <si>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</si>
  <si>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</si>
  <si>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</si>
  <si>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</si>
  <si>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</si>
  <si>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</si>
  <si>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</si>
  <si>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</si>
  <si>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</si>
  <si>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</si>
  <si>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</t>
  </si>
  <si>
    <t>L / M / C</t>
  </si>
  <si>
    <t>Unit rate</t>
  </si>
  <si>
    <t>Units</t>
  </si>
  <si>
    <t>Quantity of units</t>
  </si>
  <si>
    <t>Cost ($)</t>
  </si>
  <si>
    <t>Summary</t>
  </si>
  <si>
    <t>Check</t>
  </si>
  <si>
    <t>Summary for Regulation - for Business Case</t>
  </si>
  <si>
    <t>Laptop (Standard)</t>
  </si>
  <si>
    <t>Desktop</t>
  </si>
  <si>
    <t>iPhone (Standard)</t>
  </si>
  <si>
    <t>iPhone (Pro to support LiDAR)</t>
  </si>
  <si>
    <t>iPad (Standard)</t>
  </si>
  <si>
    <t>iPad (Pro to support LiDAR)</t>
  </si>
  <si>
    <t xml:space="preserve">Laptop </t>
  </si>
  <si>
    <t xml:space="preserve">Desktop </t>
  </si>
  <si>
    <t>iPhone</t>
  </si>
  <si>
    <t>iPad</t>
  </si>
  <si>
    <t>Meeting room technology - Internal Labour</t>
  </si>
  <si>
    <t>Meeting room technology - Hardware</t>
  </si>
  <si>
    <t>Meeting room tech - Internal Labour</t>
  </si>
  <si>
    <t>Meeting room tech - Hardware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</si>
  <si>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</si>
  <si>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</si>
  <si>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</si>
  <si>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</si>
  <si>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</si>
  <si>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</si>
  <si>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</si>
  <si>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Totex</t>
  </si>
  <si>
    <t>End user device management</t>
  </si>
  <si>
    <t>$ June 2018 (2021-26 reset)</t>
  </si>
  <si>
    <t>$ June 2023</t>
  </si>
  <si>
    <t>$ June 2024</t>
  </si>
  <si>
    <t>Capex not relevant to this option (do nothing)</t>
  </si>
  <si>
    <t>CP &amp; PAL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</si>
  <si>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</si>
  <si>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</si>
  <si>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</si>
  <si>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</si>
  <si>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</si>
  <si>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</si>
  <si>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 xml:space="preserve">Escalation: </t>
  </si>
  <si>
    <t>Do not maintain device currency</t>
  </si>
  <si>
    <t>Replaces devices at end of useful life</t>
  </si>
  <si>
    <t>Replace in bulk at the beginning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</si>
</sst>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1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167" fontId="28" fillId="6" borderId="2" xfId="0" applyNumberFormat="1" applyFont="1" applyFill="1" applyBorder="1"/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1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2" fontId="46" fillId="0" borderId="0" xfId="33" applyNumberFormat="1" applyFont="1" applyAlignment="1">
      <alignment horizontal="left"/>
    </xf>
    <xf numFmtId="0" fontId="47" fillId="0" borderId="0" xfId="33" applyFont="1"/>
    <xf numFmtId="173" fontId="48" fillId="0" borderId="0" xfId="33" applyNumberFormat="1" applyFont="1" applyAlignment="1">
      <alignment horizontal="left"/>
    </xf>
    <xf numFmtId="0" fontId="49" fillId="0" borderId="0" xfId="33" applyFont="1"/>
    <xf numFmtId="49" fontId="23" fillId="0" borderId="0" xfId="0" applyNumberFormat="1" applyFont="1" applyAlignment="1">
      <alignment horizontal="right"/>
    </xf>
    <xf numFmtId="10" fontId="29" fillId="2" borderId="14" xfId="26" applyNumberFormat="1" applyFont="1" applyFill="1" applyBorder="1" applyProtection="1">
      <protection locked="0"/>
    </xf>
    <xf numFmtId="10" fontId="29" fillId="2" borderId="13" xfId="26" applyNumberFormat="1" applyFont="1" applyFill="1" applyBorder="1" applyProtection="1">
      <protection locked="0"/>
    </xf>
    <xf numFmtId="0" fontId="50" fillId="0" borderId="0" xfId="0" applyFont="1"/>
    <xf numFmtId="0" fontId="12" fillId="0" borderId="5" xfId="0" applyFont="1" applyBorder="1"/>
    <xf numFmtId="166" fontId="12" fillId="0" borderId="5" xfId="0" applyNumberFormat="1" applyFont="1" applyBorder="1" applyAlignment="1">
      <alignment horizontal="right" vertical="top"/>
    </xf>
    <xf numFmtId="0" fontId="51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1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C6DBD44B-2ED3-463F-B0FD-417600658E6F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DAF47240-8DBC-484C-A4D6-92F60303DD03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7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2F17702C-9A2F-4F20-AF86-65377CBE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DEAD-423E-45FB-8DE0-1F67610ACFCD}">
  <dimension ref="A1:K43"/>
  <sheetViews>
    <sheetView showGridLines="0" workbookViewId="0">
      <selection activeCell="I22" sqref="I22"/>
    </sheetView>
  </sheetViews>
  <sheetFormatPr defaultColWidth="0" defaultRowHeight="12.95" customHeight="1" zeroHeight="1" x14ac:dyDescent="0.2"/>
  <cols>
    <col min="1" max="1" width="12.85546875" style="109" customWidth="1"/>
    <col min="2" max="2" width="2.5703125" style="109" customWidth="1"/>
    <col min="3" max="3" width="16.85546875" style="109" customWidth="1"/>
    <col min="4" max="11" width="10.5703125" style="109" customWidth="1"/>
    <col min="12" max="16384" width="10.5703125" style="109" hidden="1"/>
  </cols>
  <sheetData>
    <row r="1" spans="1:11" ht="15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3.25" x14ac:dyDescent="0.35">
      <c r="A2" s="107"/>
      <c r="B2" s="108"/>
      <c r="C2" s="110" t="s">
        <v>27</v>
      </c>
      <c r="D2" s="111"/>
      <c r="E2" s="111"/>
      <c r="F2" s="108"/>
      <c r="G2" s="108"/>
      <c r="H2" s="108"/>
      <c r="I2" s="108"/>
      <c r="J2" s="108"/>
      <c r="K2" s="108"/>
    </row>
    <row r="3" spans="1:11" ht="15.75" x14ac:dyDescent="0.25">
      <c r="A3" s="107"/>
      <c r="B3" s="108"/>
      <c r="C3" s="112" t="s">
        <v>59</v>
      </c>
      <c r="D3" s="111"/>
      <c r="E3" s="111"/>
      <c r="F3" s="108"/>
      <c r="G3" s="108"/>
      <c r="H3" s="108"/>
      <c r="I3" s="108"/>
      <c r="J3" s="108"/>
      <c r="K3" s="108"/>
    </row>
    <row r="4" spans="1:11" ht="15" x14ac:dyDescent="0.25">
      <c r="A4" s="107"/>
      <c r="B4" s="108"/>
      <c r="C4" s="108"/>
      <c r="D4" s="111"/>
      <c r="E4" s="111"/>
      <c r="F4" s="108"/>
      <c r="G4" s="108"/>
      <c r="H4" s="108"/>
      <c r="I4" s="108"/>
      <c r="J4" s="108"/>
      <c r="K4" s="108"/>
    </row>
    <row r="5" spans="1:11" ht="15" x14ac:dyDescent="0.25">
      <c r="A5" s="107"/>
      <c r="B5" s="108"/>
      <c r="C5" s="11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End user device management cost</v>
      </c>
      <c r="D5" s="108"/>
      <c r="E5" s="108"/>
      <c r="F5" s="108"/>
      <c r="G5" s="108"/>
      <c r="H5" s="108"/>
      <c r="I5" s="108"/>
      <c r="J5" s="108"/>
      <c r="K5" s="108"/>
    </row>
    <row r="6" spans="1:11" ht="15" x14ac:dyDescent="0.25">
      <c r="A6" s="107"/>
      <c r="B6" s="108"/>
      <c r="C6" s="114" t="s">
        <v>60</v>
      </c>
      <c r="D6" s="115" t="str" cm="1">
        <f t="array" aca="1" ref="D6" ca="1">LEFT(_xlfn.TEXTAFTER(CELL("filename")," MOD "),FIND(" - ",_xlfn.TEXTAFTER(CELL("filename")," MOD "),1)-1)</f>
        <v>6.15</v>
      </c>
      <c r="E6" s="114"/>
      <c r="F6" s="108"/>
      <c r="G6" s="108"/>
      <c r="H6" s="108"/>
      <c r="I6" s="108"/>
      <c r="J6" s="108"/>
      <c r="K6" s="108"/>
    </row>
    <row r="7" spans="1:11" ht="15" x14ac:dyDescent="0.25">
      <c r="A7" s="107"/>
      <c r="B7" s="108"/>
      <c r="C7" s="108"/>
      <c r="D7" s="108"/>
      <c r="E7" s="108"/>
      <c r="F7" s="116"/>
      <c r="G7" s="116"/>
      <c r="H7" s="116"/>
      <c r="I7" s="108"/>
      <c r="J7" s="116"/>
      <c r="K7" s="116"/>
    </row>
    <row r="8" spans="1:11" ht="15" x14ac:dyDescent="0.25">
      <c r="A8" s="107"/>
      <c r="B8" s="108"/>
      <c r="C8" s="117">
        <v>45688</v>
      </c>
      <c r="D8" s="108"/>
      <c r="E8" s="108"/>
      <c r="F8" s="116"/>
      <c r="G8" s="116"/>
      <c r="H8" s="116"/>
      <c r="I8" s="108"/>
      <c r="J8" s="116"/>
      <c r="K8" s="116"/>
    </row>
    <row r="9" spans="1:11" ht="15" x14ac:dyDescent="0.25">
      <c r="A9" s="107"/>
      <c r="B9" s="108"/>
      <c r="C9" s="118"/>
      <c r="D9" s="118"/>
      <c r="E9" s="108"/>
      <c r="F9" s="116"/>
      <c r="G9" s="116"/>
      <c r="H9" s="116"/>
      <c r="I9" s="116"/>
      <c r="J9" s="116"/>
      <c r="K9" s="116"/>
    </row>
    <row r="10" spans="1:11" ht="15" x14ac:dyDescent="0.25">
      <c r="A10" s="107"/>
      <c r="B10" s="108"/>
      <c r="C10" s="118"/>
      <c r="D10" s="118"/>
      <c r="E10" s="108"/>
      <c r="F10" s="116"/>
      <c r="G10" s="116"/>
      <c r="H10" s="116"/>
      <c r="I10" s="116"/>
      <c r="J10" s="116"/>
      <c r="K10" s="116"/>
    </row>
    <row r="11" spans="1:11" ht="15" x14ac:dyDescent="0.25">
      <c r="A11" s="107"/>
      <c r="B11" s="108"/>
      <c r="C11" s="118"/>
      <c r="D11" s="118"/>
      <c r="E11" s="108"/>
      <c r="F11" s="116"/>
      <c r="G11" s="116"/>
      <c r="H11" s="116"/>
      <c r="I11" s="116"/>
      <c r="J11" s="116"/>
      <c r="K11" s="116"/>
    </row>
    <row r="12" spans="1:11" ht="15" x14ac:dyDescent="0.25">
      <c r="A12" s="107"/>
      <c r="B12" s="108"/>
      <c r="C12" s="118"/>
      <c r="D12" s="118"/>
      <c r="E12" s="108"/>
      <c r="F12" s="116"/>
      <c r="G12" s="116"/>
      <c r="H12" s="116"/>
      <c r="I12" s="116"/>
      <c r="J12" s="116"/>
      <c r="K12" s="116"/>
    </row>
    <row r="13" spans="1:11" ht="15" x14ac:dyDescent="0.25">
      <c r="A13" s="107"/>
      <c r="B13" s="108"/>
      <c r="C13" s="118"/>
      <c r="D13" s="118"/>
      <c r="E13" s="108"/>
      <c r="F13" s="116"/>
      <c r="G13" s="116"/>
      <c r="H13" s="116"/>
      <c r="I13" s="116"/>
      <c r="J13" s="116"/>
      <c r="K13" s="116"/>
    </row>
    <row r="14" spans="1:11" ht="15" x14ac:dyDescent="0.25">
      <c r="A14" s="107"/>
      <c r="B14" s="108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15" x14ac:dyDescent="0.25">
      <c r="A15" s="107"/>
      <c r="B15" s="108"/>
      <c r="C15" s="113"/>
      <c r="D15" s="116"/>
      <c r="E15" s="116"/>
      <c r="F15" s="116"/>
      <c r="G15" s="116"/>
      <c r="H15" s="116"/>
      <c r="I15" s="116"/>
      <c r="J15" s="116"/>
      <c r="K15" s="116"/>
    </row>
    <row r="16" spans="1:11" ht="15" x14ac:dyDescent="0.25">
      <c r="A16" s="107"/>
      <c r="B16" s="108"/>
      <c r="C16" s="113"/>
      <c r="D16" s="116"/>
      <c r="E16" s="116"/>
      <c r="F16" s="116"/>
      <c r="G16" s="116"/>
      <c r="H16" s="116"/>
      <c r="I16" s="116"/>
      <c r="J16" s="116"/>
      <c r="K16" s="116"/>
    </row>
    <row r="17" spans="1:11" ht="15" x14ac:dyDescent="0.25">
      <c r="A17" s="107"/>
      <c r="B17" s="108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ht="15" x14ac:dyDescent="0.25">
      <c r="A18" s="107"/>
      <c r="B18" s="108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15" x14ac:dyDescent="0.25">
      <c r="A19" s="107"/>
      <c r="B19" s="108"/>
      <c r="C19" s="116"/>
      <c r="D19" s="116"/>
      <c r="E19" s="116"/>
      <c r="F19" s="116"/>
      <c r="H19" s="116"/>
      <c r="I19" s="116"/>
      <c r="J19" s="116"/>
      <c r="K19" s="116"/>
    </row>
    <row r="20" spans="1:11" ht="15" x14ac:dyDescent="0.25">
      <c r="A20" s="107"/>
      <c r="B20" s="108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15" x14ac:dyDescent="0.25">
      <c r="A21" s="107"/>
      <c r="B21" s="108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15" x14ac:dyDescent="0.25">
      <c r="A22" s="107"/>
      <c r="B22" s="108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15" x14ac:dyDescent="0.25">
      <c r="A23" s="107"/>
      <c r="B23" s="108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15" x14ac:dyDescent="0.25">
      <c r="A24" s="107"/>
      <c r="B24" s="108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15" x14ac:dyDescent="0.25">
      <c r="A25" s="107"/>
      <c r="B25" s="108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15" x14ac:dyDescent="0.25">
      <c r="A26" s="107"/>
      <c r="B26" s="108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15" x14ac:dyDescent="0.25">
      <c r="A27" s="107"/>
      <c r="B27" s="108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ht="15" x14ac:dyDescent="0.25">
      <c r="A28" s="107"/>
      <c r="B28" s="108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15" x14ac:dyDescent="0.25">
      <c r="A29" s="107"/>
      <c r="B29" s="108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ht="15" x14ac:dyDescent="0.25">
      <c r="A30" s="107"/>
      <c r="B30" s="108"/>
      <c r="C30" s="116"/>
      <c r="D30" s="108"/>
      <c r="E30" s="116"/>
      <c r="F30" s="116"/>
      <c r="G30" s="116"/>
      <c r="H30" s="116"/>
      <c r="I30" s="116"/>
      <c r="J30" s="116"/>
      <c r="K30" s="116"/>
    </row>
    <row r="31" spans="1:11" ht="15" x14ac:dyDescent="0.2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ht="15" x14ac:dyDescent="0.2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15" x14ac:dyDescent="0.2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15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ht="15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5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15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5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1" ht="15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ht="15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ht="15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ht="15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ht="15" x14ac:dyDescent="0.2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</sheetData>
  <conditionalFormatting sqref="C5">
    <cfRule type="expression" dxfId="16" priority="1">
      <formula>LEFT(C5,1)="&lt;"</formula>
    </cfRule>
  </conditionalFormatting>
  <conditionalFormatting sqref="D6">
    <cfRule type="expression" dxfId="15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BA52-3968-423B-9180-FD7650DC482F}">
  <dimension ref="A1:P40"/>
  <sheetViews>
    <sheetView showGridLines="0" workbookViewId="0">
      <selection activeCell="F27" sqref="F27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0.85546875" style="1" bestFit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27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95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/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4" t="s">
        <v>10</v>
      </c>
      <c r="P10"/>
    </row>
    <row r="11" spans="1:16" ht="12.75" customHeight="1" x14ac:dyDescent="0.25">
      <c r="C11" s="1" t="s">
        <v>35</v>
      </c>
      <c r="D11" s="122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72</v>
      </c>
      <c r="D12" s="122"/>
      <c r="E12" s="2"/>
      <c r="F12" s="6"/>
      <c r="G12" s="6"/>
      <c r="H12" s="6"/>
      <c r="I12" s="6"/>
      <c r="J12" s="6"/>
      <c r="K12" s="6">
        <f>SUM(F12:J12)</f>
        <v>0</v>
      </c>
      <c r="M12" s="98"/>
      <c r="P12"/>
    </row>
    <row r="13" spans="1:16" x14ac:dyDescent="0.2">
      <c r="C13" s="1" t="s">
        <v>73</v>
      </c>
      <c r="D13" s="122"/>
      <c r="F13" s="6"/>
      <c r="G13" s="6"/>
      <c r="H13" s="6"/>
      <c r="I13" s="6"/>
      <c r="J13" s="6"/>
      <c r="K13" s="6">
        <f>SUM(F13:J13)</f>
        <v>0</v>
      </c>
      <c r="M13" s="98"/>
    </row>
    <row r="14" spans="1:16" x14ac:dyDescent="0.2">
      <c r="C14" s="123" t="s">
        <v>65</v>
      </c>
      <c r="D14" s="125" t="s">
        <v>74</v>
      </c>
      <c r="E14" s="123"/>
      <c r="F14" s="124">
        <f>F11+F13</f>
        <v>0</v>
      </c>
      <c r="G14" s="124">
        <f t="shared" ref="G14:K14" si="0">G11+G13</f>
        <v>0</v>
      </c>
      <c r="H14" s="124">
        <f t="shared" si="0"/>
        <v>0</v>
      </c>
      <c r="I14" s="124">
        <f t="shared" si="0"/>
        <v>0</v>
      </c>
      <c r="J14" s="124">
        <f t="shared" si="0"/>
        <v>0</v>
      </c>
      <c r="K14" s="124">
        <f t="shared" si="0"/>
        <v>0</v>
      </c>
      <c r="M14" s="98"/>
    </row>
    <row r="15" spans="1:16" x14ac:dyDescent="0.2">
      <c r="D15" s="122"/>
      <c r="F15" s="6"/>
      <c r="G15" s="6"/>
      <c r="H15" s="6"/>
      <c r="I15" s="6"/>
      <c r="J15" s="6"/>
      <c r="K15" s="6"/>
      <c r="M15" s="98"/>
    </row>
    <row r="16" spans="1:16" x14ac:dyDescent="0.2">
      <c r="C16" s="123" t="s">
        <v>14</v>
      </c>
      <c r="D16" s="125"/>
      <c r="E16" s="125"/>
      <c r="F16" s="130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22"/>
      <c r="F17" s="6"/>
      <c r="G17" s="6"/>
      <c r="H17" s="6"/>
      <c r="I17" s="6"/>
      <c r="J17" s="6"/>
      <c r="K17" s="6"/>
    </row>
    <row r="18" spans="2:11" x14ac:dyDescent="0.2">
      <c r="C18" s="1" t="s">
        <v>75</v>
      </c>
    </row>
    <row r="21" spans="2:11" x14ac:dyDescent="0.2">
      <c r="B21" s="36" t="s">
        <v>2</v>
      </c>
      <c r="C21" s="36"/>
      <c r="D21" s="36"/>
      <c r="E21" s="37"/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74" t="s">
        <v>10</v>
      </c>
    </row>
    <row r="22" spans="2:11" x14ac:dyDescent="0.2">
      <c r="C22" s="1" t="s">
        <v>35</v>
      </c>
      <c r="D22" s="122"/>
      <c r="E22" s="2"/>
      <c r="F22" s="6">
        <f>'Project summary'!F23*Assumptions!$B$19</f>
        <v>1755605.224647545</v>
      </c>
      <c r="G22" s="6">
        <f>'Project summary'!G23*Assumptions!$B$19</f>
        <v>1365048.1508776173</v>
      </c>
      <c r="H22" s="6">
        <f>'Project summary'!H23*Assumptions!$B$19</f>
        <v>1955293.4274267787</v>
      </c>
      <c r="I22" s="6">
        <f>'Project summary'!I23*Assumptions!$B$19</f>
        <v>2706433.0144072534</v>
      </c>
      <c r="J22" s="6">
        <f>'Project summary'!J23*Assumptions!$B$19</f>
        <v>2069864.2737671542</v>
      </c>
      <c r="K22" s="6">
        <f>SUM(F22:J22)</f>
        <v>9852244.0911263488</v>
      </c>
    </row>
    <row r="23" spans="2:11" x14ac:dyDescent="0.2">
      <c r="C23" s="1" t="s">
        <v>72</v>
      </c>
      <c r="D23" s="122"/>
      <c r="E23" s="2"/>
      <c r="F23" s="6"/>
      <c r="G23" s="6"/>
      <c r="H23" s="6"/>
      <c r="I23" s="6"/>
      <c r="J23" s="6"/>
      <c r="K23" s="6">
        <f>SUM(F23:J23)</f>
        <v>0</v>
      </c>
    </row>
    <row r="24" spans="2:11" x14ac:dyDescent="0.2">
      <c r="C24" s="1" t="s">
        <v>76</v>
      </c>
      <c r="D24" s="122"/>
      <c r="F24" s="6"/>
      <c r="G24" s="6"/>
      <c r="H24" s="6"/>
      <c r="I24" s="6"/>
      <c r="J24" s="6"/>
      <c r="K24" s="6">
        <f>SUM(F24:J24)</f>
        <v>0</v>
      </c>
    </row>
    <row r="25" spans="2:11" x14ac:dyDescent="0.2">
      <c r="C25" s="123" t="s">
        <v>65</v>
      </c>
      <c r="D25" s="125" t="s">
        <v>74</v>
      </c>
      <c r="E25" s="123"/>
      <c r="F25" s="124">
        <f>F22+F24</f>
        <v>1755605.224647545</v>
      </c>
      <c r="G25" s="124">
        <f t="shared" ref="G25:K25" si="1">G22+G24</f>
        <v>1365048.1508776173</v>
      </c>
      <c r="H25" s="124">
        <f t="shared" si="1"/>
        <v>1955293.4274267787</v>
      </c>
      <c r="I25" s="124">
        <f t="shared" si="1"/>
        <v>2706433.0144072534</v>
      </c>
      <c r="J25" s="124">
        <f t="shared" si="1"/>
        <v>2069864.2737671542</v>
      </c>
      <c r="K25" s="124">
        <f t="shared" si="1"/>
        <v>9852244.0911263488</v>
      </c>
    </row>
    <row r="27" spans="2:11" x14ac:dyDescent="0.2">
      <c r="C27" s="123" t="s">
        <v>14</v>
      </c>
      <c r="D27" s="125"/>
      <c r="E27" s="125"/>
      <c r="F27" s="130">
        <f>NPV(Real_Discount_rate,F25:J25)</f>
        <v>8835356.8244375214</v>
      </c>
    </row>
    <row r="29" spans="2:11" x14ac:dyDescent="0.2">
      <c r="C29" s="1" t="s">
        <v>77</v>
      </c>
    </row>
    <row r="32" spans="2:11" x14ac:dyDescent="0.2">
      <c r="B32" s="36" t="s">
        <v>15</v>
      </c>
      <c r="C32" s="36"/>
      <c r="D32" s="36"/>
      <c r="E32" s="37"/>
      <c r="F32" s="38" t="s">
        <v>5</v>
      </c>
      <c r="G32" s="38" t="s">
        <v>6</v>
      </c>
      <c r="H32" s="38" t="s">
        <v>7</v>
      </c>
      <c r="I32" s="38" t="s">
        <v>8</v>
      </c>
      <c r="J32" s="38" t="s">
        <v>9</v>
      </c>
      <c r="K32" s="74" t="s">
        <v>10</v>
      </c>
    </row>
    <row r="33" spans="3:11" x14ac:dyDescent="0.2">
      <c r="C33" s="1" t="s">
        <v>35</v>
      </c>
      <c r="D33" s="122"/>
      <c r="E33" s="2"/>
      <c r="F33" s="6">
        <f>'Project summary'!F32*Assumptions!$B$19</f>
        <v>6415980.7665550774</v>
      </c>
      <c r="G33" s="6">
        <f>'Project summary'!G32*Assumptions!$B$19</f>
        <v>248588.4430716373</v>
      </c>
      <c r="H33" s="6">
        <f>'Project summary'!H32*Assumptions!$B$19</f>
        <v>1426805.579513418</v>
      </c>
      <c r="I33" s="6">
        <f>'Project summary'!I32*Assumptions!$B$19</f>
        <v>1050138.773526429</v>
      </c>
      <c r="J33" s="6">
        <f>'Project summary'!J32*Assumptions!$B$19</f>
        <v>5643633.1900587743</v>
      </c>
      <c r="K33" s="6">
        <f>SUM(F33:J33)</f>
        <v>14785146.752725337</v>
      </c>
    </row>
    <row r="34" spans="3:11" x14ac:dyDescent="0.2">
      <c r="C34" s="1" t="s">
        <v>72</v>
      </c>
      <c r="D34" s="122"/>
      <c r="E34" s="2"/>
      <c r="F34" s="6"/>
      <c r="G34" s="6"/>
      <c r="H34" s="6"/>
      <c r="I34" s="6"/>
      <c r="J34" s="6"/>
      <c r="K34" s="6">
        <f>SUM(F34:J34)</f>
        <v>0</v>
      </c>
    </row>
    <row r="35" spans="3:11" x14ac:dyDescent="0.2">
      <c r="C35" s="1" t="s">
        <v>73</v>
      </c>
      <c r="D35" s="122"/>
      <c r="F35" s="6"/>
      <c r="G35" s="6"/>
      <c r="H35" s="6"/>
      <c r="I35" s="6"/>
      <c r="J35" s="6"/>
      <c r="K35" s="6">
        <f>SUM(F35:J35)</f>
        <v>0</v>
      </c>
    </row>
    <row r="36" spans="3:11" x14ac:dyDescent="0.2">
      <c r="C36" s="123" t="s">
        <v>65</v>
      </c>
      <c r="D36" s="125" t="s">
        <v>74</v>
      </c>
      <c r="E36" s="123"/>
      <c r="F36" s="124">
        <f>F33+F35</f>
        <v>6415980.7665550774</v>
      </c>
      <c r="G36" s="124">
        <f t="shared" ref="G36:K36" si="2">G33+G35</f>
        <v>248588.4430716373</v>
      </c>
      <c r="H36" s="124">
        <f t="shared" si="2"/>
        <v>1426805.579513418</v>
      </c>
      <c r="I36" s="124">
        <f t="shared" si="2"/>
        <v>1050138.773526429</v>
      </c>
      <c r="J36" s="124">
        <f t="shared" si="2"/>
        <v>5643633.1900587743</v>
      </c>
      <c r="K36" s="124">
        <f t="shared" si="2"/>
        <v>14785146.752725337</v>
      </c>
    </row>
    <row r="38" spans="3:11" x14ac:dyDescent="0.2">
      <c r="C38" s="123" t="s">
        <v>14</v>
      </c>
      <c r="D38" s="125"/>
      <c r="E38" s="125"/>
      <c r="F38" s="130">
        <f>NPV(Real_Discount_rate,F36:J36)</f>
        <v>13384895.071646089</v>
      </c>
    </row>
    <row r="40" spans="3:11" x14ac:dyDescent="0.2">
      <c r="C40" s="1" t="s">
        <v>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4"/>
  <sheetViews>
    <sheetView showGridLines="0" zoomScale="85" zoomScaleNormal="85" workbookViewId="0">
      <selection activeCell="F34" sqref="F3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End user device management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4" t="s">
        <v>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4" t="s">
        <v>10</v>
      </c>
      <c r="P10"/>
    </row>
    <row r="11" spans="1:16" ht="12.75" customHeight="1" x14ac:dyDescent="0.25">
      <c r="C11" s="1" t="s">
        <v>11</v>
      </c>
      <c r="D11" s="48"/>
      <c r="E11" s="2"/>
      <c r="F11" s="6">
        <f>'Option 1'!P68</f>
        <v>0</v>
      </c>
      <c r="G11" s="6">
        <f>'Option 1'!Q68</f>
        <v>0</v>
      </c>
      <c r="H11" s="6">
        <f>'Option 1'!R68</f>
        <v>0</v>
      </c>
      <c r="I11" s="6">
        <f>'Option 1'!S68</f>
        <v>0</v>
      </c>
      <c r="J11" s="6">
        <f>'Option 1'!T68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12</v>
      </c>
      <c r="D12" s="48"/>
      <c r="E12" s="2"/>
      <c r="F12" s="6">
        <f>'Option 1'!P69</f>
        <v>0</v>
      </c>
      <c r="G12" s="6">
        <f>'Option 1'!Q69</f>
        <v>0</v>
      </c>
      <c r="H12" s="6">
        <f>'Option 1'!R69</f>
        <v>0</v>
      </c>
      <c r="I12" s="6">
        <f>'Option 1'!S69</f>
        <v>0</v>
      </c>
      <c r="J12" s="6">
        <f>'Option 1'!T69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13</v>
      </c>
      <c r="D13" s="48"/>
      <c r="F13" s="6">
        <f>'Option 1'!P70</f>
        <v>0</v>
      </c>
      <c r="G13" s="6">
        <f>'Option 1'!Q70</f>
        <v>0</v>
      </c>
      <c r="H13" s="6">
        <f>'Option 1'!R70</f>
        <v>0</v>
      </c>
      <c r="I13" s="6">
        <f>'Option 1'!S70</f>
        <v>0</v>
      </c>
      <c r="J13" s="6">
        <f>'Option 1'!T70</f>
        <v>0</v>
      </c>
      <c r="K13" s="6">
        <f t="shared" si="0"/>
        <v>0</v>
      </c>
      <c r="M13" s="98"/>
    </row>
    <row r="14" spans="1:16" ht="12.75" customHeight="1" x14ac:dyDescent="0.2">
      <c r="C14" s="21" t="str">
        <f>"Total Cost ($ "&amp;Assumptions!$C35&amp;")"</f>
        <v>Total Cost ($ June 2026)</v>
      </c>
      <c r="D14" s="21"/>
      <c r="E14" s="21"/>
      <c r="F14" s="22">
        <f t="shared" ref="F14:K14" si="1">SUM(F11:F13)</f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57">
        <f>K14-'Option 1'!$U$71</f>
        <v>0</v>
      </c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14</v>
      </c>
      <c r="D16" s="22"/>
      <c r="E16" s="22"/>
      <c r="F16" s="22">
        <f>NPV(Assumptions!$B$10,F14:J14)</f>
        <v>0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B18" s="4"/>
      <c r="C18" s="4"/>
      <c r="D18" s="4"/>
      <c r="E18" s="4"/>
      <c r="F18" s="23"/>
      <c r="G18" s="23"/>
      <c r="H18" s="23"/>
      <c r="I18" s="23"/>
      <c r="J18" s="23"/>
      <c r="K18" s="23"/>
    </row>
    <row r="19" spans="2:13" ht="12.75" customHeight="1" x14ac:dyDescent="0.2">
      <c r="B19" s="36" t="s">
        <v>2</v>
      </c>
      <c r="C19" s="36" t="s">
        <v>4</v>
      </c>
      <c r="D19" s="36"/>
      <c r="E19" s="37"/>
      <c r="F19" s="38" t="str">
        <f>F$10</f>
        <v>2026/27</v>
      </c>
      <c r="G19" s="38" t="str">
        <f t="shared" ref="G19:J19" si="2">G$10</f>
        <v>2027/28</v>
      </c>
      <c r="H19" s="38" t="str">
        <f t="shared" si="2"/>
        <v>2028/29</v>
      </c>
      <c r="I19" s="38" t="str">
        <f t="shared" si="2"/>
        <v>2029/30</v>
      </c>
      <c r="J19" s="38" t="str">
        <f t="shared" si="2"/>
        <v>2030/31</v>
      </c>
      <c r="K19" s="74" t="s">
        <v>10</v>
      </c>
    </row>
    <row r="20" spans="2:13" ht="12.75" customHeight="1" x14ac:dyDescent="0.2">
      <c r="C20" s="1" t="s">
        <v>11</v>
      </c>
      <c r="D20" s="48"/>
      <c r="E20" s="2"/>
      <c r="F20" s="6">
        <f>'Option 2'!P68</f>
        <v>840390.36391651595</v>
      </c>
      <c r="G20" s="6">
        <f>'Option 2'!Q68</f>
        <v>651302.53203529993</v>
      </c>
      <c r="H20" s="6">
        <f>'Option 2'!R68</f>
        <v>1469690.011909632</v>
      </c>
      <c r="I20" s="6">
        <f>'Option 2'!S68</f>
        <v>1376909.8491427551</v>
      </c>
      <c r="J20" s="6">
        <f>'Option 2'!T68</f>
        <v>929296.52596791578</v>
      </c>
      <c r="K20" s="6">
        <f>SUM(F20:J20)</f>
        <v>5267589.2829721188</v>
      </c>
      <c r="M20" s="98"/>
    </row>
    <row r="21" spans="2:13" x14ac:dyDescent="0.2">
      <c r="C21" s="1" t="s">
        <v>12</v>
      </c>
      <c r="D21" s="48"/>
      <c r="E21" s="2"/>
      <c r="F21" s="6">
        <f>'Option 2'!P69</f>
        <v>5011627.0515753003</v>
      </c>
      <c r="G21" s="6">
        <f>'Option 2'!Q69</f>
        <v>3898857.9708900917</v>
      </c>
      <c r="H21" s="6">
        <f>'Option 2'!R69</f>
        <v>5047954.746179631</v>
      </c>
      <c r="I21" s="6">
        <f>'Option 2'!S69</f>
        <v>7644533.5322147561</v>
      </c>
      <c r="J21" s="6">
        <f>'Option 2'!T69</f>
        <v>5970251.0532559324</v>
      </c>
      <c r="K21" s="6">
        <f t="shared" ref="K21:K22" si="3">SUM(F21:J21)</f>
        <v>27573224.35411571</v>
      </c>
      <c r="M21" s="98"/>
    </row>
    <row r="22" spans="2:13" x14ac:dyDescent="0.2">
      <c r="C22" s="1" t="s">
        <v>13</v>
      </c>
      <c r="D22" s="48"/>
      <c r="F22" s="6">
        <f>'Option 2'!P70</f>
        <v>0</v>
      </c>
      <c r="G22" s="6">
        <f>'Option 2'!Q70</f>
        <v>0</v>
      </c>
      <c r="H22" s="6">
        <f>'Option 2'!R70</f>
        <v>0</v>
      </c>
      <c r="I22" s="6">
        <f>'Option 2'!S70</f>
        <v>0</v>
      </c>
      <c r="J22" s="6">
        <f>'Option 2'!T70</f>
        <v>0</v>
      </c>
      <c r="K22" s="6">
        <f t="shared" si="3"/>
        <v>0</v>
      </c>
      <c r="M22" s="98"/>
    </row>
    <row r="23" spans="2:13" x14ac:dyDescent="0.2">
      <c r="C23" s="21" t="str">
        <f>"Total Cost ($ "&amp;Assumptions!$C$35&amp;")"</f>
        <v>Total Cost ($ June 2026)</v>
      </c>
      <c r="D23" s="21"/>
      <c r="E23" s="21"/>
      <c r="F23" s="22">
        <f t="shared" ref="F23:K23" si="4">SUM(F20:F22)</f>
        <v>5852017.4154918166</v>
      </c>
      <c r="G23" s="22">
        <f t="shared" si="4"/>
        <v>4550160.5029253913</v>
      </c>
      <c r="H23" s="22">
        <f t="shared" si="4"/>
        <v>6517644.758089263</v>
      </c>
      <c r="I23" s="22">
        <f t="shared" si="4"/>
        <v>9021443.3813575115</v>
      </c>
      <c r="J23" s="22">
        <f t="shared" si="4"/>
        <v>6899547.5792238479</v>
      </c>
      <c r="K23" s="22">
        <f t="shared" si="4"/>
        <v>32840813.637087829</v>
      </c>
      <c r="L23" s="57">
        <f>K23-'Option 2'!$U$71</f>
        <v>0</v>
      </c>
    </row>
    <row r="25" spans="2:13" x14ac:dyDescent="0.2">
      <c r="C25" s="53" t="s">
        <v>14</v>
      </c>
      <c r="D25" s="22"/>
      <c r="E25" s="22"/>
      <c r="F25" s="22">
        <f>NPV(Assumptions!$B$10,F23:J23)</f>
        <v>29451189.414791737</v>
      </c>
    </row>
    <row r="26" spans="2:13" x14ac:dyDescent="0.2">
      <c r="B26" s="26"/>
      <c r="C26" s="33"/>
      <c r="D26" s="33"/>
      <c r="E26" s="26"/>
      <c r="F26" s="26"/>
      <c r="G26" s="26"/>
      <c r="H26" s="26"/>
      <c r="I26" s="26"/>
      <c r="J26" s="26"/>
      <c r="K26" s="26"/>
    </row>
    <row r="28" spans="2:13" x14ac:dyDescent="0.2">
      <c r="B28" s="36" t="s">
        <v>15</v>
      </c>
      <c r="C28" s="36" t="s">
        <v>4</v>
      </c>
      <c r="D28" s="36"/>
      <c r="E28" s="37"/>
      <c r="F28" s="38" t="str">
        <f>F$10</f>
        <v>2026/27</v>
      </c>
      <c r="G28" s="38" t="str">
        <f t="shared" ref="G28:J28" si="5">G$10</f>
        <v>2027/28</v>
      </c>
      <c r="H28" s="38" t="str">
        <f t="shared" si="5"/>
        <v>2028/29</v>
      </c>
      <c r="I28" s="38" t="str">
        <f t="shared" si="5"/>
        <v>2029/30</v>
      </c>
      <c r="J28" s="38" t="str">
        <f t="shared" si="5"/>
        <v>2030/31</v>
      </c>
      <c r="K28" s="74" t="s">
        <v>10</v>
      </c>
    </row>
    <row r="29" spans="2:13" x14ac:dyDescent="0.2">
      <c r="C29" s="1" t="s">
        <v>11</v>
      </c>
      <c r="D29" s="48"/>
      <c r="E29" s="2"/>
      <c r="F29" s="6">
        <f>'Option 3'!P68</f>
        <v>3665756.8094003233</v>
      </c>
      <c r="G29" s="6">
        <f>'Option 3'!Q68</f>
        <v>828628.14357212442</v>
      </c>
      <c r="H29" s="6">
        <f>'Option 3'!R68</f>
        <v>1317206.4410498443</v>
      </c>
      <c r="I29" s="6">
        <f>'Option 3'!S68</f>
        <v>925970.65676708776</v>
      </c>
      <c r="J29" s="6">
        <f>'Option 3'!T68</f>
        <v>3665756.8094003233</v>
      </c>
      <c r="K29" s="6">
        <f>SUM(F29:J29)</f>
        <v>10403318.860189702</v>
      </c>
      <c r="M29" s="98"/>
    </row>
    <row r="30" spans="2:13" x14ac:dyDescent="0.2">
      <c r="C30" s="1" t="s">
        <v>12</v>
      </c>
      <c r="D30" s="48"/>
      <c r="E30" s="2"/>
      <c r="F30" s="6">
        <f>'Option 3'!P69</f>
        <v>17720845.745783269</v>
      </c>
      <c r="G30" s="6">
        <f>'Option 3'!Q69</f>
        <v>0</v>
      </c>
      <c r="H30" s="6">
        <f>'Option 3'!R69</f>
        <v>3438812.1573282164</v>
      </c>
      <c r="I30" s="6">
        <f>'Option 3'!S69</f>
        <v>2574491.9216543417</v>
      </c>
      <c r="J30" s="6">
        <f>'Option 3'!T69</f>
        <v>15146353.824128926</v>
      </c>
      <c r="K30" s="6">
        <f t="shared" ref="K30:K31" si="6">SUM(F30:J30)</f>
        <v>38880503.648894757</v>
      </c>
      <c r="M30" s="98"/>
    </row>
    <row r="31" spans="2:13" x14ac:dyDescent="0.2">
      <c r="C31" s="1" t="s">
        <v>13</v>
      </c>
      <c r="D31" s="48"/>
      <c r="F31" s="6">
        <f>'Option 3'!P70</f>
        <v>0</v>
      </c>
      <c r="G31" s="6">
        <f>'Option 3'!Q70</f>
        <v>0</v>
      </c>
      <c r="H31" s="6">
        <f>'Option 3'!R70</f>
        <v>0</v>
      </c>
      <c r="I31" s="6">
        <f>'Option 3'!S70</f>
        <v>0</v>
      </c>
      <c r="J31" s="6">
        <f>'Option 3'!T70</f>
        <v>0</v>
      </c>
      <c r="K31" s="6">
        <f t="shared" si="6"/>
        <v>0</v>
      </c>
      <c r="M31" s="98"/>
    </row>
    <row r="32" spans="2:13" x14ac:dyDescent="0.2">
      <c r="C32" s="21" t="str">
        <f>"Total Cost ($ "&amp;Assumptions!$C35&amp;")"</f>
        <v>Total Cost ($ June 2026)</v>
      </c>
      <c r="D32" s="21"/>
      <c r="E32" s="21"/>
      <c r="F32" s="22">
        <f t="shared" ref="F32:K32" si="7">SUM(F29:F31)</f>
        <v>21386602.555183593</v>
      </c>
      <c r="G32" s="22">
        <f t="shared" si="7"/>
        <v>828628.14357212442</v>
      </c>
      <c r="H32" s="22">
        <f t="shared" si="7"/>
        <v>4756018.5983780604</v>
      </c>
      <c r="I32" s="22">
        <f t="shared" si="7"/>
        <v>3500462.5784214297</v>
      </c>
      <c r="J32" s="22">
        <f t="shared" si="7"/>
        <v>18812110.63352925</v>
      </c>
      <c r="K32" s="22">
        <f t="shared" si="7"/>
        <v>49283822.509084463</v>
      </c>
      <c r="L32" s="57">
        <f>K32-'Option 3'!$U$71</f>
        <v>0</v>
      </c>
    </row>
    <row r="34" spans="2:11" x14ac:dyDescent="0.2">
      <c r="B34" s="26"/>
      <c r="C34" s="53" t="s">
        <v>14</v>
      </c>
      <c r="D34" s="22"/>
      <c r="E34" s="22"/>
      <c r="F34" s="22">
        <f>NPV(Assumptions!$B$10,F32:J32)</f>
        <v>44616316.905486964</v>
      </c>
      <c r="G34" s="26"/>
      <c r="H34" s="26"/>
      <c r="I34" s="26"/>
      <c r="J34" s="26"/>
      <c r="K34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6BF6DE-9958-4F23-A639-6938247FE6FA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="90" zoomScaleNormal="90" workbookViewId="0">
      <selection activeCell="B27" sqref="B27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End user device management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17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16</v>
      </c>
      <c r="B4" s="41" t="s">
        <v>17</v>
      </c>
      <c r="C4" s="27" t="s">
        <v>18</v>
      </c>
      <c r="D4" s="27" t="s">
        <v>19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20</v>
      </c>
      <c r="B6" s="77" t="s">
        <v>66</v>
      </c>
      <c r="C6" s="7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21</v>
      </c>
      <c r="B8" s="78" t="s">
        <v>71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22</v>
      </c>
      <c r="B10" s="126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23</v>
      </c>
      <c r="B12" s="79" t="s">
        <v>62</v>
      </c>
      <c r="C12" s="43" t="s">
        <v>24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25</v>
      </c>
      <c r="B14" s="127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5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26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2" ht="12.75" customHeight="1" x14ac:dyDescent="0.25">
      <c r="A18" s="43" t="s">
        <v>0</v>
      </c>
      <c r="B18" s="92">
        <v>0.7</v>
      </c>
    </row>
    <row r="19" spans="1:12" ht="12.75" customHeight="1" x14ac:dyDescent="0.25">
      <c r="A19" s="43" t="s">
        <v>27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28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2" ht="12.75" customHeight="1" x14ac:dyDescent="0.25">
      <c r="A24" s="43" t="s">
        <v>3</v>
      </c>
      <c r="B24" s="121" t="s">
        <v>79</v>
      </c>
      <c r="C24" s="86"/>
      <c r="D24" s="86"/>
      <c r="E24" s="86"/>
      <c r="F24" s="86"/>
      <c r="G24" s="86"/>
      <c r="H24" s="87"/>
    </row>
    <row r="25" spans="1:12" ht="12.75" customHeight="1" x14ac:dyDescent="0.25">
      <c r="A25" s="43" t="s">
        <v>2</v>
      </c>
      <c r="B25" s="120" t="s">
        <v>80</v>
      </c>
      <c r="C25" s="89"/>
      <c r="D25" s="89"/>
      <c r="E25" s="89"/>
      <c r="F25" s="89"/>
      <c r="G25" s="89"/>
      <c r="H25" s="90"/>
    </row>
    <row r="26" spans="1:12" ht="12.75" customHeight="1" x14ac:dyDescent="0.25">
      <c r="A26" s="43" t="s">
        <v>15</v>
      </c>
      <c r="B26" s="88" t="s">
        <v>81</v>
      </c>
      <c r="C26" s="89"/>
      <c r="D26" s="89"/>
      <c r="E26" s="89"/>
      <c r="F26" s="89"/>
      <c r="G26" s="89"/>
      <c r="H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78</v>
      </c>
      <c r="B29" s="39"/>
      <c r="C29" s="39"/>
      <c r="D29" s="40"/>
      <c r="E29" s="119" t="s">
        <v>61</v>
      </c>
      <c r="F29" s="119" t="s">
        <v>62</v>
      </c>
      <c r="G29" s="119" t="s">
        <v>63</v>
      </c>
      <c r="H29" s="119" t="s">
        <v>64</v>
      </c>
      <c r="I29" s="100"/>
      <c r="J29" s="40"/>
      <c r="K29" s="40"/>
    </row>
    <row r="30" spans="1:12" ht="12.75" customHeight="1" x14ac:dyDescent="0.25">
      <c r="A30" s="101" t="s">
        <v>58</v>
      </c>
      <c r="B30" s="102"/>
      <c r="C30" s="103"/>
      <c r="D30" s="104"/>
      <c r="E30" s="105">
        <v>1.1757125218136175</v>
      </c>
      <c r="F30" s="105">
        <v>1.1129126464165966</v>
      </c>
      <c r="G30" s="105">
        <v>1.050660524730181</v>
      </c>
      <c r="H30" s="105">
        <v>1.014889156509222</v>
      </c>
      <c r="I30" s="106"/>
      <c r="J30" s="104"/>
      <c r="K30" s="104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3" t="s">
        <v>29</v>
      </c>
      <c r="C35" s="128" t="s">
        <v>64</v>
      </c>
      <c r="D35" t="s">
        <v>24</v>
      </c>
    </row>
    <row r="36" spans="1:11" ht="12.75" customHeight="1" x14ac:dyDescent="0.25">
      <c r="A36" s="43" t="s">
        <v>30</v>
      </c>
      <c r="C36" s="42" t="str">
        <f>$B$12</f>
        <v>June 2024</v>
      </c>
    </row>
    <row r="37" spans="1:11" ht="12.75" customHeight="1" x14ac:dyDescent="0.25">
      <c r="A37" s="43" t="s">
        <v>31</v>
      </c>
      <c r="C37" s="94">
        <f>INDEX($E$30:$H$30,MATCH($C$36,E29:H29))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3" t="s">
        <v>32</v>
      </c>
      <c r="C41" s="129" t="s">
        <v>33</v>
      </c>
      <c r="D41" t="s">
        <v>67</v>
      </c>
    </row>
    <row r="42" spans="1:11" ht="12.75" customHeight="1" x14ac:dyDescent="0.25">
      <c r="A42" s="43" t="s">
        <v>30</v>
      </c>
      <c r="C42" s="96">
        <v>135.18960020374115</v>
      </c>
      <c r="D42" t="s">
        <v>68</v>
      </c>
    </row>
    <row r="43" spans="1:11" ht="12.75" customHeight="1" x14ac:dyDescent="0.25">
      <c r="A43" s="43" t="s">
        <v>30</v>
      </c>
      <c r="C43" s="97">
        <v>145.77740895836223</v>
      </c>
      <c r="D43" t="s">
        <v>69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73"/>
  <sheetViews>
    <sheetView showGridLines="0" zoomScale="80" zoomScaleNormal="80" workbookViewId="0">
      <pane ySplit="9" topLeftCell="A10" activePane="bottomLeft" state="frozen"/>
      <selection activeCell="E10" sqref="E10:E54"/>
      <selection pane="bottomLeft" activeCell="D18" sqref="D18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0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34</v>
      </c>
      <c r="D7" s="64" t="s">
        <v>35</v>
      </c>
      <c r="E7" s="64" t="s">
        <v>36</v>
      </c>
      <c r="F7" s="16"/>
      <c r="G7" s="19" t="s">
        <v>37</v>
      </c>
      <c r="H7" s="19" t="s">
        <v>38</v>
      </c>
      <c r="J7" s="19" t="s">
        <v>39</v>
      </c>
      <c r="K7" s="20"/>
      <c r="L7" s="20"/>
      <c r="M7" s="20"/>
      <c r="N7" s="20"/>
      <c r="P7" s="19" t="s">
        <v>40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70</v>
      </c>
      <c r="D10" s="82" t="s">
        <v>35</v>
      </c>
      <c r="E10" s="80" t="s">
        <v>11</v>
      </c>
      <c r="F10" s="2"/>
      <c r="G10" s="63">
        <f>IF($E10="Labour",Assumptions!$B$14,)</f>
        <v>145.77740895836223</v>
      </c>
      <c r="H10" s="9" t="str">
        <f>IF($E10="Labour","Hours","$")</f>
        <v>Hours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/>
      <c r="D11" s="82"/>
      <c r="E11" s="80"/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/>
      <c r="K11" s="83"/>
      <c r="L11" s="83"/>
      <c r="M11" s="83"/>
      <c r="N11" s="83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/>
      <c r="D12" s="82"/>
      <c r="E12" s="80"/>
      <c r="F12" s="2"/>
      <c r="G12" s="63">
        <f>IF($E12="Labour",Assumptions!$B$14,)</f>
        <v>0</v>
      </c>
      <c r="H12" s="9" t="str">
        <f t="shared" si="5"/>
        <v>$</v>
      </c>
      <c r="I12" s="2"/>
      <c r="J12" s="83"/>
      <c r="K12" s="83"/>
      <c r="L12" s="83"/>
      <c r="M12" s="83"/>
      <c r="N12" s="83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/>
      <c r="D13" s="82"/>
      <c r="E13" s="80"/>
      <c r="F13" s="2"/>
      <c r="G13" s="63">
        <f>IF($E13="Labour",Assumptions!$B$14,)</f>
        <v>0</v>
      </c>
      <c r="H13" s="9" t="str">
        <f t="shared" si="5"/>
        <v>$</v>
      </c>
      <c r="I13" s="2"/>
      <c r="J13" s="83"/>
      <c r="K13" s="83"/>
      <c r="L13" s="83"/>
      <c r="M13" s="83"/>
      <c r="N13" s="83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/>
      <c r="D14" s="82"/>
      <c r="E14" s="80"/>
      <c r="F14" s="2"/>
      <c r="G14" s="63">
        <f>IF($E14="Labour",Assumptions!$B$14,)</f>
        <v>0</v>
      </c>
      <c r="H14" s="9" t="str">
        <f t="shared" si="5"/>
        <v>$</v>
      </c>
      <c r="I14" s="2"/>
      <c r="J14" s="83"/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/>
      <c r="D15" s="82"/>
      <c r="E15" s="80"/>
      <c r="F15" s="2"/>
      <c r="G15" s="63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3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3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3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3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3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3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35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0">
        <f>SUM(P58:T58)</f>
        <v>0</v>
      </c>
    </row>
    <row r="59" spans="1:25" ht="12.75" customHeight="1" x14ac:dyDescent="0.2">
      <c r="C59" s="1" t="s">
        <v>12</v>
      </c>
      <c r="D59" s="1" t="s">
        <v>35</v>
      </c>
      <c r="F59" s="2"/>
      <c r="G59" s="67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1">
        <f t="shared" ref="U59:U61" si="8">SUM(P59:T59)</f>
        <v>0</v>
      </c>
    </row>
    <row r="60" spans="1:25" ht="12.75" customHeight="1" x14ac:dyDescent="0.2">
      <c r="C60" s="1" t="s">
        <v>13</v>
      </c>
      <c r="D60" s="1" t="s">
        <v>35</v>
      </c>
      <c r="F60" s="2"/>
      <c r="G60" s="67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8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0</v>
      </c>
      <c r="Q61" s="8">
        <f>SUM(Q58:Q60)</f>
        <v>0</v>
      </c>
      <c r="R61" s="8">
        <f>SUM(R58:R60)</f>
        <v>0</v>
      </c>
      <c r="S61" s="8">
        <f>SUM(S58:S60)</f>
        <v>0</v>
      </c>
      <c r="T61" s="8">
        <f>SUM(T58:T60)</f>
        <v>0</v>
      </c>
      <c r="U61" s="72">
        <f t="shared" si="8"/>
        <v>0</v>
      </c>
    </row>
    <row r="62" spans="1:25" ht="12.75" customHeight="1" x14ac:dyDescent="0.2">
      <c r="C62" s="44" t="s">
        <v>42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 t="shared" ref="Q62:T62" si="9">Q61-SUM(Q$10:Q$54)</f>
        <v>0</v>
      </c>
      <c r="R62" s="45">
        <f t="shared" si="9"/>
        <v>0</v>
      </c>
      <c r="S62" s="45">
        <f t="shared" si="9"/>
        <v>0</v>
      </c>
      <c r="T62" s="45">
        <f t="shared" si="9"/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0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43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35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10">P58*business_case_dollars</f>
        <v>0</v>
      </c>
      <c r="Q68" s="34">
        <f t="shared" si="10"/>
        <v>0</v>
      </c>
      <c r="R68" s="34">
        <f t="shared" si="10"/>
        <v>0</v>
      </c>
      <c r="S68" s="34">
        <f t="shared" si="10"/>
        <v>0</v>
      </c>
      <c r="T68" s="34">
        <f t="shared" si="10"/>
        <v>0</v>
      </c>
      <c r="U68" s="70">
        <f>SUM(P68:T68)</f>
        <v>0</v>
      </c>
    </row>
    <row r="69" spans="3:21" ht="12.75" customHeight="1" x14ac:dyDescent="0.2">
      <c r="C69" s="1" t="s">
        <v>12</v>
      </c>
      <c r="D69" s="1" t="s">
        <v>35</v>
      </c>
      <c r="F69" s="2"/>
      <c r="G69" s="67"/>
      <c r="I69" s="2"/>
      <c r="O69" s="2"/>
      <c r="P69" s="6">
        <f t="shared" si="10"/>
        <v>0</v>
      </c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71">
        <f t="shared" ref="U69:U71" si="11">SUM(P69:T69)</f>
        <v>0</v>
      </c>
    </row>
    <row r="70" spans="3:21" ht="12.75" customHeight="1" x14ac:dyDescent="0.2">
      <c r="C70" s="1" t="s">
        <v>13</v>
      </c>
      <c r="D70" s="1" t="s">
        <v>35</v>
      </c>
      <c r="F70" s="2"/>
      <c r="G70" s="67"/>
      <c r="I70" s="2"/>
      <c r="O70" s="2"/>
      <c r="P70" s="6">
        <f t="shared" si="10"/>
        <v>0</v>
      </c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71">
        <f t="shared" si="11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0</v>
      </c>
      <c r="Q71" s="8">
        <f>SUM(Q68:Q70)</f>
        <v>0</v>
      </c>
      <c r="R71" s="8">
        <f>SUM(R68:R70)</f>
        <v>0</v>
      </c>
      <c r="S71" s="8">
        <f>SUM(S68:S70)</f>
        <v>0</v>
      </c>
      <c r="T71" s="8">
        <f>SUM(T68:T70)</f>
        <v>0</v>
      </c>
      <c r="U71" s="72">
        <f t="shared" si="11"/>
        <v>0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0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14" priority="3">
      <formula>$E10="Contracts"</formula>
    </cfRule>
    <cfRule type="expression" dxfId="13" priority="4">
      <formula>$E10="Materials"</formula>
    </cfRule>
    <cfRule type="expression" dxfId="12" priority="5">
      <formula>$E10="Labour"</formula>
    </cfRule>
  </conditionalFormatting>
  <conditionalFormatting sqref="P62:U62">
    <cfRule type="expression" dxfId="11" priority="2">
      <formula>ABS(P62)&gt;0.001</formula>
    </cfRule>
  </conditionalFormatting>
  <conditionalFormatting sqref="V62">
    <cfRule type="expression" dxfId="10" priority="9">
      <formula>ABS(V62)&gt;0.001</formula>
    </cfRule>
  </conditionalFormatting>
  <dataValidations count="1">
    <dataValidation type="list" allowBlank="1" showInputMessage="1" showErrorMessage="1" sqref="E10:E54" xr:uid="{B0E8B852-301B-4563-9163-FFDB1711704F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73"/>
  <sheetViews>
    <sheetView showGridLines="0" zoomScale="90" zoomScaleNormal="90" workbookViewId="0">
      <pane ySplit="9" topLeftCell="A10" activePane="bottomLeft" state="frozen"/>
      <selection activeCell="E10" sqref="E10:E5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6.5703125" style="1" customWidth="1"/>
    <col min="4" max="4" width="10.85546875" style="1" bestFit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34</v>
      </c>
      <c r="D7" s="64" t="s">
        <v>35</v>
      </c>
      <c r="E7" s="64" t="s">
        <v>36</v>
      </c>
      <c r="F7" s="16"/>
      <c r="G7" s="19" t="s">
        <v>37</v>
      </c>
      <c r="H7" s="19" t="s">
        <v>38</v>
      </c>
      <c r="J7" s="19" t="s">
        <v>39</v>
      </c>
      <c r="K7" s="20"/>
      <c r="L7" s="20"/>
      <c r="M7" s="20"/>
      <c r="N7" s="20"/>
      <c r="P7" s="19" t="s">
        <v>40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44</v>
      </c>
      <c r="D10" s="82" t="s">
        <v>35</v>
      </c>
      <c r="E10" s="80" t="s">
        <v>12</v>
      </c>
      <c r="F10" s="2"/>
      <c r="G10" s="63">
        <f>IF($E10="Labour",Assumptions!$B$14,)</f>
        <v>0</v>
      </c>
      <c r="H10" s="9" t="str">
        <f>IF($E10="Labour","Hours","$")</f>
        <v>$</v>
      </c>
      <c r="I10" s="2"/>
      <c r="J10" s="83">
        <f>(543*3003)+(29*6200)+(26*4808)</f>
        <v>1935437</v>
      </c>
      <c r="K10" s="83">
        <f>(292*3003)+(20*4808)+(1*6200)</f>
        <v>979236</v>
      </c>
      <c r="L10" s="83">
        <f>(280*3003)+(4*6200)+(1*3293)</f>
        <v>868933</v>
      </c>
      <c r="M10" s="83">
        <f>(1643*3003)+(5*6200)+(81*3293)</f>
        <v>5231662</v>
      </c>
      <c r="N10" s="83">
        <f>(543*3003)+(29*6200)+(26*4808)</f>
        <v>1935437</v>
      </c>
      <c r="O10" s="2"/>
      <c r="P10" s="5">
        <f t="shared" ref="P10:P54" si="0">IF($E10="Labour",$G10*J10,J10)</f>
        <v>1935437</v>
      </c>
      <c r="Q10" s="5">
        <f t="shared" ref="Q10:Q54" si="1">IF($E10="Labour",$G10*K10,K10)</f>
        <v>979236</v>
      </c>
      <c r="R10" s="5">
        <f t="shared" ref="R10:R54" si="2">IF($E10="Labour",$G10*L10,L10)</f>
        <v>868933</v>
      </c>
      <c r="S10" s="5">
        <f t="shared" ref="S10:S54" si="3">IF($E10="Labour",$G10*M10,M10)</f>
        <v>5231662</v>
      </c>
      <c r="T10" s="5">
        <f t="shared" ref="T10:T54" si="4">IF($E10="Labour",$G10*N10,N10)</f>
        <v>1935437</v>
      </c>
    </row>
    <row r="11" spans="1:25" ht="12.75" customHeight="1" x14ac:dyDescent="0.2">
      <c r="A11" s="4"/>
      <c r="C11" s="81" t="s">
        <v>45</v>
      </c>
      <c r="D11" s="82" t="s">
        <v>35</v>
      </c>
      <c r="E11" s="80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>
        <f>(109*2310)</f>
        <v>251790</v>
      </c>
      <c r="K11" s="83">
        <f>13*2310</f>
        <v>30030</v>
      </c>
      <c r="L11" s="83">
        <f>103*2310</f>
        <v>237930</v>
      </c>
      <c r="M11" s="83">
        <f>(2*2310)</f>
        <v>4620</v>
      </c>
      <c r="N11" s="83">
        <f>(109*2310)</f>
        <v>251790</v>
      </c>
      <c r="O11" s="2"/>
      <c r="P11" s="5">
        <f t="shared" si="0"/>
        <v>251790</v>
      </c>
      <c r="Q11" s="5">
        <f t="shared" si="1"/>
        <v>30030</v>
      </c>
      <c r="R11" s="5">
        <f t="shared" si="2"/>
        <v>237930</v>
      </c>
      <c r="S11" s="5">
        <f t="shared" si="3"/>
        <v>4620</v>
      </c>
      <c r="T11" s="5">
        <f t="shared" si="4"/>
        <v>251790</v>
      </c>
    </row>
    <row r="12" spans="1:25" ht="12.75" customHeight="1" x14ac:dyDescent="0.2">
      <c r="A12" s="4"/>
      <c r="C12" s="81" t="s">
        <v>46</v>
      </c>
      <c r="D12" s="82" t="s">
        <v>35</v>
      </c>
      <c r="E12" s="80" t="s">
        <v>12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3">
        <f>1290*1408</f>
        <v>1816320</v>
      </c>
      <c r="K12" s="83">
        <f>677*1408</f>
        <v>953216</v>
      </c>
      <c r="L12" s="83">
        <f>1290*1408</f>
        <v>1816320</v>
      </c>
      <c r="M12" s="83">
        <f>677*1408</f>
        <v>953216</v>
      </c>
      <c r="N12" s="83">
        <f>1290*1408</f>
        <v>1816320</v>
      </c>
      <c r="O12" s="2"/>
      <c r="P12" s="5">
        <f t="shared" si="0"/>
        <v>1816320</v>
      </c>
      <c r="Q12" s="5">
        <f t="shared" si="1"/>
        <v>953216</v>
      </c>
      <c r="R12" s="5">
        <f t="shared" si="2"/>
        <v>1816320</v>
      </c>
      <c r="S12" s="5">
        <f t="shared" si="3"/>
        <v>953216</v>
      </c>
      <c r="T12" s="5">
        <f t="shared" si="4"/>
        <v>1816320</v>
      </c>
    </row>
    <row r="13" spans="1:25" ht="12.75" customHeight="1" x14ac:dyDescent="0.25">
      <c r="A13" s="4"/>
      <c r="C13" s="81" t="s">
        <v>47</v>
      </c>
      <c r="D13" s="82" t="s">
        <v>35</v>
      </c>
      <c r="E13" s="80" t="s">
        <v>12</v>
      </c>
      <c r="F13" s="2"/>
      <c r="G13" s="63">
        <f>IF($E13="Labour",Assumptions!$B$14,)</f>
        <v>0</v>
      </c>
      <c r="H13" s="9" t="str">
        <f t="shared" si="5"/>
        <v>$</v>
      </c>
      <c r="I13" s="2"/>
      <c r="J13" s="83">
        <f>34*2067</f>
        <v>70278</v>
      </c>
      <c r="K13" s="83">
        <f>121*2067</f>
        <v>250107</v>
      </c>
      <c r="L13" s="83">
        <f>34*2067</f>
        <v>70278</v>
      </c>
      <c r="M13" s="83">
        <f>121*2067</f>
        <v>250107</v>
      </c>
      <c r="N13" s="83">
        <f>34*2067</f>
        <v>70278</v>
      </c>
      <c r="O13" s="2"/>
      <c r="P13" s="5">
        <f t="shared" si="0"/>
        <v>70278</v>
      </c>
      <c r="Q13" s="5">
        <f t="shared" si="1"/>
        <v>250107</v>
      </c>
      <c r="R13" s="5">
        <f t="shared" si="2"/>
        <v>70278</v>
      </c>
      <c r="S13" s="5">
        <f t="shared" si="3"/>
        <v>250107</v>
      </c>
      <c r="T13" s="5">
        <f t="shared" si="4"/>
        <v>70278</v>
      </c>
      <c r="Y13"/>
    </row>
    <row r="14" spans="1:25" ht="12.75" customHeight="1" x14ac:dyDescent="0.25">
      <c r="A14" s="4"/>
      <c r="C14" s="81" t="s">
        <v>48</v>
      </c>
      <c r="D14" s="82" t="s">
        <v>35</v>
      </c>
      <c r="E14" s="80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3">
        <f>(175*1457)</f>
        <v>254975</v>
      </c>
      <c r="K14" s="83">
        <f>(232*1457)</f>
        <v>338024</v>
      </c>
      <c r="L14" s="83">
        <f>(232*1457)</f>
        <v>338024</v>
      </c>
      <c r="M14" s="83">
        <f>(175*1457)</f>
        <v>254975</v>
      </c>
      <c r="N14" s="83">
        <f>(232*1457)</f>
        <v>338024</v>
      </c>
      <c r="O14" s="2"/>
      <c r="P14" s="5">
        <f t="shared" si="0"/>
        <v>254975</v>
      </c>
      <c r="Q14" s="5">
        <f t="shared" si="1"/>
        <v>338024</v>
      </c>
      <c r="R14" s="5">
        <f t="shared" si="2"/>
        <v>338024</v>
      </c>
      <c r="S14" s="5">
        <f t="shared" si="3"/>
        <v>254975</v>
      </c>
      <c r="T14" s="5">
        <f t="shared" si="4"/>
        <v>338024</v>
      </c>
      <c r="Y14"/>
    </row>
    <row r="15" spans="1:25" ht="12.75" customHeight="1" x14ac:dyDescent="0.25">
      <c r="A15" s="4"/>
      <c r="C15" s="81" t="s">
        <v>49</v>
      </c>
      <c r="D15" s="82" t="s">
        <v>35</v>
      </c>
      <c r="E15" s="80" t="s">
        <v>12</v>
      </c>
      <c r="F15" s="2"/>
      <c r="G15" s="63">
        <f>IF($E15="Labour",Assumptions!$B$14,)</f>
        <v>0</v>
      </c>
      <c r="H15" s="9" t="str">
        <f t="shared" si="5"/>
        <v>$</v>
      </c>
      <c r="I15" s="2"/>
      <c r="J15" s="83">
        <f>(69*2527)</f>
        <v>174363</v>
      </c>
      <c r="K15" s="83">
        <f>(377*2527)</f>
        <v>952679</v>
      </c>
      <c r="L15" s="83">
        <f>(101*2527)</f>
        <v>255227</v>
      </c>
      <c r="M15" s="83">
        <f>(69*2527)</f>
        <v>174363</v>
      </c>
      <c r="N15" s="83">
        <f>(377*2527)</f>
        <v>952679</v>
      </c>
      <c r="O15" s="2"/>
      <c r="P15" s="5">
        <f t="shared" si="0"/>
        <v>174363</v>
      </c>
      <c r="Q15" s="5">
        <f t="shared" si="1"/>
        <v>952679</v>
      </c>
      <c r="R15" s="5">
        <f t="shared" si="2"/>
        <v>255227</v>
      </c>
      <c r="S15" s="5">
        <f t="shared" si="3"/>
        <v>174363</v>
      </c>
      <c r="T15" s="5">
        <f t="shared" si="4"/>
        <v>952679</v>
      </c>
      <c r="Y15"/>
    </row>
    <row r="16" spans="1:25" ht="12.75" customHeight="1" x14ac:dyDescent="0.25">
      <c r="A16" s="4"/>
      <c r="C16" s="81" t="s">
        <v>50</v>
      </c>
      <c r="D16" s="82" t="s">
        <v>35</v>
      </c>
      <c r="E16" s="80" t="s">
        <v>11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3">
        <v>2392</v>
      </c>
      <c r="K16" s="83">
        <v>1252</v>
      </c>
      <c r="L16" s="83">
        <v>1140</v>
      </c>
      <c r="M16" s="83">
        <v>6916</v>
      </c>
      <c r="N16" s="83">
        <v>2392</v>
      </c>
      <c r="O16" s="2"/>
      <c r="P16" s="5">
        <f t="shared" si="0"/>
        <v>348699.56222840247</v>
      </c>
      <c r="Q16" s="5">
        <f t="shared" si="1"/>
        <v>182513.31601586952</v>
      </c>
      <c r="R16" s="5">
        <f t="shared" si="2"/>
        <v>166186.24621253295</v>
      </c>
      <c r="S16" s="5">
        <f t="shared" si="3"/>
        <v>1008196.5603560332</v>
      </c>
      <c r="T16" s="5">
        <f t="shared" si="4"/>
        <v>348699.56222840247</v>
      </c>
      <c r="Y16"/>
    </row>
    <row r="17" spans="1:25" ht="12.75" customHeight="1" x14ac:dyDescent="0.25">
      <c r="A17" s="4"/>
      <c r="C17" s="81" t="s">
        <v>51</v>
      </c>
      <c r="D17" s="82" t="s">
        <v>35</v>
      </c>
      <c r="E17" s="80" t="s">
        <v>11</v>
      </c>
      <c r="F17" s="2"/>
      <c r="G17" s="63">
        <f>IF($E17="Labour",Assumptions!$B$14,)</f>
        <v>145.77740895836223</v>
      </c>
      <c r="H17" s="9" t="str">
        <f t="shared" si="5"/>
        <v>Hours</v>
      </c>
      <c r="I17" s="2"/>
      <c r="J17" s="83">
        <v>436</v>
      </c>
      <c r="K17" s="83">
        <v>52</v>
      </c>
      <c r="L17" s="83">
        <v>412</v>
      </c>
      <c r="M17" s="83">
        <v>8</v>
      </c>
      <c r="N17" s="83">
        <v>436</v>
      </c>
      <c r="O17" s="2"/>
      <c r="P17" s="5">
        <f t="shared" si="0"/>
        <v>63558.95030584593</v>
      </c>
      <c r="Q17" s="5">
        <f t="shared" si="1"/>
        <v>7580.425265834836</v>
      </c>
      <c r="R17" s="5">
        <f t="shared" si="2"/>
        <v>60060.292490845241</v>
      </c>
      <c r="S17" s="5">
        <f t="shared" si="3"/>
        <v>1166.2192716668978</v>
      </c>
      <c r="T17" s="5">
        <f t="shared" si="4"/>
        <v>63558.95030584593</v>
      </c>
      <c r="Y17"/>
    </row>
    <row r="18" spans="1:25" ht="12.75" customHeight="1" x14ac:dyDescent="0.25">
      <c r="A18" s="4"/>
      <c r="C18" s="81" t="s">
        <v>52</v>
      </c>
      <c r="D18" s="82" t="s">
        <v>35</v>
      </c>
      <c r="E18" s="80" t="s">
        <v>11</v>
      </c>
      <c r="F18" s="2"/>
      <c r="G18" s="63">
        <f>IF($E18="Labour",Assumptions!$B$14,)</f>
        <v>145.77740895836223</v>
      </c>
      <c r="H18" s="9" t="str">
        <f t="shared" si="5"/>
        <v>Hours</v>
      </c>
      <c r="I18" s="2"/>
      <c r="J18" s="83">
        <v>1986</v>
      </c>
      <c r="K18" s="83">
        <v>1197</v>
      </c>
      <c r="L18" s="83">
        <v>1986</v>
      </c>
      <c r="M18" s="83">
        <v>1197</v>
      </c>
      <c r="N18" s="83">
        <v>1986</v>
      </c>
      <c r="O18" s="2"/>
      <c r="P18" s="5">
        <f t="shared" si="0"/>
        <v>289513.9341913074</v>
      </c>
      <c r="Q18" s="5">
        <f t="shared" si="1"/>
        <v>174495.55852315959</v>
      </c>
      <c r="R18" s="5">
        <f t="shared" si="2"/>
        <v>289513.9341913074</v>
      </c>
      <c r="S18" s="5">
        <f t="shared" si="3"/>
        <v>174495.55852315959</v>
      </c>
      <c r="T18" s="5">
        <f t="shared" si="4"/>
        <v>289513.9341913074</v>
      </c>
      <c r="Y18"/>
    </row>
    <row r="19" spans="1:25" ht="12.75" customHeight="1" x14ac:dyDescent="0.25">
      <c r="A19" s="4"/>
      <c r="C19" s="81" t="s">
        <v>53</v>
      </c>
      <c r="D19" s="82" t="s">
        <v>35</v>
      </c>
      <c r="E19" s="80" t="s">
        <v>11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3">
        <v>366</v>
      </c>
      <c r="K19" s="83">
        <v>913.5</v>
      </c>
      <c r="L19" s="83">
        <v>499.5</v>
      </c>
      <c r="M19" s="83">
        <v>366</v>
      </c>
      <c r="N19" s="83">
        <v>914</v>
      </c>
      <c r="O19" s="2"/>
      <c r="P19" s="5">
        <f t="shared" si="0"/>
        <v>53354.531678760577</v>
      </c>
      <c r="Q19" s="5">
        <f t="shared" si="1"/>
        <v>133167.66308346391</v>
      </c>
      <c r="R19" s="5">
        <f t="shared" si="2"/>
        <v>72815.815774701929</v>
      </c>
      <c r="S19" s="5">
        <f t="shared" si="3"/>
        <v>53354.531678760577</v>
      </c>
      <c r="T19" s="5">
        <f t="shared" si="4"/>
        <v>133240.55178794308</v>
      </c>
      <c r="Y19"/>
    </row>
    <row r="20" spans="1:25" ht="12.75" customHeight="1" x14ac:dyDescent="0.25">
      <c r="A20" s="4"/>
      <c r="C20" s="81" t="s">
        <v>54</v>
      </c>
      <c r="D20" s="82" t="s">
        <v>35</v>
      </c>
      <c r="E20" s="80" t="s">
        <v>11</v>
      </c>
      <c r="F20" s="2"/>
      <c r="G20" s="63">
        <f>IF($E20="Labour",Assumptions!$B$14,)</f>
        <v>145.77740895836223</v>
      </c>
      <c r="H20" s="9" t="str">
        <f t="shared" si="5"/>
        <v>Hours</v>
      </c>
      <c r="I20" s="2"/>
      <c r="J20" s="83"/>
      <c r="K20" s="83">
        <v>600</v>
      </c>
      <c r="L20" s="83">
        <v>5021.3785742528662</v>
      </c>
      <c r="M20" s="83"/>
      <c r="N20" s="83"/>
      <c r="O20" s="2"/>
      <c r="P20" s="5">
        <f t="shared" si="0"/>
        <v>0</v>
      </c>
      <c r="Q20" s="5">
        <f t="shared" si="1"/>
        <v>87466.445375017342</v>
      </c>
      <c r="R20" s="5">
        <f t="shared" si="2"/>
        <v>732003.55795361788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55</v>
      </c>
      <c r="D21" s="82" t="s">
        <v>35</v>
      </c>
      <c r="E21" s="80" t="s">
        <v>12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3"/>
      <c r="K21" s="83"/>
      <c r="L21" s="83">
        <v>949093</v>
      </c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949093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35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755126.97840431635</v>
      </c>
      <c r="Q58" s="25">
        <f t="shared" si="6"/>
        <v>585223.40826334525</v>
      </c>
      <c r="R58" s="25">
        <f t="shared" si="6"/>
        <v>1320579.8466230053</v>
      </c>
      <c r="S58" s="25">
        <f t="shared" si="6"/>
        <v>1237212.8698296205</v>
      </c>
      <c r="T58" s="25">
        <f t="shared" si="6"/>
        <v>835012.99851349893</v>
      </c>
      <c r="U58" s="70">
        <f>SUM(P58:T58)</f>
        <v>4733156.1016337862</v>
      </c>
    </row>
    <row r="59" spans="1:25" ht="12.75" customHeight="1" x14ac:dyDescent="0.2">
      <c r="C59" s="1" t="s">
        <v>12</v>
      </c>
      <c r="D59" s="1" t="s">
        <v>35</v>
      </c>
      <c r="F59" s="2"/>
      <c r="G59" s="67"/>
      <c r="I59" s="2"/>
      <c r="O59" s="2"/>
      <c r="P59" s="6">
        <f t="shared" si="6"/>
        <v>4503163</v>
      </c>
      <c r="Q59" s="6">
        <f t="shared" si="6"/>
        <v>3503292</v>
      </c>
      <c r="R59" s="6">
        <f t="shared" si="6"/>
        <v>4535805</v>
      </c>
      <c r="S59" s="6">
        <f t="shared" si="6"/>
        <v>6868943</v>
      </c>
      <c r="T59" s="6">
        <f t="shared" si="6"/>
        <v>5364528</v>
      </c>
      <c r="U59" s="71">
        <f t="shared" ref="U59:U61" si="7">SUM(P59:T59)</f>
        <v>24775731</v>
      </c>
    </row>
    <row r="60" spans="1:25" ht="12.75" customHeight="1" x14ac:dyDescent="0.2">
      <c r="C60" s="1" t="s">
        <v>13</v>
      </c>
      <c r="D60" s="1" t="s">
        <v>35</v>
      </c>
      <c r="F60" s="2"/>
      <c r="G60" s="67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5258289.9784043161</v>
      </c>
      <c r="Q61" s="8">
        <f>SUM(Q58:Q60)</f>
        <v>4088515.4082633452</v>
      </c>
      <c r="R61" s="8">
        <f>SUM(R58:R60)</f>
        <v>5856384.8466230053</v>
      </c>
      <c r="S61" s="8">
        <f>SUM(S58:S60)</f>
        <v>8106155.8698296202</v>
      </c>
      <c r="T61" s="8">
        <f>SUM(T58:T60)</f>
        <v>6199540.9985134993</v>
      </c>
      <c r="U61" s="72">
        <f t="shared" si="7"/>
        <v>29508887.101633787</v>
      </c>
    </row>
    <row r="62" spans="1:25" ht="12.75" customHeight="1" x14ac:dyDescent="0.2">
      <c r="C62" s="44" t="s">
        <v>42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>Q61-SUM(Q$10:Q$54)</f>
        <v>0</v>
      </c>
      <c r="R62" s="45">
        <f>R61-SUM(R$10:R$54)</f>
        <v>0</v>
      </c>
      <c r="S62" s="45">
        <f>S61-SUM(S$10:S$54)</f>
        <v>0</v>
      </c>
      <c r="T62" s="45">
        <f>T61-SUM(T$10:T$54)</f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26463163.582173251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43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35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840390.36391651595</v>
      </c>
      <c r="Q68" s="34">
        <f t="shared" si="8"/>
        <v>651302.53203529993</v>
      </c>
      <c r="R68" s="34">
        <f t="shared" si="8"/>
        <v>1469690.011909632</v>
      </c>
      <c r="S68" s="34">
        <f t="shared" si="8"/>
        <v>1376909.8491427551</v>
      </c>
      <c r="T68" s="34">
        <f t="shared" si="8"/>
        <v>929296.52596791578</v>
      </c>
      <c r="U68" s="70">
        <f>SUM(P68:T68)</f>
        <v>5267589.2829721188</v>
      </c>
    </row>
    <row r="69" spans="3:21" ht="12.75" customHeight="1" x14ac:dyDescent="0.2">
      <c r="C69" s="1" t="s">
        <v>12</v>
      </c>
      <c r="D69" s="1" t="s">
        <v>35</v>
      </c>
      <c r="F69" s="2"/>
      <c r="G69" s="67"/>
      <c r="I69" s="2"/>
      <c r="O69" s="2"/>
      <c r="P69" s="6">
        <f t="shared" si="8"/>
        <v>5011627.0515753003</v>
      </c>
      <c r="Q69" s="6">
        <f t="shared" si="8"/>
        <v>3898857.9708900917</v>
      </c>
      <c r="R69" s="6">
        <f t="shared" si="8"/>
        <v>5047954.746179631</v>
      </c>
      <c r="S69" s="6">
        <f t="shared" si="8"/>
        <v>7644533.5322147561</v>
      </c>
      <c r="T69" s="6">
        <f t="shared" si="8"/>
        <v>5970251.0532559324</v>
      </c>
      <c r="U69" s="71">
        <f t="shared" ref="U69:U71" si="9">SUM(P69:T69)</f>
        <v>27573224.35411571</v>
      </c>
    </row>
    <row r="70" spans="3:21" ht="12.75" customHeight="1" x14ac:dyDescent="0.2">
      <c r="C70" s="1" t="s">
        <v>13</v>
      </c>
      <c r="D70" s="1" t="s">
        <v>35</v>
      </c>
      <c r="F70" s="2"/>
      <c r="G70" s="67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1">
        <f t="shared" si="9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5852017.4154918166</v>
      </c>
      <c r="Q71" s="8">
        <f>SUM(Q68:Q70)</f>
        <v>4550160.5029253913</v>
      </c>
      <c r="R71" s="8">
        <f>SUM(R68:R70)</f>
        <v>6517644.758089263</v>
      </c>
      <c r="S71" s="8">
        <f>SUM(S68:S70)</f>
        <v>9021443.3813575115</v>
      </c>
      <c r="T71" s="8">
        <f>SUM(T68:T70)</f>
        <v>6899547.5792238479</v>
      </c>
      <c r="U71" s="72">
        <f t="shared" si="9"/>
        <v>32840813.637087829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29451189.414791737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9" priority="5">
      <formula>$E10="Contracts"</formula>
    </cfRule>
    <cfRule type="expression" dxfId="8" priority="6">
      <formula>$E10="Materials"</formula>
    </cfRule>
    <cfRule type="expression" dxfId="7" priority="7">
      <formula>$E10="Labour"</formula>
    </cfRule>
  </conditionalFormatting>
  <conditionalFormatting sqref="P62:U62">
    <cfRule type="expression" dxfId="6" priority="1">
      <formula>ABS(P62)&gt;0.001</formula>
    </cfRule>
  </conditionalFormatting>
  <conditionalFormatting sqref="V62">
    <cfRule type="expression" dxfId="5" priority="8">
      <formula>ABS(V62)&gt;0.001</formula>
    </cfRule>
  </conditionalFormatting>
  <dataValidations count="1">
    <dataValidation type="list" allowBlank="1" showInputMessage="1" showErrorMessage="1" sqref="E10:E54" xr:uid="{B30C51E7-6CCB-4165-857D-6C68F6D5B597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73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0.42578125" style="1" customWidth="1"/>
    <col min="4" max="4" width="10.85546875" style="1" bestFit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15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7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34</v>
      </c>
      <c r="D7" s="64" t="s">
        <v>35</v>
      </c>
      <c r="E7" s="64" t="s">
        <v>36</v>
      </c>
      <c r="F7" s="16"/>
      <c r="G7" s="19" t="s">
        <v>37</v>
      </c>
      <c r="H7" s="19" t="s">
        <v>38</v>
      </c>
      <c r="J7" s="19" t="s">
        <v>39</v>
      </c>
      <c r="K7" s="20"/>
      <c r="L7" s="20"/>
      <c r="M7" s="20"/>
      <c r="N7" s="20"/>
      <c r="P7" s="19" t="s">
        <v>40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/>
      <c r="E8" s="99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44</v>
      </c>
      <c r="D10" s="82" t="s">
        <v>35</v>
      </c>
      <c r="E10" s="80" t="s">
        <v>12</v>
      </c>
      <c r="F10" s="2"/>
      <c r="G10" s="63">
        <f>IF($E10="Labour",Assumptions!$B$14,)</f>
        <v>0</v>
      </c>
      <c r="H10" s="9" t="str">
        <f>IF($E10="Labour","Hours","$")</f>
        <v>$</v>
      </c>
      <c r="I10" s="2"/>
      <c r="J10" s="83">
        <f>(2758*3003)+(82*3293)+(46*4808)+(44*6200)</f>
        <v>9046268</v>
      </c>
      <c r="K10" s="83">
        <v>0</v>
      </c>
      <c r="L10" s="83">
        <v>0</v>
      </c>
      <c r="M10" s="83">
        <v>0</v>
      </c>
      <c r="N10" s="83">
        <f>(2758*3003)+(82*3293)+(46*4808)+(44*6200)</f>
        <v>9046268</v>
      </c>
      <c r="O10" s="2"/>
      <c r="P10" s="5">
        <f t="shared" ref="P10:P54" si="0">IF($E10="Labour",$G10*J10,J10)</f>
        <v>9046268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9046268</v>
      </c>
    </row>
    <row r="11" spans="1:25" ht="12.75" customHeight="1" x14ac:dyDescent="0.2">
      <c r="A11" s="4"/>
      <c r="C11" s="81" t="s">
        <v>45</v>
      </c>
      <c r="D11" s="82" t="s">
        <v>35</v>
      </c>
      <c r="E11" s="80" t="s">
        <v>12</v>
      </c>
      <c r="F11" s="2"/>
      <c r="G11" s="63">
        <f>IF($E11="Labour",Assumptions!$B$14,)</f>
        <v>0</v>
      </c>
      <c r="H11" s="9" t="str">
        <f t="shared" ref="H11:H54" si="5">IF($E11="Labour","Hours","$")</f>
        <v>$</v>
      </c>
      <c r="I11" s="2"/>
      <c r="J11" s="83">
        <f>(227*2310)</f>
        <v>524370</v>
      </c>
      <c r="K11" s="83">
        <v>0</v>
      </c>
      <c r="L11" s="83">
        <v>0</v>
      </c>
      <c r="M11" s="83">
        <v>0</v>
      </c>
      <c r="N11" s="83">
        <f>(227*2310)</f>
        <v>524370</v>
      </c>
      <c r="O11" s="2"/>
      <c r="P11" s="5">
        <f t="shared" si="0"/>
        <v>524370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524370</v>
      </c>
    </row>
    <row r="12" spans="1:25" ht="12.75" customHeight="1" x14ac:dyDescent="0.2">
      <c r="A12" s="4"/>
      <c r="C12" s="81" t="s">
        <v>46</v>
      </c>
      <c r="D12" s="82" t="s">
        <v>35</v>
      </c>
      <c r="E12" s="80" t="s">
        <v>12</v>
      </c>
      <c r="F12" s="2"/>
      <c r="G12" s="63">
        <f>IF($E12="Labour",Assumptions!$B$14,)</f>
        <v>0</v>
      </c>
      <c r="H12" s="9" t="str">
        <f t="shared" si="5"/>
        <v>$</v>
      </c>
      <c r="I12" s="2"/>
      <c r="J12" s="83">
        <f>1967*1408</f>
        <v>2769536</v>
      </c>
      <c r="K12" s="83">
        <v>0</v>
      </c>
      <c r="L12" s="83">
        <f>1967*1408</f>
        <v>2769536</v>
      </c>
      <c r="M12" s="83">
        <v>0</v>
      </c>
      <c r="N12" s="83">
        <f>1967*1408</f>
        <v>2769536</v>
      </c>
      <c r="O12" s="2"/>
      <c r="P12" s="5">
        <f t="shared" si="0"/>
        <v>2769536</v>
      </c>
      <c r="Q12" s="5">
        <f t="shared" si="1"/>
        <v>0</v>
      </c>
      <c r="R12" s="5">
        <f t="shared" si="2"/>
        <v>2769536</v>
      </c>
      <c r="S12" s="5">
        <f t="shared" si="3"/>
        <v>0</v>
      </c>
      <c r="T12" s="5">
        <f t="shared" si="4"/>
        <v>2769536</v>
      </c>
    </row>
    <row r="13" spans="1:25" ht="12.75" customHeight="1" x14ac:dyDescent="0.25">
      <c r="A13" s="4"/>
      <c r="C13" s="81" t="s">
        <v>47</v>
      </c>
      <c r="D13" s="82" t="s">
        <v>35</v>
      </c>
      <c r="E13" s="80" t="s">
        <v>12</v>
      </c>
      <c r="F13" s="2"/>
      <c r="G13" s="63">
        <f>IF($E13="Labour",Assumptions!$B$14,)</f>
        <v>0</v>
      </c>
      <c r="H13" s="9" t="str">
        <f t="shared" si="5"/>
        <v>$</v>
      </c>
      <c r="I13" s="2"/>
      <c r="J13" s="83">
        <f>155*2067</f>
        <v>320385</v>
      </c>
      <c r="K13" s="83">
        <v>0</v>
      </c>
      <c r="L13" s="83">
        <f>155*2067</f>
        <v>320385</v>
      </c>
      <c r="M13" s="83">
        <v>0</v>
      </c>
      <c r="N13" s="83">
        <f>155*2067</f>
        <v>320385</v>
      </c>
      <c r="O13" s="2"/>
      <c r="P13" s="5">
        <f t="shared" si="0"/>
        <v>320385</v>
      </c>
      <c r="Q13" s="5">
        <f t="shared" si="1"/>
        <v>0</v>
      </c>
      <c r="R13" s="5">
        <f t="shared" si="2"/>
        <v>320385</v>
      </c>
      <c r="S13" s="5">
        <f t="shared" si="3"/>
        <v>0</v>
      </c>
      <c r="T13" s="5">
        <f t="shared" si="4"/>
        <v>320385</v>
      </c>
      <c r="Y13"/>
    </row>
    <row r="14" spans="1:25" ht="12.75" customHeight="1" x14ac:dyDescent="0.25">
      <c r="A14" s="4"/>
      <c r="C14" s="81" t="s">
        <v>48</v>
      </c>
      <c r="D14" s="82" t="s">
        <v>35</v>
      </c>
      <c r="E14" s="80" t="s">
        <v>12</v>
      </c>
      <c r="F14" s="2"/>
      <c r="G14" s="63">
        <f>IF($E14="Labour",Assumptions!$B$14,)</f>
        <v>0</v>
      </c>
      <c r="H14" s="9" t="str">
        <f t="shared" si="5"/>
        <v>$</v>
      </c>
      <c r="I14" s="2"/>
      <c r="J14" s="83">
        <f>(639*1457)</f>
        <v>931023</v>
      </c>
      <c r="K14" s="83">
        <v>0</v>
      </c>
      <c r="L14" s="83">
        <v>0</v>
      </c>
      <c r="M14" s="83">
        <f>(639*1457)</f>
        <v>931023</v>
      </c>
      <c r="N14" s="83">
        <v>0</v>
      </c>
      <c r="O14" s="2"/>
      <c r="P14" s="5">
        <f t="shared" si="0"/>
        <v>931023</v>
      </c>
      <c r="Q14" s="5">
        <f t="shared" si="1"/>
        <v>0</v>
      </c>
      <c r="R14" s="5">
        <f t="shared" si="2"/>
        <v>0</v>
      </c>
      <c r="S14" s="5">
        <f t="shared" si="3"/>
        <v>931023</v>
      </c>
      <c r="T14" s="5">
        <f t="shared" si="4"/>
        <v>0</v>
      </c>
      <c r="Y14"/>
    </row>
    <row r="15" spans="1:25" ht="12.75" customHeight="1" x14ac:dyDescent="0.25">
      <c r="A15" s="4"/>
      <c r="C15" s="81" t="s">
        <v>49</v>
      </c>
      <c r="D15" s="82" t="s">
        <v>35</v>
      </c>
      <c r="E15" s="80" t="s">
        <v>12</v>
      </c>
      <c r="F15" s="2"/>
      <c r="G15" s="63"/>
      <c r="H15" s="9" t="str">
        <f t="shared" si="5"/>
        <v>$</v>
      </c>
      <c r="I15" s="2"/>
      <c r="J15" s="83">
        <f>(547*2527)</f>
        <v>1382269</v>
      </c>
      <c r="K15" s="83">
        <v>0</v>
      </c>
      <c r="L15" s="83">
        <v>0</v>
      </c>
      <c r="M15" s="83">
        <f>(547*2527)</f>
        <v>1382269</v>
      </c>
      <c r="N15" s="83">
        <v>0</v>
      </c>
      <c r="O15" s="2"/>
      <c r="P15" s="5">
        <f t="shared" si="0"/>
        <v>1382269</v>
      </c>
      <c r="Q15" s="5">
        <f t="shared" si="1"/>
        <v>0</v>
      </c>
      <c r="R15" s="5">
        <f t="shared" si="2"/>
        <v>0</v>
      </c>
      <c r="S15" s="5">
        <f t="shared" si="3"/>
        <v>1382269</v>
      </c>
      <c r="T15" s="5">
        <f t="shared" si="4"/>
        <v>0</v>
      </c>
      <c r="Y15"/>
    </row>
    <row r="16" spans="1:25" ht="12.75" customHeight="1" x14ac:dyDescent="0.25">
      <c r="A16" s="4"/>
      <c r="C16" s="81" t="s">
        <v>50</v>
      </c>
      <c r="D16" s="82" t="s">
        <v>35</v>
      </c>
      <c r="E16" s="80" t="s">
        <v>11</v>
      </c>
      <c r="F16" s="2"/>
      <c r="G16" s="63">
        <f>IF($E16="Labour",Assumptions!$B$14,)</f>
        <v>145.77740895836223</v>
      </c>
      <c r="H16" s="9" t="str">
        <f t="shared" si="5"/>
        <v>Hours</v>
      </c>
      <c r="I16" s="2"/>
      <c r="J16" s="83">
        <v>11720</v>
      </c>
      <c r="K16" s="83">
        <v>2930</v>
      </c>
      <c r="L16" s="83">
        <v>2930</v>
      </c>
      <c r="M16" s="83">
        <v>2930</v>
      </c>
      <c r="N16" s="83">
        <v>11720</v>
      </c>
      <c r="O16" s="2"/>
      <c r="P16" s="5">
        <f t="shared" si="0"/>
        <v>1708511.2329920053</v>
      </c>
      <c r="Q16" s="5">
        <f t="shared" si="1"/>
        <v>427127.80824800133</v>
      </c>
      <c r="R16" s="5">
        <f t="shared" si="2"/>
        <v>427127.80824800133</v>
      </c>
      <c r="S16" s="5">
        <f t="shared" si="3"/>
        <v>427127.80824800133</v>
      </c>
      <c r="T16" s="5">
        <f t="shared" si="4"/>
        <v>1708511.2329920053</v>
      </c>
      <c r="Y16"/>
    </row>
    <row r="17" spans="1:25" ht="12.75" customHeight="1" x14ac:dyDescent="0.25">
      <c r="A17" s="4"/>
      <c r="C17" s="81" t="s">
        <v>51</v>
      </c>
      <c r="D17" s="82" t="s">
        <v>35</v>
      </c>
      <c r="E17" s="80" t="s">
        <v>11</v>
      </c>
      <c r="F17" s="2"/>
      <c r="G17" s="63">
        <f>IF($E17="Labour",Assumptions!$B$14,)</f>
        <v>145.77740895836223</v>
      </c>
      <c r="H17" s="9" t="str">
        <f t="shared" si="5"/>
        <v>Hours</v>
      </c>
      <c r="I17" s="2"/>
      <c r="J17" s="83">
        <v>908</v>
      </c>
      <c r="K17" s="83">
        <v>227</v>
      </c>
      <c r="L17" s="83">
        <v>227</v>
      </c>
      <c r="M17" s="83">
        <v>227</v>
      </c>
      <c r="N17" s="83">
        <v>908</v>
      </c>
      <c r="O17" s="2"/>
      <c r="P17" s="5">
        <f t="shared" si="0"/>
        <v>132365.8873341929</v>
      </c>
      <c r="Q17" s="5">
        <f t="shared" si="1"/>
        <v>33091.471833548225</v>
      </c>
      <c r="R17" s="5">
        <f t="shared" si="2"/>
        <v>33091.471833548225</v>
      </c>
      <c r="S17" s="5">
        <f t="shared" si="3"/>
        <v>33091.471833548225</v>
      </c>
      <c r="T17" s="5">
        <f t="shared" si="4"/>
        <v>132365.8873341929</v>
      </c>
      <c r="Y17"/>
    </row>
    <row r="18" spans="1:25" ht="12.75" customHeight="1" x14ac:dyDescent="0.25">
      <c r="A18" s="4"/>
      <c r="C18" s="81" t="s">
        <v>52</v>
      </c>
      <c r="D18" s="82" t="s">
        <v>35</v>
      </c>
      <c r="E18" s="80" t="s">
        <v>11</v>
      </c>
      <c r="F18" s="2"/>
      <c r="G18" s="63">
        <f>IF($E18="Labour",Assumptions!$B$14,)</f>
        <v>145.77740895836223</v>
      </c>
      <c r="H18" s="9" t="str">
        <f t="shared" si="5"/>
        <v>Hours</v>
      </c>
      <c r="I18" s="2"/>
      <c r="J18" s="83">
        <v>3183</v>
      </c>
      <c r="K18" s="83">
        <v>1061</v>
      </c>
      <c r="L18" s="83">
        <v>3183</v>
      </c>
      <c r="M18" s="83">
        <v>1061</v>
      </c>
      <c r="N18" s="83">
        <v>3183</v>
      </c>
      <c r="O18" s="2"/>
      <c r="P18" s="5">
        <f t="shared" si="0"/>
        <v>464009.49271446699</v>
      </c>
      <c r="Q18" s="5">
        <f t="shared" si="1"/>
        <v>154669.83090482233</v>
      </c>
      <c r="R18" s="5">
        <f t="shared" si="2"/>
        <v>464009.49271446699</v>
      </c>
      <c r="S18" s="5">
        <f t="shared" si="3"/>
        <v>154669.83090482233</v>
      </c>
      <c r="T18" s="5">
        <f t="shared" si="4"/>
        <v>464009.49271446699</v>
      </c>
      <c r="Y18"/>
    </row>
    <row r="19" spans="1:25" ht="12.75" customHeight="1" x14ac:dyDescent="0.25">
      <c r="A19" s="4"/>
      <c r="C19" s="81" t="s">
        <v>53</v>
      </c>
      <c r="D19" s="82" t="s">
        <v>35</v>
      </c>
      <c r="E19" s="80" t="s">
        <v>11</v>
      </c>
      <c r="F19" s="2"/>
      <c r="G19" s="63">
        <f>IF($E19="Labour",Assumptions!$B$14,)</f>
        <v>145.77740895836223</v>
      </c>
      <c r="H19" s="9" t="str">
        <f t="shared" si="5"/>
        <v>Hours</v>
      </c>
      <c r="I19" s="2"/>
      <c r="J19" s="83">
        <v>1779</v>
      </c>
      <c r="K19" s="83">
        <v>889.5</v>
      </c>
      <c r="L19" s="83">
        <v>1779</v>
      </c>
      <c r="M19" s="83">
        <v>889.5</v>
      </c>
      <c r="N19" s="83">
        <v>1779</v>
      </c>
      <c r="O19" s="2"/>
      <c r="P19" s="5">
        <f t="shared" si="0"/>
        <v>259338.01053692642</v>
      </c>
      <c r="Q19" s="5">
        <f t="shared" si="1"/>
        <v>129669.00526846321</v>
      </c>
      <c r="R19" s="5">
        <f t="shared" si="2"/>
        <v>259338.01053692642</v>
      </c>
      <c r="S19" s="5">
        <f t="shared" si="3"/>
        <v>129669.00526846321</v>
      </c>
      <c r="T19" s="5">
        <f t="shared" si="4"/>
        <v>259338.01053692642</v>
      </c>
      <c r="Y19"/>
    </row>
    <row r="20" spans="1:25" ht="12.75" customHeight="1" x14ac:dyDescent="0.25">
      <c r="A20" s="4"/>
      <c r="C20" s="81" t="s">
        <v>56</v>
      </c>
      <c r="D20" s="82" t="s">
        <v>35</v>
      </c>
      <c r="E20" s="80" t="s">
        <v>11</v>
      </c>
      <c r="F20" s="2"/>
      <c r="G20" s="63">
        <f>IF($E20="Labour",Assumptions!$B$14,)</f>
        <v>145.77740895836223</v>
      </c>
      <c r="H20" s="9" t="str">
        <f t="shared" si="5"/>
        <v>Hours</v>
      </c>
      <c r="I20" s="2"/>
      <c r="J20" s="83">
        <v>5005</v>
      </c>
      <c r="K20" s="83"/>
      <c r="L20" s="83"/>
      <c r="M20" s="83">
        <v>600</v>
      </c>
      <c r="N20" s="83">
        <v>5005</v>
      </c>
      <c r="O20" s="2"/>
      <c r="P20" s="5">
        <f t="shared" si="0"/>
        <v>729615.93183660298</v>
      </c>
      <c r="Q20" s="5">
        <f t="shared" si="1"/>
        <v>0</v>
      </c>
      <c r="R20" s="5">
        <f t="shared" si="2"/>
        <v>0</v>
      </c>
      <c r="S20" s="5">
        <f t="shared" si="3"/>
        <v>87466.445375017342</v>
      </c>
      <c r="T20" s="5">
        <f t="shared" si="4"/>
        <v>729615.93183660298</v>
      </c>
      <c r="Y20"/>
    </row>
    <row r="21" spans="1:25" ht="12.75" customHeight="1" x14ac:dyDescent="0.25">
      <c r="A21" s="4"/>
      <c r="C21" s="81" t="s">
        <v>57</v>
      </c>
      <c r="D21" s="82" t="s">
        <v>35</v>
      </c>
      <c r="E21" s="80" t="s">
        <v>12</v>
      </c>
      <c r="F21" s="2"/>
      <c r="G21" s="63">
        <f>IF($E21="Labour",Assumptions!$B$14,)</f>
        <v>0</v>
      </c>
      <c r="H21" s="9" t="str">
        <f t="shared" si="5"/>
        <v>$</v>
      </c>
      <c r="I21" s="2"/>
      <c r="J21" s="83">
        <v>949093</v>
      </c>
      <c r="K21" s="83"/>
      <c r="L21" s="83"/>
      <c r="M21" s="83"/>
      <c r="N21" s="83">
        <v>949093</v>
      </c>
      <c r="O21" s="2"/>
      <c r="P21" s="5">
        <f t="shared" si="0"/>
        <v>949093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949093</v>
      </c>
      <c r="Y21"/>
    </row>
    <row r="22" spans="1:25" ht="12.75" customHeight="1" x14ac:dyDescent="0.25">
      <c r="A22" s="4"/>
      <c r="C22" s="81"/>
      <c r="D22" s="82"/>
      <c r="E22" s="80"/>
      <c r="F22" s="2"/>
      <c r="G22" s="63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3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3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3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3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3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3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3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3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3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3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3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3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3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3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3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3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3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3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3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3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3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3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3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3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3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3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3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3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3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3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3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3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41</v>
      </c>
      <c r="F57" s="2"/>
      <c r="I57" s="2"/>
      <c r="O57" s="2"/>
      <c r="P57" s="68" t="s">
        <v>5</v>
      </c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Y57"/>
    </row>
    <row r="58" spans="1:25" ht="12.75" customHeight="1" x14ac:dyDescent="0.2">
      <c r="C58" s="24" t="s">
        <v>11</v>
      </c>
      <c r="D58" s="24" t="s">
        <v>35</v>
      </c>
      <c r="E58" s="24"/>
      <c r="F58" s="2"/>
      <c r="G58" s="65"/>
      <c r="H58" s="66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3293840.5554141942</v>
      </c>
      <c r="Q58" s="25">
        <f t="shared" si="6"/>
        <v>744558.11625483504</v>
      </c>
      <c r="R58" s="25">
        <f t="shared" si="6"/>
        <v>1183566.783332943</v>
      </c>
      <c r="S58" s="25">
        <f t="shared" si="6"/>
        <v>832024.5616298524</v>
      </c>
      <c r="T58" s="25">
        <f t="shared" si="6"/>
        <v>3293840.5554141942</v>
      </c>
      <c r="U58" s="70">
        <f>SUM(P58:T58)</f>
        <v>9347830.5720460191</v>
      </c>
    </row>
    <row r="59" spans="1:25" ht="12.75" customHeight="1" x14ac:dyDescent="0.2">
      <c r="C59" s="1" t="s">
        <v>12</v>
      </c>
      <c r="D59" s="1" t="s">
        <v>35</v>
      </c>
      <c r="F59" s="2"/>
      <c r="G59" s="67"/>
      <c r="I59" s="2"/>
      <c r="O59" s="2"/>
      <c r="P59" s="6">
        <f t="shared" si="6"/>
        <v>15922944</v>
      </c>
      <c r="Q59" s="6">
        <f t="shared" si="6"/>
        <v>0</v>
      </c>
      <c r="R59" s="6">
        <f t="shared" si="6"/>
        <v>3089921</v>
      </c>
      <c r="S59" s="6">
        <f t="shared" si="6"/>
        <v>2313292</v>
      </c>
      <c r="T59" s="6">
        <f t="shared" si="6"/>
        <v>13609652</v>
      </c>
      <c r="U59" s="71">
        <f t="shared" ref="U59:U61" si="7">SUM(P59:T59)</f>
        <v>34935809</v>
      </c>
    </row>
    <row r="60" spans="1:25" ht="12.75" customHeight="1" x14ac:dyDescent="0.2">
      <c r="C60" s="1" t="s">
        <v>13</v>
      </c>
      <c r="D60" s="1" t="s">
        <v>35</v>
      </c>
      <c r="F60" s="2"/>
      <c r="G60" s="67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1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19216784.555414192</v>
      </c>
      <c r="Q61" s="8">
        <f>SUM(Q58:Q60)</f>
        <v>744558.11625483504</v>
      </c>
      <c r="R61" s="8">
        <f>SUM(R58:R60)</f>
        <v>4273487.783332943</v>
      </c>
      <c r="S61" s="8">
        <f>SUM(S58:S60)</f>
        <v>3145316.5616298523</v>
      </c>
      <c r="T61" s="8">
        <f>SUM(T58:T60)</f>
        <v>16903492.555414192</v>
      </c>
      <c r="U61" s="72">
        <f t="shared" si="7"/>
        <v>44283639.572046019</v>
      </c>
    </row>
    <row r="62" spans="1:25" ht="12.75" customHeight="1" x14ac:dyDescent="0.2">
      <c r="C62" s="44" t="s">
        <v>42</v>
      </c>
      <c r="D62" s="44"/>
      <c r="E62" s="44"/>
      <c r="F62" s="2"/>
      <c r="G62" s="44"/>
      <c r="H62" s="44"/>
      <c r="I62" s="2"/>
      <c r="J62" s="44"/>
      <c r="K62" s="44"/>
      <c r="L62" s="44"/>
      <c r="M62" s="44"/>
      <c r="N62" s="44"/>
      <c r="O62" s="2"/>
      <c r="P62" s="45">
        <f>P61-SUM(P$10:P$54)</f>
        <v>0</v>
      </c>
      <c r="Q62" s="45">
        <f>Q61-SUM(Q$10:Q$54)</f>
        <v>0</v>
      </c>
      <c r="R62" s="45">
        <f>R61-SUM(R$10:R$54)</f>
        <v>0</v>
      </c>
      <c r="S62" s="45">
        <f>S61-SUM(S$10:S$54)</f>
        <v>0</v>
      </c>
      <c r="T62" s="45">
        <f>T61-SUM(T$10:T$54)</f>
        <v>0</v>
      </c>
      <c r="U62" s="73"/>
      <c r="V62" s="45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4" t="str">
        <f>"NPV ($ "&amp;Assumptions!$B$12&amp;")"</f>
        <v>NPV ($ June 2024)</v>
      </c>
      <c r="D64" s="55">
        <f>NPV(Real_Discount_rate,P61:T61)</f>
        <v>40089684.53107661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6" t="s">
        <v>43</v>
      </c>
      <c r="F67" s="2"/>
      <c r="I67" s="2"/>
      <c r="O67" s="2"/>
      <c r="P67" s="68" t="s">
        <v>5</v>
      </c>
      <c r="Q67" s="68" t="s">
        <v>6</v>
      </c>
      <c r="R67" s="68" t="s">
        <v>7</v>
      </c>
      <c r="S67" s="68" t="s">
        <v>8</v>
      </c>
      <c r="T67" s="68" t="s">
        <v>9</v>
      </c>
      <c r="U67" s="68" t="s">
        <v>10</v>
      </c>
    </row>
    <row r="68" spans="3:21" ht="12.75" customHeight="1" x14ac:dyDescent="0.2">
      <c r="C68" s="24" t="s">
        <v>11</v>
      </c>
      <c r="D68" s="24" t="s">
        <v>35</v>
      </c>
      <c r="E68" s="24"/>
      <c r="F68" s="2"/>
      <c r="G68" s="65"/>
      <c r="H68" s="66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3665756.8094003233</v>
      </c>
      <c r="Q68" s="34">
        <f t="shared" si="8"/>
        <v>828628.14357212442</v>
      </c>
      <c r="R68" s="34">
        <f t="shared" si="8"/>
        <v>1317206.4410498443</v>
      </c>
      <c r="S68" s="34">
        <f t="shared" si="8"/>
        <v>925970.65676708776</v>
      </c>
      <c r="T68" s="34">
        <f t="shared" si="8"/>
        <v>3665756.8094003233</v>
      </c>
      <c r="U68" s="70">
        <f>SUM(P68:T68)</f>
        <v>10403318.860189702</v>
      </c>
    </row>
    <row r="69" spans="3:21" ht="12.75" customHeight="1" x14ac:dyDescent="0.2">
      <c r="C69" s="1" t="s">
        <v>12</v>
      </c>
      <c r="D69" s="1" t="s">
        <v>35</v>
      </c>
      <c r="F69" s="2"/>
      <c r="G69" s="67"/>
      <c r="I69" s="2"/>
      <c r="O69" s="2"/>
      <c r="P69" s="6">
        <f t="shared" si="8"/>
        <v>17720845.745783269</v>
      </c>
      <c r="Q69" s="6">
        <f t="shared" si="8"/>
        <v>0</v>
      </c>
      <c r="R69" s="6">
        <f t="shared" si="8"/>
        <v>3438812.1573282164</v>
      </c>
      <c r="S69" s="6">
        <f t="shared" si="8"/>
        <v>2574491.9216543417</v>
      </c>
      <c r="T69" s="6">
        <f t="shared" si="8"/>
        <v>15146353.824128926</v>
      </c>
      <c r="U69" s="71">
        <f t="shared" ref="U69:U71" si="9">SUM(P69:T69)</f>
        <v>38880503.648894757</v>
      </c>
    </row>
    <row r="70" spans="3:21" ht="12.75" customHeight="1" x14ac:dyDescent="0.2">
      <c r="C70" s="1" t="s">
        <v>13</v>
      </c>
      <c r="D70" s="1" t="s">
        <v>35</v>
      </c>
      <c r="F70" s="2"/>
      <c r="G70" s="67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1">
        <f t="shared" si="9"/>
        <v>0</v>
      </c>
    </row>
    <row r="71" spans="3:21" x14ac:dyDescent="0.2">
      <c r="C71" s="7" t="str">
        <f>"Total Expenditure ($ "&amp;Assumptions!$C$35&amp;")"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21386602.555183593</v>
      </c>
      <c r="Q71" s="8">
        <f>SUM(Q68:Q70)</f>
        <v>828628.14357212442</v>
      </c>
      <c r="R71" s="8">
        <f>SUM(R68:R70)</f>
        <v>4756018.5983780604</v>
      </c>
      <c r="S71" s="8">
        <f>SUM(S68:S70)</f>
        <v>3500462.5784214297</v>
      </c>
      <c r="T71" s="8">
        <f>SUM(T68:T70)</f>
        <v>18812110.63352925</v>
      </c>
      <c r="U71" s="72">
        <f t="shared" si="9"/>
        <v>49283822.509084463</v>
      </c>
    </row>
    <row r="72" spans="3:21" x14ac:dyDescent="0.2">
      <c r="F72" s="2"/>
      <c r="I72" s="2"/>
      <c r="O72" s="2"/>
    </row>
    <row r="73" spans="3:21" x14ac:dyDescent="0.2">
      <c r="C73" s="54" t="str">
        <f>"NPV ($ "&amp;Assumptions!$C$35&amp;")"</f>
        <v>NPV ($ June 2026)</v>
      </c>
      <c r="D73" s="55">
        <f>NPV(Real_Discount_rate,P71:T71)</f>
        <v>44616316.905486964</v>
      </c>
      <c r="F73" s="2"/>
      <c r="I73" s="2"/>
      <c r="O73" s="2"/>
      <c r="P73" s="51"/>
      <c r="Q73" s="51"/>
      <c r="R73" s="51"/>
      <c r="S73" s="51"/>
      <c r="T73" s="51"/>
    </row>
  </sheetData>
  <conditionalFormatting sqref="G10:G54">
    <cfRule type="expression" dxfId="4" priority="2">
      <formula>$E10="Contracts"</formula>
    </cfRule>
    <cfRule type="expression" dxfId="3" priority="3">
      <formula>$E10="Materials"</formula>
    </cfRule>
    <cfRule type="expression" dxfId="2" priority="4">
      <formula>$E10="Labour"</formula>
    </cfRule>
  </conditionalFormatting>
  <conditionalFormatting sqref="P62:U62">
    <cfRule type="expression" dxfId="1" priority="1">
      <formula>ABS(P62)&gt;0.001</formula>
    </cfRule>
  </conditionalFormatting>
  <conditionalFormatting sqref="V62">
    <cfRule type="expression" dxfId="0" priority="8">
      <formula>ABS(V62)&gt;0.001</formula>
    </cfRule>
  </conditionalFormatting>
  <dataValidations count="1">
    <dataValidation type="list" allowBlank="1" showInputMessage="1" showErrorMessage="1" sqref="E10:E54" xr:uid="{26E538AD-3FEB-49D4-AC67-0B06E2C98B2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2025-01-21T03:18:46Z</dcterms:created>
  <dcterms:modified xsi:type="dcterms:W3CDTF">2025-01-21T05:00:05Z</dcterms:modified>
  <cp:category/>
  <cp:contentStatus/>
</cp:coreProperties>
</file>