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13A54853-1F16-4A93-9132-2F9C06C9D090}" xr6:coauthVersionLast="47" xr6:coauthVersionMax="47" xr10:uidLastSave="{00000000-0000-0000-0000-000000000000}"/>
  <bookViews>
    <workbookView xWindow="-120" yWindow="-120" windowWidth="29040" windowHeight="15720" tabRatio="896" activeTab="1" xr2:uid="{00000000-000D-0000-FFFF-FFFF00000000}"/>
  </bookViews>
  <sheets>
    <sheet name="Cover" sheetId="92" r:id="rId1"/>
    <sheet name="CitiPower summary" sheetId="93" r:id="rId2"/>
    <sheet name="Project summary" sheetId="82" r:id="rId3"/>
    <sheet name="Assumptions" sheetId="74" r:id="rId4"/>
    <sheet name="Option 1" sheetId="79" r:id="rId5"/>
    <sheet name="Option 2" sheetId="90" r:id="rId6"/>
    <sheet name="Option 3" sheetId="89" r:id="rId7"/>
  </sheets>
  <definedNames>
    <definedName name="Business">Assumptions!$B$8</definedName>
    <definedName name="business_case_dollars">Assumptions!$C$37</definedName>
    <definedName name="_xlnm.Print_Area" localSheetId="2">'Project summary'!$A$1:$J$53</definedName>
    <definedName name="Project_name">Assumptions!$B$6</definedName>
    <definedName name="Real_Discount_rate">Assumptions!$B$10</definedName>
    <definedName name="years" localSheetId="4">'Option 1'!$Q$8:$U$8</definedName>
    <definedName name="years" localSheetId="5">'Option 2'!$Q$8:$U$8</definedName>
    <definedName name="years" localSheetId="6">'Option 3'!$Q$8:$U$8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93" l="1"/>
  <c r="H33" i="93"/>
  <c r="I33" i="93"/>
  <c r="J33" i="93"/>
  <c r="G34" i="93"/>
  <c r="G36" i="93" s="1"/>
  <c r="H34" i="93"/>
  <c r="H36" i="93" s="1"/>
  <c r="I34" i="93"/>
  <c r="J34" i="93"/>
  <c r="F34" i="93"/>
  <c r="F33" i="93"/>
  <c r="J36" i="93"/>
  <c r="I36" i="93"/>
  <c r="G22" i="93"/>
  <c r="H22" i="93"/>
  <c r="I22" i="93"/>
  <c r="J22" i="93"/>
  <c r="G23" i="93"/>
  <c r="H23" i="93"/>
  <c r="I23" i="93"/>
  <c r="J23" i="93"/>
  <c r="G25" i="93"/>
  <c r="H25" i="93"/>
  <c r="I25" i="93"/>
  <c r="J25" i="93"/>
  <c r="F23" i="93"/>
  <c r="F22" i="93"/>
  <c r="F16" i="93"/>
  <c r="G11" i="93"/>
  <c r="H11" i="93"/>
  <c r="I11" i="93"/>
  <c r="J11" i="93"/>
  <c r="G12" i="93"/>
  <c r="K12" i="93" s="1"/>
  <c r="H12" i="93"/>
  <c r="I12" i="93"/>
  <c r="J12" i="93"/>
  <c r="G14" i="93"/>
  <c r="J14" i="93"/>
  <c r="F14" i="93"/>
  <c r="F12" i="93"/>
  <c r="F11" i="93"/>
  <c r="K33" i="93"/>
  <c r="I14" i="93"/>
  <c r="H14" i="93"/>
  <c r="K11" i="93"/>
  <c r="D6" i="93"/>
  <c r="A3" i="93"/>
  <c r="A1" i="93"/>
  <c r="C131" i="79"/>
  <c r="C131" i="90"/>
  <c r="C131" i="89"/>
  <c r="D6" i="92" a="1"/>
  <c r="D6" i="92" s="1"/>
  <c r="C5" i="92" a="1"/>
  <c r="C5" i="92" s="1"/>
  <c r="S45" i="79"/>
  <c r="R44" i="79"/>
  <c r="H64" i="89"/>
  <c r="H63" i="89"/>
  <c r="H62" i="89"/>
  <c r="H61" i="89"/>
  <c r="H60" i="89"/>
  <c r="H59" i="89"/>
  <c r="H58" i="89"/>
  <c r="H57" i="89"/>
  <c r="H56" i="89"/>
  <c r="H55" i="89"/>
  <c r="H54" i="89"/>
  <c r="H53" i="89"/>
  <c r="H52" i="89"/>
  <c r="H51" i="89"/>
  <c r="H50" i="89"/>
  <c r="H49" i="89"/>
  <c r="H48" i="89"/>
  <c r="H47" i="89"/>
  <c r="H46" i="89"/>
  <c r="H64" i="90"/>
  <c r="H63" i="90"/>
  <c r="H62" i="90"/>
  <c r="H61" i="90"/>
  <c r="H60" i="90"/>
  <c r="H59" i="90"/>
  <c r="H58" i="90"/>
  <c r="H57" i="90"/>
  <c r="H56" i="90"/>
  <c r="H55" i="90"/>
  <c r="H54" i="90"/>
  <c r="H53" i="90"/>
  <c r="H52" i="90"/>
  <c r="H51" i="90"/>
  <c r="H50" i="90"/>
  <c r="U50" i="90" s="1"/>
  <c r="H49" i="90"/>
  <c r="R49" i="90" s="1"/>
  <c r="H48" i="90"/>
  <c r="T48" i="90" s="1"/>
  <c r="H47" i="90"/>
  <c r="H46" i="90"/>
  <c r="H45" i="90"/>
  <c r="H44" i="90"/>
  <c r="H43" i="90"/>
  <c r="H42" i="90"/>
  <c r="H41" i="90"/>
  <c r="H40" i="90"/>
  <c r="H64" i="79"/>
  <c r="H63" i="79"/>
  <c r="H62" i="79"/>
  <c r="H61" i="79"/>
  <c r="H60" i="79"/>
  <c r="H59" i="79"/>
  <c r="H58" i="79"/>
  <c r="H57" i="79"/>
  <c r="H56" i="79"/>
  <c r="H55" i="79"/>
  <c r="H54" i="79"/>
  <c r="H53" i="79"/>
  <c r="H52" i="79"/>
  <c r="H51" i="79"/>
  <c r="H50" i="79"/>
  <c r="H49" i="79"/>
  <c r="H48" i="79"/>
  <c r="H47" i="79"/>
  <c r="H46" i="79"/>
  <c r="H45" i="79"/>
  <c r="H44" i="79"/>
  <c r="H43" i="79"/>
  <c r="H42" i="79"/>
  <c r="H41" i="79"/>
  <c r="H40" i="79"/>
  <c r="H39" i="79"/>
  <c r="H38" i="79"/>
  <c r="H37" i="79"/>
  <c r="H36" i="79"/>
  <c r="H35" i="79"/>
  <c r="H34" i="79"/>
  <c r="H33" i="79"/>
  <c r="H32" i="79"/>
  <c r="H31" i="79"/>
  <c r="H30" i="79"/>
  <c r="H29" i="79"/>
  <c r="H28" i="79"/>
  <c r="U52" i="79"/>
  <c r="T52" i="79"/>
  <c r="S52" i="79"/>
  <c r="R52" i="79"/>
  <c r="Q52" i="79"/>
  <c r="I52" i="79"/>
  <c r="U51" i="79"/>
  <c r="T51" i="79"/>
  <c r="S51" i="79"/>
  <c r="R51" i="79"/>
  <c r="Q51" i="79"/>
  <c r="I51" i="79"/>
  <c r="U50" i="79"/>
  <c r="T50" i="79"/>
  <c r="S50" i="79"/>
  <c r="R50" i="79"/>
  <c r="Q50" i="79"/>
  <c r="I50" i="79"/>
  <c r="U49" i="79"/>
  <c r="T49" i="79"/>
  <c r="S49" i="79"/>
  <c r="R49" i="79"/>
  <c r="Q49" i="79"/>
  <c r="I49" i="79"/>
  <c r="U48" i="79"/>
  <c r="T48" i="79"/>
  <c r="S48" i="79"/>
  <c r="R48" i="79"/>
  <c r="Q48" i="79"/>
  <c r="I48" i="79"/>
  <c r="U47" i="79"/>
  <c r="T47" i="79"/>
  <c r="S47" i="79"/>
  <c r="R47" i="79"/>
  <c r="Q47" i="79"/>
  <c r="I47" i="79"/>
  <c r="U46" i="79"/>
  <c r="T46" i="79"/>
  <c r="S46" i="79"/>
  <c r="R46" i="79"/>
  <c r="Q46" i="79"/>
  <c r="I46" i="79"/>
  <c r="U45" i="79"/>
  <c r="T45" i="79"/>
  <c r="R45" i="79"/>
  <c r="Q45" i="79"/>
  <c r="I45" i="79"/>
  <c r="U44" i="79"/>
  <c r="T44" i="79"/>
  <c r="S44" i="79"/>
  <c r="Q44" i="79"/>
  <c r="I44" i="79"/>
  <c r="U43" i="79"/>
  <c r="T43" i="79"/>
  <c r="S43" i="79"/>
  <c r="R43" i="79"/>
  <c r="Q43" i="79"/>
  <c r="I43" i="79"/>
  <c r="U54" i="89"/>
  <c r="T54" i="89"/>
  <c r="S54" i="89"/>
  <c r="R54" i="89"/>
  <c r="Q54" i="89"/>
  <c r="I54" i="89"/>
  <c r="U51" i="89"/>
  <c r="Q51" i="89"/>
  <c r="I51" i="89"/>
  <c r="I50" i="89"/>
  <c r="U49" i="89"/>
  <c r="I49" i="89"/>
  <c r="I48" i="89"/>
  <c r="U47" i="89"/>
  <c r="T47" i="89"/>
  <c r="S47" i="89"/>
  <c r="R47" i="89"/>
  <c r="Q47" i="89"/>
  <c r="I47" i="89"/>
  <c r="U46" i="89"/>
  <c r="T46" i="89"/>
  <c r="S46" i="89"/>
  <c r="R46" i="89"/>
  <c r="Q46" i="89"/>
  <c r="I46" i="89"/>
  <c r="I45" i="89"/>
  <c r="I44" i="89"/>
  <c r="I43" i="89"/>
  <c r="T50" i="90"/>
  <c r="R50" i="90"/>
  <c r="U49" i="90"/>
  <c r="T49" i="90"/>
  <c r="S49" i="90"/>
  <c r="Q49" i="90"/>
  <c r="Q48" i="90"/>
  <c r="U47" i="90"/>
  <c r="T47" i="90"/>
  <c r="S47" i="90"/>
  <c r="R47" i="90"/>
  <c r="Q47" i="90"/>
  <c r="U46" i="90"/>
  <c r="T46" i="90"/>
  <c r="S46" i="90"/>
  <c r="R46" i="90"/>
  <c r="Q46" i="90"/>
  <c r="T43" i="90"/>
  <c r="I50" i="90"/>
  <c r="I49" i="90"/>
  <c r="I48" i="90"/>
  <c r="I47" i="90"/>
  <c r="I46" i="90"/>
  <c r="I45" i="90"/>
  <c r="I44" i="90"/>
  <c r="I43" i="90"/>
  <c r="I42" i="90"/>
  <c r="I41" i="90"/>
  <c r="F36" i="93" l="1"/>
  <c r="F38" i="93" s="1"/>
  <c r="K35" i="93"/>
  <c r="K36" i="93" s="1"/>
  <c r="K34" i="93"/>
  <c r="K24" i="93"/>
  <c r="F25" i="93"/>
  <c r="F27" i="93" s="1"/>
  <c r="K23" i="93"/>
  <c r="K22" i="93"/>
  <c r="K13" i="93"/>
  <c r="K14" i="93" s="1"/>
  <c r="T41" i="90"/>
  <c r="T42" i="90"/>
  <c r="Q43" i="90"/>
  <c r="U43" i="90"/>
  <c r="U44" i="90"/>
  <c r="T44" i="90"/>
  <c r="Q44" i="90"/>
  <c r="Q42" i="90"/>
  <c r="U42" i="90"/>
  <c r="Q41" i="90"/>
  <c r="U41" i="90"/>
  <c r="R48" i="89"/>
  <c r="S48" i="89"/>
  <c r="Q49" i="89"/>
  <c r="R49" i="89"/>
  <c r="S49" i="89"/>
  <c r="S50" i="89"/>
  <c r="T51" i="89"/>
  <c r="R51" i="89"/>
  <c r="S51" i="89"/>
  <c r="R52" i="89"/>
  <c r="S44" i="90"/>
  <c r="R44" i="90"/>
  <c r="U45" i="90"/>
  <c r="S41" i="90"/>
  <c r="R41" i="90"/>
  <c r="S42" i="90"/>
  <c r="R42" i="90"/>
  <c r="S43" i="90"/>
  <c r="R43" i="90"/>
  <c r="U50" i="89"/>
  <c r="T50" i="89"/>
  <c r="R50" i="89"/>
  <c r="Q50" i="89"/>
  <c r="T49" i="89"/>
  <c r="U48" i="89"/>
  <c r="Q48" i="89"/>
  <c r="T48" i="89"/>
  <c r="Q50" i="90"/>
  <c r="S50" i="90"/>
  <c r="S48" i="90"/>
  <c r="U48" i="90"/>
  <c r="R48" i="90"/>
  <c r="Q45" i="90"/>
  <c r="R45" i="90"/>
  <c r="S45" i="90"/>
  <c r="T45" i="90"/>
  <c r="C120" i="90"/>
  <c r="C118" i="90"/>
  <c r="C97" i="90"/>
  <c r="C86" i="90"/>
  <c r="C83" i="90"/>
  <c r="U64" i="90"/>
  <c r="T64" i="90"/>
  <c r="S64" i="90"/>
  <c r="R64" i="90"/>
  <c r="Q64" i="90"/>
  <c r="I64" i="90"/>
  <c r="U63" i="90"/>
  <c r="T63" i="90"/>
  <c r="S63" i="90"/>
  <c r="R63" i="90"/>
  <c r="Q63" i="90"/>
  <c r="I63" i="90"/>
  <c r="U62" i="90"/>
  <c r="T62" i="90"/>
  <c r="S62" i="90"/>
  <c r="R62" i="90"/>
  <c r="Q62" i="90"/>
  <c r="I62" i="90"/>
  <c r="U61" i="90"/>
  <c r="T61" i="90"/>
  <c r="S61" i="90"/>
  <c r="R61" i="90"/>
  <c r="Q61" i="90"/>
  <c r="I61" i="90"/>
  <c r="U60" i="90"/>
  <c r="T60" i="90"/>
  <c r="S60" i="90"/>
  <c r="R60" i="90"/>
  <c r="Q60" i="90"/>
  <c r="I60" i="90"/>
  <c r="U59" i="90"/>
  <c r="T59" i="90"/>
  <c r="S59" i="90"/>
  <c r="R59" i="90"/>
  <c r="Q59" i="90"/>
  <c r="I59" i="90"/>
  <c r="U58" i="90"/>
  <c r="T58" i="90"/>
  <c r="S58" i="90"/>
  <c r="R58" i="90"/>
  <c r="Q58" i="90"/>
  <c r="I58" i="90"/>
  <c r="U57" i="90"/>
  <c r="T57" i="90"/>
  <c r="S57" i="90"/>
  <c r="R57" i="90"/>
  <c r="Q57" i="90"/>
  <c r="I57" i="90"/>
  <c r="U56" i="90"/>
  <c r="T56" i="90"/>
  <c r="S56" i="90"/>
  <c r="R56" i="90"/>
  <c r="Q56" i="90"/>
  <c r="I56" i="90"/>
  <c r="U55" i="90"/>
  <c r="T55" i="90"/>
  <c r="S55" i="90"/>
  <c r="R55" i="90"/>
  <c r="Q55" i="90"/>
  <c r="I55" i="90"/>
  <c r="U54" i="90"/>
  <c r="T54" i="90"/>
  <c r="S54" i="90"/>
  <c r="R54" i="90"/>
  <c r="Q54" i="90"/>
  <c r="I54" i="90"/>
  <c r="U53" i="90"/>
  <c r="T53" i="90"/>
  <c r="S53" i="90"/>
  <c r="R53" i="90"/>
  <c r="Q53" i="90"/>
  <c r="I53" i="90"/>
  <c r="U52" i="90"/>
  <c r="T52" i="90"/>
  <c r="S52" i="90"/>
  <c r="R52" i="90"/>
  <c r="Q52" i="90"/>
  <c r="I52" i="90"/>
  <c r="U51" i="90"/>
  <c r="T51" i="90"/>
  <c r="S51" i="90"/>
  <c r="R51" i="90"/>
  <c r="Q51" i="90"/>
  <c r="I51" i="90"/>
  <c r="U40" i="90"/>
  <c r="T40" i="90"/>
  <c r="S40" i="90"/>
  <c r="R40" i="90"/>
  <c r="Q40" i="90"/>
  <c r="I40" i="90"/>
  <c r="I39" i="90"/>
  <c r="I38" i="90"/>
  <c r="I37" i="90"/>
  <c r="I36" i="90"/>
  <c r="I35" i="90"/>
  <c r="I34" i="90"/>
  <c r="I33" i="90"/>
  <c r="I32" i="90"/>
  <c r="I31" i="90"/>
  <c r="I30" i="90"/>
  <c r="I29" i="90"/>
  <c r="I28" i="90"/>
  <c r="I27" i="90"/>
  <c r="I26" i="90"/>
  <c r="I25" i="90"/>
  <c r="I24" i="90"/>
  <c r="I23" i="90"/>
  <c r="I22" i="90"/>
  <c r="I21" i="90"/>
  <c r="I20" i="90"/>
  <c r="I19" i="90"/>
  <c r="I18" i="90"/>
  <c r="I17" i="90"/>
  <c r="I16" i="90"/>
  <c r="I15" i="90"/>
  <c r="I14" i="90"/>
  <c r="I13" i="90"/>
  <c r="I12" i="90"/>
  <c r="I11" i="90"/>
  <c r="I10" i="90"/>
  <c r="A5" i="90"/>
  <c r="W3" i="90"/>
  <c r="A2" i="90"/>
  <c r="A1" i="90"/>
  <c r="C120" i="89"/>
  <c r="C118" i="89"/>
  <c r="C97" i="89"/>
  <c r="C86" i="89"/>
  <c r="C83" i="89"/>
  <c r="U64" i="89"/>
  <c r="T64" i="89"/>
  <c r="S64" i="89"/>
  <c r="R64" i="89"/>
  <c r="Q64" i="89"/>
  <c r="I64" i="89"/>
  <c r="U63" i="89"/>
  <c r="T63" i="89"/>
  <c r="S63" i="89"/>
  <c r="R63" i="89"/>
  <c r="Q63" i="89"/>
  <c r="I63" i="89"/>
  <c r="U62" i="89"/>
  <c r="T62" i="89"/>
  <c r="S62" i="89"/>
  <c r="R62" i="89"/>
  <c r="Q62" i="89"/>
  <c r="I62" i="89"/>
  <c r="U61" i="89"/>
  <c r="T61" i="89"/>
  <c r="S61" i="89"/>
  <c r="R61" i="89"/>
  <c r="Q61" i="89"/>
  <c r="I61" i="89"/>
  <c r="U60" i="89"/>
  <c r="T60" i="89"/>
  <c r="S60" i="89"/>
  <c r="R60" i="89"/>
  <c r="Q60" i="89"/>
  <c r="I60" i="89"/>
  <c r="U59" i="89"/>
  <c r="T59" i="89"/>
  <c r="S59" i="89"/>
  <c r="R59" i="89"/>
  <c r="Q59" i="89"/>
  <c r="I59" i="89"/>
  <c r="U58" i="89"/>
  <c r="T58" i="89"/>
  <c r="S58" i="89"/>
  <c r="R58" i="89"/>
  <c r="Q58" i="89"/>
  <c r="I58" i="89"/>
  <c r="U57" i="89"/>
  <c r="T57" i="89"/>
  <c r="S57" i="89"/>
  <c r="R57" i="89"/>
  <c r="Q57" i="89"/>
  <c r="I57" i="89"/>
  <c r="U56" i="89"/>
  <c r="T56" i="89"/>
  <c r="S56" i="89"/>
  <c r="R56" i="89"/>
  <c r="Q56" i="89"/>
  <c r="I56" i="89"/>
  <c r="U55" i="89"/>
  <c r="T55" i="89"/>
  <c r="S55" i="89"/>
  <c r="R55" i="89"/>
  <c r="Q55" i="89"/>
  <c r="I55" i="89"/>
  <c r="U53" i="89"/>
  <c r="T53" i="89"/>
  <c r="S53" i="89"/>
  <c r="R53" i="89"/>
  <c r="Q53" i="89"/>
  <c r="I53" i="89"/>
  <c r="U52" i="89"/>
  <c r="T52" i="89"/>
  <c r="S52" i="89"/>
  <c r="Q52" i="89"/>
  <c r="I52" i="89"/>
  <c r="I42" i="89"/>
  <c r="I41" i="89"/>
  <c r="I40" i="89"/>
  <c r="I39" i="89"/>
  <c r="I38" i="89"/>
  <c r="I37" i="89"/>
  <c r="I36" i="89"/>
  <c r="I35" i="89"/>
  <c r="I34" i="89"/>
  <c r="I33" i="89"/>
  <c r="I32" i="89"/>
  <c r="I31" i="89"/>
  <c r="I30" i="89"/>
  <c r="I29" i="89"/>
  <c r="I28" i="89"/>
  <c r="I27" i="89"/>
  <c r="I26" i="89"/>
  <c r="I25" i="89"/>
  <c r="I24" i="89"/>
  <c r="I23" i="89"/>
  <c r="I22" i="89"/>
  <c r="I21" i="89"/>
  <c r="I20" i="89"/>
  <c r="I19" i="89"/>
  <c r="I18" i="89"/>
  <c r="I17" i="89"/>
  <c r="I16" i="89"/>
  <c r="I15" i="89"/>
  <c r="I14" i="89"/>
  <c r="I13" i="89"/>
  <c r="I12" i="89"/>
  <c r="I11" i="89"/>
  <c r="I10" i="89"/>
  <c r="A5" i="89"/>
  <c r="W3" i="89"/>
  <c r="A2" i="89"/>
  <c r="A1" i="89"/>
  <c r="C97" i="79"/>
  <c r="K25" i="93" l="1"/>
  <c r="U80" i="90"/>
  <c r="R80" i="90"/>
  <c r="S80" i="90"/>
  <c r="R80" i="89"/>
  <c r="Q80" i="89"/>
  <c r="T80" i="89"/>
  <c r="U80" i="89"/>
  <c r="U69" i="90"/>
  <c r="Q80" i="90"/>
  <c r="T80" i="90"/>
  <c r="R70" i="89"/>
  <c r="S69" i="89"/>
  <c r="Q79" i="89"/>
  <c r="S70" i="89"/>
  <c r="R79" i="89"/>
  <c r="R69" i="90"/>
  <c r="R70" i="90"/>
  <c r="S69" i="90"/>
  <c r="Q79" i="90"/>
  <c r="T69" i="90"/>
  <c r="U93" i="90"/>
  <c r="T70" i="90"/>
  <c r="U70" i="90"/>
  <c r="Q69" i="90"/>
  <c r="T69" i="89"/>
  <c r="U70" i="89"/>
  <c r="U69" i="89"/>
  <c r="Q69" i="89"/>
  <c r="R69" i="89"/>
  <c r="T72" i="90"/>
  <c r="R79" i="90"/>
  <c r="S79" i="90"/>
  <c r="T79" i="90"/>
  <c r="U79" i="90"/>
  <c r="Q93" i="90"/>
  <c r="S79" i="89"/>
  <c r="T79" i="89"/>
  <c r="U79" i="89"/>
  <c r="S71" i="90" l="1"/>
  <c r="S93" i="90"/>
  <c r="R93" i="90"/>
  <c r="V80" i="90"/>
  <c r="T93" i="90"/>
  <c r="V69" i="89"/>
  <c r="V69" i="90"/>
  <c r="V79" i="89"/>
  <c r="V79" i="90"/>
  <c r="B14" i="74"/>
  <c r="H45" i="89" l="1"/>
  <c r="O45" i="89" s="1"/>
  <c r="H44" i="89"/>
  <c r="O44" i="89" s="1"/>
  <c r="H43" i="89"/>
  <c r="O43" i="89" s="1"/>
  <c r="H42" i="89"/>
  <c r="O42" i="89" s="1"/>
  <c r="H41" i="89"/>
  <c r="O41" i="89" s="1"/>
  <c r="H40" i="89"/>
  <c r="O40" i="89" s="1"/>
  <c r="H39" i="89"/>
  <c r="L39" i="89" s="1"/>
  <c r="H38" i="89"/>
  <c r="L38" i="89" s="1"/>
  <c r="H37" i="89"/>
  <c r="L37" i="89" s="1"/>
  <c r="H36" i="89"/>
  <c r="L36" i="89" s="1"/>
  <c r="H35" i="89"/>
  <c r="L35" i="89" s="1"/>
  <c r="H34" i="89"/>
  <c r="L34" i="89" s="1"/>
  <c r="H33" i="89"/>
  <c r="K33" i="89" s="1"/>
  <c r="H32" i="89"/>
  <c r="K32" i="89" s="1"/>
  <c r="H31" i="89"/>
  <c r="K31" i="89" s="1"/>
  <c r="H30" i="89"/>
  <c r="K30" i="89" s="1"/>
  <c r="H29" i="89"/>
  <c r="K29" i="89" s="1"/>
  <c r="H28" i="89"/>
  <c r="K28" i="89" s="1"/>
  <c r="H27" i="89"/>
  <c r="K27" i="89" s="1"/>
  <c r="H26" i="89"/>
  <c r="K26" i="89" s="1"/>
  <c r="H25" i="89"/>
  <c r="K25" i="89" s="1"/>
  <c r="H24" i="89"/>
  <c r="K24" i="89" s="1"/>
  <c r="H23" i="89"/>
  <c r="K23" i="89" s="1"/>
  <c r="H22" i="89"/>
  <c r="K22" i="89" s="1"/>
  <c r="H21" i="89"/>
  <c r="H20" i="89"/>
  <c r="H19" i="89"/>
  <c r="H18" i="89"/>
  <c r="H39" i="90"/>
  <c r="L39" i="90" s="1"/>
  <c r="H38" i="90"/>
  <c r="L38" i="90" s="1"/>
  <c r="H37" i="90"/>
  <c r="L37" i="90" s="1"/>
  <c r="H36" i="90"/>
  <c r="L36" i="90" s="1"/>
  <c r="H35" i="90"/>
  <c r="L35" i="90" s="1"/>
  <c r="H34" i="90"/>
  <c r="L34" i="90" s="1"/>
  <c r="H33" i="90"/>
  <c r="L33" i="90" s="1"/>
  <c r="H32" i="90"/>
  <c r="L32" i="90" s="1"/>
  <c r="H31" i="90"/>
  <c r="L31" i="90" s="1"/>
  <c r="H30" i="90"/>
  <c r="L30" i="90" s="1"/>
  <c r="H29" i="90"/>
  <c r="L29" i="90" s="1"/>
  <c r="H28" i="90"/>
  <c r="L28" i="90" s="1"/>
  <c r="H27" i="90"/>
  <c r="K27" i="90" s="1"/>
  <c r="H26" i="90"/>
  <c r="K26" i="90" s="1"/>
  <c r="H25" i="90"/>
  <c r="K25" i="90" s="1"/>
  <c r="H24" i="90"/>
  <c r="K24" i="90" s="1"/>
  <c r="H23" i="90"/>
  <c r="K23" i="90" s="1"/>
  <c r="H22" i="90"/>
  <c r="K22" i="90" s="1"/>
  <c r="H21" i="90"/>
  <c r="H20" i="90"/>
  <c r="H19" i="90"/>
  <c r="H18" i="90"/>
  <c r="H27" i="79"/>
  <c r="H26" i="79"/>
  <c r="H25" i="79"/>
  <c r="H24" i="79"/>
  <c r="H23" i="79"/>
  <c r="H22" i="79"/>
  <c r="H21" i="79"/>
  <c r="H20" i="79"/>
  <c r="H19" i="79"/>
  <c r="H18" i="79"/>
  <c r="H17" i="90"/>
  <c r="H16" i="90"/>
  <c r="H15" i="90"/>
  <c r="M15" i="90" s="1"/>
  <c r="H14" i="90"/>
  <c r="M14" i="90" s="1"/>
  <c r="H17" i="89"/>
  <c r="H16" i="89"/>
  <c r="H15" i="89"/>
  <c r="M15" i="89" s="1"/>
  <c r="H14" i="89"/>
  <c r="M14" i="89" s="1"/>
  <c r="V93" i="90"/>
  <c r="H11" i="90"/>
  <c r="M11" i="90" s="1"/>
  <c r="H10" i="90"/>
  <c r="M10" i="90" s="1"/>
  <c r="H13" i="89"/>
  <c r="M13" i="89" s="1"/>
  <c r="H11" i="89"/>
  <c r="M11" i="89" s="1"/>
  <c r="H12" i="89"/>
  <c r="M12" i="89" s="1"/>
  <c r="H10" i="89"/>
  <c r="M10" i="89" s="1"/>
  <c r="H12" i="90"/>
  <c r="M12" i="90" s="1"/>
  <c r="H13" i="90"/>
  <c r="M13" i="90" s="1"/>
  <c r="C50" i="82"/>
  <c r="C35" i="82"/>
  <c r="C20" i="82"/>
  <c r="A3" i="82"/>
  <c r="N20" i="90" l="1"/>
  <c r="M20" i="90"/>
  <c r="S20" i="90" s="1"/>
  <c r="S76" i="90" s="1"/>
  <c r="N21" i="90"/>
  <c r="M21" i="90"/>
  <c r="M16" i="90"/>
  <c r="N16" i="90"/>
  <c r="M18" i="90"/>
  <c r="S18" i="90" s="1"/>
  <c r="S77" i="90" s="1"/>
  <c r="N18" i="90"/>
  <c r="T18" i="90" s="1"/>
  <c r="T77" i="90" s="1"/>
  <c r="N17" i="90"/>
  <c r="T17" i="90" s="1"/>
  <c r="M17" i="90"/>
  <c r="S17" i="90" s="1"/>
  <c r="N19" i="90"/>
  <c r="T19" i="90" s="1"/>
  <c r="M19" i="90"/>
  <c r="S19" i="90" s="1"/>
  <c r="N16" i="89"/>
  <c r="M16" i="89"/>
  <c r="N17" i="89"/>
  <c r="M17" i="89"/>
  <c r="M19" i="89"/>
  <c r="S19" i="89" s="1"/>
  <c r="N19" i="89"/>
  <c r="M20" i="89"/>
  <c r="S20" i="89" s="1"/>
  <c r="S76" i="89" s="1"/>
  <c r="N20" i="89"/>
  <c r="T20" i="89" s="1"/>
  <c r="T76" i="89" s="1"/>
  <c r="N18" i="89"/>
  <c r="T18" i="89" s="1"/>
  <c r="T77" i="89" s="1"/>
  <c r="M18" i="89"/>
  <c r="S18" i="89" s="1"/>
  <c r="S77" i="89" s="1"/>
  <c r="M21" i="89"/>
  <c r="S21" i="89" s="1"/>
  <c r="N21" i="89"/>
  <c r="T21" i="89" s="1"/>
  <c r="S14" i="89"/>
  <c r="S80" i="89" s="1"/>
  <c r="T14" i="89"/>
  <c r="T70" i="89" s="1"/>
  <c r="U14" i="89"/>
  <c r="Q14" i="89"/>
  <c r="Q70" i="89" s="1"/>
  <c r="R14" i="89"/>
  <c r="S15" i="89"/>
  <c r="U15" i="89"/>
  <c r="T15" i="89"/>
  <c r="Q15" i="89"/>
  <c r="R15" i="89"/>
  <c r="S16" i="89"/>
  <c r="U16" i="89"/>
  <c r="Q16" i="89"/>
  <c r="T16" i="89"/>
  <c r="R16" i="89"/>
  <c r="S17" i="89"/>
  <c r="R17" i="89"/>
  <c r="T17" i="89"/>
  <c r="Q17" i="89"/>
  <c r="U17" i="89"/>
  <c r="S14" i="90"/>
  <c r="S70" i="90" s="1"/>
  <c r="Q14" i="90"/>
  <c r="Q70" i="90" s="1"/>
  <c r="R14" i="90"/>
  <c r="T14" i="90"/>
  <c r="U14" i="90"/>
  <c r="Q15" i="90"/>
  <c r="Q71" i="90" s="1"/>
  <c r="S15" i="90"/>
  <c r="U15" i="90"/>
  <c r="U71" i="90" s="1"/>
  <c r="R15" i="90"/>
  <c r="R71" i="90" s="1"/>
  <c r="T15" i="90"/>
  <c r="T71" i="90" s="1"/>
  <c r="S16" i="90"/>
  <c r="T16" i="90"/>
  <c r="U16" i="90"/>
  <c r="R16" i="90"/>
  <c r="Q16" i="90"/>
  <c r="U17" i="90"/>
  <c r="Q17" i="90"/>
  <c r="R17" i="90"/>
  <c r="U18" i="90"/>
  <c r="U77" i="90" s="1"/>
  <c r="R18" i="90"/>
  <c r="R77" i="90" s="1"/>
  <c r="Q18" i="90"/>
  <c r="Q77" i="90" s="1"/>
  <c r="T20" i="90"/>
  <c r="T76" i="90" s="1"/>
  <c r="U20" i="90"/>
  <c r="U76" i="90" s="1"/>
  <c r="R20" i="90"/>
  <c r="R76" i="90" s="1"/>
  <c r="Q20" i="90"/>
  <c r="Q76" i="90" s="1"/>
  <c r="U21" i="90"/>
  <c r="T21" i="90"/>
  <c r="S21" i="90"/>
  <c r="R21" i="90"/>
  <c r="Q21" i="90"/>
  <c r="U22" i="90"/>
  <c r="T22" i="90"/>
  <c r="S22" i="90"/>
  <c r="R22" i="90"/>
  <c r="Q22" i="90"/>
  <c r="U23" i="90"/>
  <c r="T23" i="90"/>
  <c r="S23" i="90"/>
  <c r="R23" i="90"/>
  <c r="Q23" i="90"/>
  <c r="U24" i="90"/>
  <c r="U72" i="90" s="1"/>
  <c r="T24" i="90"/>
  <c r="S24" i="90"/>
  <c r="S72" i="90" s="1"/>
  <c r="R24" i="90"/>
  <c r="R72" i="90" s="1"/>
  <c r="Q24" i="90"/>
  <c r="Q72" i="90" s="1"/>
  <c r="U25" i="90"/>
  <c r="T25" i="90"/>
  <c r="S25" i="90"/>
  <c r="R25" i="90"/>
  <c r="Q25" i="90"/>
  <c r="U26" i="90"/>
  <c r="U73" i="90" s="1"/>
  <c r="T26" i="90"/>
  <c r="T73" i="90" s="1"/>
  <c r="S26" i="90"/>
  <c r="S73" i="90" s="1"/>
  <c r="R26" i="90"/>
  <c r="R73" i="90" s="1"/>
  <c r="Q26" i="90"/>
  <c r="Q73" i="90" s="1"/>
  <c r="U27" i="90"/>
  <c r="T27" i="90"/>
  <c r="S27" i="90"/>
  <c r="R27" i="90"/>
  <c r="Q27" i="90"/>
  <c r="R28" i="90"/>
  <c r="U28" i="90"/>
  <c r="T28" i="90"/>
  <c r="S28" i="90"/>
  <c r="Q28" i="90"/>
  <c r="R30" i="90"/>
  <c r="U30" i="90"/>
  <c r="T30" i="90"/>
  <c r="S30" i="90"/>
  <c r="Q30" i="90"/>
  <c r="R31" i="90"/>
  <c r="U31" i="90"/>
  <c r="T31" i="90"/>
  <c r="S31" i="90"/>
  <c r="Q31" i="90"/>
  <c r="R32" i="90"/>
  <c r="U32" i="90"/>
  <c r="T32" i="90"/>
  <c r="S32" i="90"/>
  <c r="Q32" i="90"/>
  <c r="R33" i="90"/>
  <c r="U33" i="90"/>
  <c r="T33" i="90"/>
  <c r="S33" i="90"/>
  <c r="Q33" i="90"/>
  <c r="R34" i="90"/>
  <c r="U34" i="90"/>
  <c r="T34" i="90"/>
  <c r="S34" i="90"/>
  <c r="Q34" i="90"/>
  <c r="R35" i="90"/>
  <c r="U35" i="90"/>
  <c r="T35" i="90"/>
  <c r="S35" i="90"/>
  <c r="Q35" i="90"/>
  <c r="R36" i="90"/>
  <c r="U36" i="90"/>
  <c r="T36" i="90"/>
  <c r="S36" i="90"/>
  <c r="Q36" i="90"/>
  <c r="R37" i="90"/>
  <c r="U37" i="90"/>
  <c r="T37" i="90"/>
  <c r="S37" i="90"/>
  <c r="Q37" i="90"/>
  <c r="R38" i="90"/>
  <c r="U38" i="90"/>
  <c r="T38" i="90"/>
  <c r="S38" i="90"/>
  <c r="Q38" i="90"/>
  <c r="R39" i="90"/>
  <c r="U39" i="90"/>
  <c r="T39" i="90"/>
  <c r="S39" i="90"/>
  <c r="Q39" i="90"/>
  <c r="U18" i="89"/>
  <c r="U77" i="89" s="1"/>
  <c r="R18" i="89"/>
  <c r="R77" i="89" s="1"/>
  <c r="Q18" i="89"/>
  <c r="Q77" i="89" s="1"/>
  <c r="U20" i="89"/>
  <c r="U76" i="89" s="1"/>
  <c r="R20" i="89"/>
  <c r="R76" i="89" s="1"/>
  <c r="Q20" i="89"/>
  <c r="Q76" i="89" s="1"/>
  <c r="U21" i="89"/>
  <c r="R21" i="89"/>
  <c r="Q21" i="89"/>
  <c r="U22" i="89"/>
  <c r="T22" i="89"/>
  <c r="S22" i="89"/>
  <c r="R22" i="89"/>
  <c r="Q22" i="89"/>
  <c r="U23" i="89"/>
  <c r="T23" i="89"/>
  <c r="S23" i="89"/>
  <c r="R23" i="89"/>
  <c r="Q23" i="89"/>
  <c r="U24" i="89"/>
  <c r="U72" i="89" s="1"/>
  <c r="T24" i="89"/>
  <c r="T72" i="89" s="1"/>
  <c r="S24" i="89"/>
  <c r="S72" i="89" s="1"/>
  <c r="R24" i="89"/>
  <c r="R72" i="89" s="1"/>
  <c r="Q24" i="89"/>
  <c r="Q72" i="89" s="1"/>
  <c r="U25" i="89"/>
  <c r="T25" i="89"/>
  <c r="S25" i="89"/>
  <c r="R25" i="89"/>
  <c r="Q25" i="89"/>
  <c r="U26" i="89"/>
  <c r="U73" i="89" s="1"/>
  <c r="T26" i="89"/>
  <c r="T73" i="89" s="1"/>
  <c r="S26" i="89"/>
  <c r="S73" i="89" s="1"/>
  <c r="R26" i="89"/>
  <c r="R73" i="89" s="1"/>
  <c r="Q26" i="89"/>
  <c r="Q73" i="89" s="1"/>
  <c r="U27" i="89"/>
  <c r="T27" i="89"/>
  <c r="S27" i="89"/>
  <c r="R27" i="89"/>
  <c r="Q27" i="89"/>
  <c r="U28" i="89"/>
  <c r="T28" i="89"/>
  <c r="S28" i="89"/>
  <c r="R28" i="89"/>
  <c r="Q28" i="89"/>
  <c r="Q30" i="89"/>
  <c r="U30" i="89"/>
  <c r="T30" i="89"/>
  <c r="S30" i="89"/>
  <c r="R30" i="89"/>
  <c r="Q31" i="89"/>
  <c r="U31" i="89"/>
  <c r="T31" i="89"/>
  <c r="S31" i="89"/>
  <c r="R31" i="89"/>
  <c r="Q32" i="89"/>
  <c r="U32" i="89"/>
  <c r="T32" i="89"/>
  <c r="S32" i="89"/>
  <c r="R32" i="89"/>
  <c r="Q33" i="89"/>
  <c r="U33" i="89"/>
  <c r="T33" i="89"/>
  <c r="S33" i="89"/>
  <c r="R33" i="89"/>
  <c r="R34" i="89"/>
  <c r="U34" i="89"/>
  <c r="T34" i="89"/>
  <c r="S34" i="89"/>
  <c r="Q34" i="89"/>
  <c r="R35" i="89"/>
  <c r="U35" i="89"/>
  <c r="T35" i="89"/>
  <c r="S35" i="89"/>
  <c r="Q35" i="89"/>
  <c r="R36" i="89"/>
  <c r="U36" i="89"/>
  <c r="T36" i="89"/>
  <c r="S36" i="89"/>
  <c r="Q36" i="89"/>
  <c r="R37" i="89"/>
  <c r="U37" i="89"/>
  <c r="T37" i="89"/>
  <c r="S37" i="89"/>
  <c r="Q37" i="89"/>
  <c r="R38" i="89"/>
  <c r="U38" i="89"/>
  <c r="T38" i="89"/>
  <c r="S38" i="89"/>
  <c r="Q38" i="89"/>
  <c r="R39" i="89"/>
  <c r="U39" i="89"/>
  <c r="T39" i="89"/>
  <c r="S39" i="89"/>
  <c r="Q39" i="89"/>
  <c r="U40" i="89"/>
  <c r="S40" i="89"/>
  <c r="R40" i="89"/>
  <c r="T40" i="89"/>
  <c r="Q40" i="89"/>
  <c r="U41" i="89"/>
  <c r="T41" i="89"/>
  <c r="S41" i="89"/>
  <c r="R41" i="89"/>
  <c r="Q41" i="89"/>
  <c r="U42" i="89"/>
  <c r="S42" i="89"/>
  <c r="T42" i="89"/>
  <c r="R42" i="89"/>
  <c r="Q42" i="89"/>
  <c r="U43" i="89"/>
  <c r="T43" i="89"/>
  <c r="Q43" i="89"/>
  <c r="S43" i="89"/>
  <c r="R43" i="89"/>
  <c r="U44" i="89"/>
  <c r="Q44" i="89"/>
  <c r="T44" i="89"/>
  <c r="S44" i="89"/>
  <c r="R44" i="89"/>
  <c r="S45" i="89"/>
  <c r="R45" i="89"/>
  <c r="T45" i="89"/>
  <c r="U45" i="89"/>
  <c r="Q45" i="89"/>
  <c r="T11" i="89"/>
  <c r="S11" i="89"/>
  <c r="T11" i="90"/>
  <c r="S11" i="90"/>
  <c r="U29" i="89"/>
  <c r="S29" i="89"/>
  <c r="T29" i="89"/>
  <c r="R29" i="89"/>
  <c r="Q29" i="89"/>
  <c r="U11" i="89"/>
  <c r="Q11" i="89"/>
  <c r="R11" i="89"/>
  <c r="U13" i="89"/>
  <c r="R13" i="89"/>
  <c r="Q13" i="89"/>
  <c r="S13" i="89"/>
  <c r="T13" i="89"/>
  <c r="U12" i="89"/>
  <c r="Q12" i="89"/>
  <c r="R12" i="89"/>
  <c r="S12" i="89"/>
  <c r="T12" i="89"/>
  <c r="T19" i="89"/>
  <c r="U19" i="89"/>
  <c r="R19" i="89"/>
  <c r="Q19" i="89"/>
  <c r="U19" i="90"/>
  <c r="Q19" i="90"/>
  <c r="R19" i="90"/>
  <c r="S10" i="90"/>
  <c r="T10" i="90"/>
  <c r="R10" i="90"/>
  <c r="Q10" i="90"/>
  <c r="U10" i="90"/>
  <c r="S12" i="90"/>
  <c r="U12" i="90"/>
  <c r="T12" i="90"/>
  <c r="R12" i="90"/>
  <c r="Q12" i="90"/>
  <c r="U11" i="90"/>
  <c r="Q11" i="90"/>
  <c r="R11" i="90"/>
  <c r="U13" i="90"/>
  <c r="Q13" i="90"/>
  <c r="S13" i="90"/>
  <c r="T13" i="90"/>
  <c r="R13" i="90"/>
  <c r="S10" i="89"/>
  <c r="U10" i="89"/>
  <c r="T10" i="89"/>
  <c r="R10" i="89"/>
  <c r="Q10" i="89"/>
  <c r="U29" i="90"/>
  <c r="Q29" i="90"/>
  <c r="R29" i="90"/>
  <c r="S29" i="90"/>
  <c r="T29" i="90"/>
  <c r="B21" i="74"/>
  <c r="V73" i="89" l="1"/>
  <c r="V73" i="90"/>
  <c r="V72" i="89"/>
  <c r="V76" i="89"/>
  <c r="V77" i="89"/>
  <c r="V72" i="90"/>
  <c r="V76" i="90"/>
  <c r="V77" i="90"/>
  <c r="V71" i="90"/>
  <c r="V70" i="90"/>
  <c r="V70" i="89"/>
  <c r="V80" i="89"/>
  <c r="T90" i="89"/>
  <c r="S90" i="89"/>
  <c r="T90" i="90"/>
  <c r="U71" i="89"/>
  <c r="U93" i="89"/>
  <c r="T71" i="89"/>
  <c r="T93" i="89"/>
  <c r="S71" i="89"/>
  <c r="S93" i="89"/>
  <c r="Q71" i="89"/>
  <c r="Q93" i="89"/>
  <c r="R71" i="89"/>
  <c r="R93" i="89"/>
  <c r="S75" i="89"/>
  <c r="S91" i="89"/>
  <c r="Q68" i="89"/>
  <c r="Q90" i="89"/>
  <c r="T68" i="89"/>
  <c r="U78" i="90"/>
  <c r="U94" i="90"/>
  <c r="S68" i="90"/>
  <c r="R75" i="89"/>
  <c r="R91" i="89"/>
  <c r="R75" i="90"/>
  <c r="R91" i="90"/>
  <c r="U75" i="89"/>
  <c r="U91" i="89"/>
  <c r="Q91" i="90"/>
  <c r="Q75" i="90"/>
  <c r="T75" i="89"/>
  <c r="T91" i="89"/>
  <c r="Q78" i="89"/>
  <c r="Q94" i="89"/>
  <c r="T78" i="90"/>
  <c r="T94" i="90"/>
  <c r="S90" i="90"/>
  <c r="U90" i="90"/>
  <c r="U68" i="90"/>
  <c r="U75" i="90"/>
  <c r="U91" i="90"/>
  <c r="T78" i="89"/>
  <c r="T94" i="89"/>
  <c r="R78" i="90"/>
  <c r="R94" i="90"/>
  <c r="Q68" i="90"/>
  <c r="Q90" i="90"/>
  <c r="T75" i="90"/>
  <c r="T91" i="90"/>
  <c r="R90" i="89"/>
  <c r="S68" i="89"/>
  <c r="S78" i="89"/>
  <c r="S94" i="89"/>
  <c r="U90" i="89"/>
  <c r="U68" i="89"/>
  <c r="S75" i="90"/>
  <c r="S91" i="90"/>
  <c r="R78" i="89"/>
  <c r="R94" i="89"/>
  <c r="S78" i="90"/>
  <c r="S94" i="90"/>
  <c r="Q78" i="90"/>
  <c r="Q94" i="90"/>
  <c r="T68" i="90"/>
  <c r="R68" i="90"/>
  <c r="R90" i="90"/>
  <c r="Q75" i="89"/>
  <c r="Q91" i="89"/>
  <c r="R68" i="89"/>
  <c r="U78" i="89"/>
  <c r="U94" i="89"/>
  <c r="J40" i="82"/>
  <c r="I40" i="82"/>
  <c r="H40" i="82"/>
  <c r="G40" i="82"/>
  <c r="F40" i="82"/>
  <c r="J25" i="82"/>
  <c r="I25" i="82"/>
  <c r="H25" i="82"/>
  <c r="G25" i="82"/>
  <c r="F25" i="82"/>
  <c r="A2" i="82"/>
  <c r="A1" i="82"/>
  <c r="C120" i="79"/>
  <c r="C118" i="79"/>
  <c r="C36" i="74"/>
  <c r="C37" i="74" s="1"/>
  <c r="S92" i="89" l="1"/>
  <c r="S124" i="89"/>
  <c r="T92" i="90"/>
  <c r="V71" i="89"/>
  <c r="V93" i="89"/>
  <c r="U110" i="90"/>
  <c r="U81" i="90"/>
  <c r="Q128" i="90"/>
  <c r="Q95" i="90"/>
  <c r="V94" i="90"/>
  <c r="V95" i="90" s="1"/>
  <c r="Q124" i="90"/>
  <c r="V90" i="90"/>
  <c r="Q92" i="90"/>
  <c r="U103" i="90"/>
  <c r="U74" i="90"/>
  <c r="V78" i="89"/>
  <c r="Q113" i="89"/>
  <c r="U110" i="89"/>
  <c r="U81" i="89"/>
  <c r="T103" i="89"/>
  <c r="T74" i="89"/>
  <c r="T110" i="90"/>
  <c r="T81" i="90"/>
  <c r="U128" i="89"/>
  <c r="U95" i="89"/>
  <c r="U92" i="89"/>
  <c r="U124" i="89"/>
  <c r="Q103" i="90"/>
  <c r="V68" i="90"/>
  <c r="V74" i="90" s="1"/>
  <c r="Q74" i="90"/>
  <c r="U124" i="90"/>
  <c r="U92" i="90"/>
  <c r="T125" i="89"/>
  <c r="R125" i="90"/>
  <c r="Q124" i="89"/>
  <c r="V90" i="89"/>
  <c r="Q92" i="89"/>
  <c r="Q128" i="89"/>
  <c r="V94" i="89"/>
  <c r="Q95" i="89"/>
  <c r="U74" i="89"/>
  <c r="U103" i="89"/>
  <c r="R103" i="89"/>
  <c r="R74" i="89"/>
  <c r="S128" i="89"/>
  <c r="S95" i="89"/>
  <c r="R95" i="90"/>
  <c r="R128" i="90"/>
  <c r="S124" i="90"/>
  <c r="S92" i="90"/>
  <c r="T110" i="89"/>
  <c r="T81" i="89"/>
  <c r="R110" i="90"/>
  <c r="R81" i="90"/>
  <c r="Q103" i="89"/>
  <c r="V68" i="89"/>
  <c r="Q74" i="89"/>
  <c r="Q125" i="89"/>
  <c r="V91" i="89"/>
  <c r="S113" i="90"/>
  <c r="S113" i="89"/>
  <c r="R113" i="90"/>
  <c r="Q110" i="90"/>
  <c r="V75" i="90"/>
  <c r="Q81" i="90"/>
  <c r="R125" i="89"/>
  <c r="S125" i="89"/>
  <c r="S81" i="90"/>
  <c r="S110" i="90"/>
  <c r="U125" i="89"/>
  <c r="U113" i="89"/>
  <c r="S95" i="90"/>
  <c r="S128" i="90"/>
  <c r="V75" i="89"/>
  <c r="Q81" i="89"/>
  <c r="Q110" i="89"/>
  <c r="R128" i="89"/>
  <c r="R95" i="89"/>
  <c r="S74" i="89"/>
  <c r="S103" i="89"/>
  <c r="T128" i="89"/>
  <c r="T95" i="89"/>
  <c r="V91" i="90"/>
  <c r="Q125" i="90"/>
  <c r="R110" i="89"/>
  <c r="R81" i="89"/>
  <c r="S110" i="89"/>
  <c r="S81" i="89"/>
  <c r="S107" i="90"/>
  <c r="S112" i="89"/>
  <c r="S108" i="89"/>
  <c r="T105" i="89"/>
  <c r="S105" i="90"/>
  <c r="Q106" i="90"/>
  <c r="Q105" i="90"/>
  <c r="Q111" i="89"/>
  <c r="Q108" i="89"/>
  <c r="S107" i="89"/>
  <c r="R107" i="89"/>
  <c r="U111" i="90"/>
  <c r="U112" i="90"/>
  <c r="S111" i="89"/>
  <c r="Q104" i="90"/>
  <c r="R107" i="90"/>
  <c r="T115" i="89"/>
  <c r="T108" i="89"/>
  <c r="U108" i="89"/>
  <c r="T111" i="90"/>
  <c r="S108" i="90"/>
  <c r="U112" i="89"/>
  <c r="Q108" i="90"/>
  <c r="Q107" i="89"/>
  <c r="Q112" i="90"/>
  <c r="S112" i="90"/>
  <c r="U115" i="89"/>
  <c r="R115" i="90"/>
  <c r="Q106" i="89"/>
  <c r="T115" i="90"/>
  <c r="U104" i="90"/>
  <c r="Q115" i="90"/>
  <c r="R115" i="89"/>
  <c r="R108" i="89"/>
  <c r="U107" i="90"/>
  <c r="T112" i="90"/>
  <c r="U106" i="90"/>
  <c r="R108" i="90"/>
  <c r="T106" i="89"/>
  <c r="T111" i="89"/>
  <c r="Q115" i="89"/>
  <c r="U108" i="90"/>
  <c r="S115" i="89"/>
  <c r="S106" i="89"/>
  <c r="Q114" i="90"/>
  <c r="U106" i="89"/>
  <c r="R112" i="90"/>
  <c r="S106" i="90"/>
  <c r="R111" i="90"/>
  <c r="T112" i="89"/>
  <c r="R112" i="89"/>
  <c r="S115" i="90"/>
  <c r="T108" i="90"/>
  <c r="Q107" i="90"/>
  <c r="Q111" i="90"/>
  <c r="Q112" i="89"/>
  <c r="R106" i="89"/>
  <c r="R111" i="89"/>
  <c r="T106" i="90"/>
  <c r="U111" i="89"/>
  <c r="T107" i="89"/>
  <c r="U107" i="89"/>
  <c r="U115" i="90"/>
  <c r="S111" i="90"/>
  <c r="R106" i="90"/>
  <c r="Q105" i="89"/>
  <c r="R114" i="89"/>
  <c r="U114" i="89"/>
  <c r="T105" i="90"/>
  <c r="T127" i="90"/>
  <c r="R104" i="90"/>
  <c r="U127" i="90"/>
  <c r="T114" i="90"/>
  <c r="S114" i="90"/>
  <c r="T104" i="90"/>
  <c r="U127" i="89"/>
  <c r="R127" i="90"/>
  <c r="S127" i="89"/>
  <c r="T107" i="90"/>
  <c r="U105" i="90"/>
  <c r="U114" i="90"/>
  <c r="R127" i="89"/>
  <c r="S104" i="89"/>
  <c r="R105" i="90"/>
  <c r="U105" i="89"/>
  <c r="U104" i="89"/>
  <c r="T104" i="89"/>
  <c r="Q104" i="89"/>
  <c r="T127" i="89"/>
  <c r="T114" i="89"/>
  <c r="R114" i="90"/>
  <c r="Q127" i="89"/>
  <c r="S114" i="89"/>
  <c r="Q114" i="89"/>
  <c r="S104" i="90"/>
  <c r="S127" i="90"/>
  <c r="Q127" i="90"/>
  <c r="S105" i="89"/>
  <c r="R104" i="89"/>
  <c r="R105" i="89"/>
  <c r="R113" i="89"/>
  <c r="R124" i="89"/>
  <c r="R92" i="89"/>
  <c r="T113" i="89"/>
  <c r="T95" i="90"/>
  <c r="T128" i="90"/>
  <c r="T92" i="89"/>
  <c r="S74" i="90"/>
  <c r="S103" i="90"/>
  <c r="T103" i="90"/>
  <c r="T74" i="90"/>
  <c r="U113" i="90"/>
  <c r="V78" i="90"/>
  <c r="Q113" i="90"/>
  <c r="R124" i="90"/>
  <c r="R92" i="90"/>
  <c r="R103" i="90"/>
  <c r="R74" i="90"/>
  <c r="S125" i="90"/>
  <c r="T125" i="90"/>
  <c r="U125" i="90"/>
  <c r="T113" i="90"/>
  <c r="T124" i="89"/>
  <c r="U128" i="90"/>
  <c r="U95" i="90"/>
  <c r="T124" i="90"/>
  <c r="J42" i="82" l="1"/>
  <c r="V95" i="89"/>
  <c r="S126" i="89"/>
  <c r="S97" i="89"/>
  <c r="S98" i="89" s="1"/>
  <c r="I43" i="82"/>
  <c r="T129" i="89"/>
  <c r="T97" i="90"/>
  <c r="T98" i="90" s="1"/>
  <c r="G27" i="82"/>
  <c r="T83" i="90"/>
  <c r="T84" i="90" s="1"/>
  <c r="H27" i="82"/>
  <c r="V113" i="90"/>
  <c r="V127" i="90"/>
  <c r="V74" i="89"/>
  <c r="G42" i="82"/>
  <c r="G47" i="82"/>
  <c r="R97" i="89"/>
  <c r="R98" i="89" s="1"/>
  <c r="R83" i="89"/>
  <c r="R84" i="89" s="1"/>
  <c r="S83" i="89"/>
  <c r="S84" i="89" s="1"/>
  <c r="I46" i="82"/>
  <c r="I42" i="82"/>
  <c r="R129" i="89"/>
  <c r="Q97" i="89"/>
  <c r="Q98" i="89" s="1"/>
  <c r="T126" i="89"/>
  <c r="V106" i="89"/>
  <c r="J47" i="82"/>
  <c r="H46" i="82"/>
  <c r="T83" i="89"/>
  <c r="T84" i="89" s="1"/>
  <c r="G43" i="82"/>
  <c r="V127" i="89"/>
  <c r="U129" i="89"/>
  <c r="J46" i="82"/>
  <c r="V81" i="89"/>
  <c r="U83" i="89"/>
  <c r="U84" i="89" s="1"/>
  <c r="G28" i="82"/>
  <c r="I32" i="82"/>
  <c r="G31" i="82"/>
  <c r="T129" i="90"/>
  <c r="S129" i="90"/>
  <c r="Q97" i="90"/>
  <c r="Q98" i="90" s="1"/>
  <c r="T126" i="90"/>
  <c r="Q83" i="90"/>
  <c r="H32" i="82"/>
  <c r="G32" i="82"/>
  <c r="R83" i="90"/>
  <c r="R84" i="90" s="1"/>
  <c r="J31" i="82"/>
  <c r="R97" i="90"/>
  <c r="R98" i="90" s="1"/>
  <c r="I31" i="82"/>
  <c r="R126" i="90"/>
  <c r="V114" i="90"/>
  <c r="U83" i="90"/>
  <c r="U84" i="90" s="1"/>
  <c r="F28" i="82"/>
  <c r="V105" i="90"/>
  <c r="I45" i="82"/>
  <c r="T116" i="89"/>
  <c r="R109" i="89"/>
  <c r="G41" i="82"/>
  <c r="Q126" i="90"/>
  <c r="V124" i="90"/>
  <c r="H42" i="82"/>
  <c r="I27" i="82"/>
  <c r="J32" i="82"/>
  <c r="V106" i="90"/>
  <c r="F45" i="82"/>
  <c r="Q116" i="89"/>
  <c r="V110" i="89"/>
  <c r="F41" i="82"/>
  <c r="V103" i="89"/>
  <c r="Q109" i="89"/>
  <c r="V113" i="89"/>
  <c r="F30" i="82"/>
  <c r="V110" i="90"/>
  <c r="Q116" i="90"/>
  <c r="H43" i="82"/>
  <c r="V114" i="89"/>
  <c r="V105" i="89"/>
  <c r="F43" i="82"/>
  <c r="G46" i="82"/>
  <c r="H28" i="82"/>
  <c r="T97" i="89"/>
  <c r="T98" i="89" s="1"/>
  <c r="S116" i="90"/>
  <c r="H30" i="82"/>
  <c r="S126" i="90"/>
  <c r="U109" i="89"/>
  <c r="J41" i="82"/>
  <c r="V92" i="89"/>
  <c r="F26" i="82"/>
  <c r="Q109" i="90"/>
  <c r="V103" i="90"/>
  <c r="T116" i="90"/>
  <c r="I30" i="82"/>
  <c r="Q129" i="90"/>
  <c r="V128" i="90"/>
  <c r="S116" i="89"/>
  <c r="H45" i="82"/>
  <c r="Q126" i="89"/>
  <c r="V124" i="89"/>
  <c r="G26" i="82"/>
  <c r="R109" i="90"/>
  <c r="T109" i="90"/>
  <c r="I26" i="82"/>
  <c r="F42" i="82"/>
  <c r="V104" i="89"/>
  <c r="J28" i="82"/>
  <c r="U129" i="90"/>
  <c r="H31" i="82"/>
  <c r="V115" i="89"/>
  <c r="S109" i="89"/>
  <c r="H41" i="82"/>
  <c r="U126" i="89"/>
  <c r="T109" i="89"/>
  <c r="I41" i="82"/>
  <c r="U109" i="90"/>
  <c r="J26" i="82"/>
  <c r="U97" i="89"/>
  <c r="U98" i="89" s="1"/>
  <c r="J30" i="82"/>
  <c r="U116" i="90"/>
  <c r="V112" i="89"/>
  <c r="F47" i="82"/>
  <c r="V115" i="90"/>
  <c r="I47" i="82"/>
  <c r="R116" i="89"/>
  <c r="G45" i="82"/>
  <c r="S109" i="90"/>
  <c r="H26" i="82"/>
  <c r="R126" i="89"/>
  <c r="F31" i="82"/>
  <c r="V111" i="90"/>
  <c r="J27" i="82"/>
  <c r="V107" i="89"/>
  <c r="V108" i="89"/>
  <c r="H47" i="82"/>
  <c r="S97" i="90"/>
  <c r="S98" i="90" s="1"/>
  <c r="V125" i="89"/>
  <c r="S129" i="89"/>
  <c r="U97" i="90"/>
  <c r="U98" i="90" s="1"/>
  <c r="V112" i="90"/>
  <c r="F32" i="82"/>
  <c r="G30" i="82"/>
  <c r="R116" i="90"/>
  <c r="S83" i="90"/>
  <c r="S84" i="90" s="1"/>
  <c r="J43" i="82"/>
  <c r="R129" i="90"/>
  <c r="I28" i="82"/>
  <c r="V107" i="90"/>
  <c r="V108" i="90"/>
  <c r="V104" i="90"/>
  <c r="F27" i="82"/>
  <c r="V111" i="89"/>
  <c r="F46" i="82"/>
  <c r="V125" i="90"/>
  <c r="V81" i="90"/>
  <c r="Q83" i="89"/>
  <c r="D86" i="89" s="1"/>
  <c r="Q129" i="89"/>
  <c r="V128" i="89"/>
  <c r="U126" i="90"/>
  <c r="J45" i="82"/>
  <c r="U116" i="89"/>
  <c r="V92" i="90"/>
  <c r="C86" i="79"/>
  <c r="Q84" i="90" l="1"/>
  <c r="D86" i="90"/>
  <c r="S131" i="89"/>
  <c r="S132" i="89" s="1"/>
  <c r="T131" i="89"/>
  <c r="T132" i="89" s="1"/>
  <c r="S118" i="90"/>
  <c r="S119" i="90" s="1"/>
  <c r="U131" i="90"/>
  <c r="U132" i="90" s="1"/>
  <c r="R118" i="89"/>
  <c r="R119" i="89" s="1"/>
  <c r="T118" i="89"/>
  <c r="T119" i="89" s="1"/>
  <c r="T131" i="90"/>
  <c r="T132" i="90" s="1"/>
  <c r="V129" i="90"/>
  <c r="S131" i="90"/>
  <c r="S132" i="90" s="1"/>
  <c r="K47" i="82"/>
  <c r="R131" i="89"/>
  <c r="R132" i="89" s="1"/>
  <c r="U131" i="89"/>
  <c r="U132" i="89" s="1"/>
  <c r="V129" i="89"/>
  <c r="Q118" i="89"/>
  <c r="U118" i="90"/>
  <c r="U119" i="90" s="1"/>
  <c r="R131" i="90"/>
  <c r="R132" i="90" s="1"/>
  <c r="V97" i="90"/>
  <c r="V98" i="90" s="1"/>
  <c r="W98" i="90" s="1"/>
  <c r="Q118" i="90"/>
  <c r="R118" i="90"/>
  <c r="R119" i="90" s="1"/>
  <c r="V126" i="89"/>
  <c r="V109" i="90"/>
  <c r="V97" i="89"/>
  <c r="V98" i="89" s="1"/>
  <c r="W98" i="89" s="1"/>
  <c r="Q131" i="89"/>
  <c r="V83" i="90"/>
  <c r="V109" i="89"/>
  <c r="V83" i="89"/>
  <c r="Q84" i="89"/>
  <c r="S118" i="89"/>
  <c r="S119" i="89" s="1"/>
  <c r="V126" i="90"/>
  <c r="T118" i="90"/>
  <c r="T119" i="90" s="1"/>
  <c r="U118" i="89"/>
  <c r="U119" i="89" s="1"/>
  <c r="V116" i="90"/>
  <c r="V116" i="89"/>
  <c r="Q131" i="90"/>
  <c r="K32" i="82"/>
  <c r="G48" i="82"/>
  <c r="J33" i="82"/>
  <c r="J48" i="82"/>
  <c r="I33" i="82"/>
  <c r="H33" i="82"/>
  <c r="K45" i="82"/>
  <c r="F48" i="82"/>
  <c r="G33" i="82"/>
  <c r="F33" i="82"/>
  <c r="K30" i="82"/>
  <c r="I48" i="82"/>
  <c r="H48" i="82"/>
  <c r="A2" i="79"/>
  <c r="A1" i="79"/>
  <c r="A2" i="74"/>
  <c r="A1" i="74"/>
  <c r="C83" i="79"/>
  <c r="U64" i="79"/>
  <c r="T64" i="79"/>
  <c r="S64" i="79"/>
  <c r="R64" i="79"/>
  <c r="Q64" i="79"/>
  <c r="I64" i="79"/>
  <c r="U63" i="79"/>
  <c r="T63" i="79"/>
  <c r="S63" i="79"/>
  <c r="R63" i="79"/>
  <c r="Q63" i="79"/>
  <c r="I63" i="79"/>
  <c r="U62" i="79"/>
  <c r="T62" i="79"/>
  <c r="S62" i="79"/>
  <c r="R62" i="79"/>
  <c r="Q62" i="79"/>
  <c r="I62" i="79"/>
  <c r="U61" i="79"/>
  <c r="T61" i="79"/>
  <c r="S61" i="79"/>
  <c r="R61" i="79"/>
  <c r="Q61" i="79"/>
  <c r="I61" i="79"/>
  <c r="U60" i="79"/>
  <c r="T60" i="79"/>
  <c r="S60" i="79"/>
  <c r="R60" i="79"/>
  <c r="Q60" i="79"/>
  <c r="I60" i="79"/>
  <c r="U59" i="79"/>
  <c r="T59" i="79"/>
  <c r="S59" i="79"/>
  <c r="R59" i="79"/>
  <c r="Q59" i="79"/>
  <c r="I59" i="79"/>
  <c r="U58" i="79"/>
  <c r="T58" i="79"/>
  <c r="S58" i="79"/>
  <c r="R58" i="79"/>
  <c r="Q58" i="79"/>
  <c r="I58" i="79"/>
  <c r="U57" i="79"/>
  <c r="T57" i="79"/>
  <c r="S57" i="79"/>
  <c r="R57" i="79"/>
  <c r="Q57" i="79"/>
  <c r="I57" i="79"/>
  <c r="U56" i="79"/>
  <c r="T56" i="79"/>
  <c r="S56" i="79"/>
  <c r="R56" i="79"/>
  <c r="Q56" i="79"/>
  <c r="I56" i="79"/>
  <c r="U55" i="79"/>
  <c r="T55" i="79"/>
  <c r="S55" i="79"/>
  <c r="R55" i="79"/>
  <c r="Q55" i="79"/>
  <c r="I55" i="79"/>
  <c r="U54" i="79"/>
  <c r="T54" i="79"/>
  <c r="S54" i="79"/>
  <c r="R54" i="79"/>
  <c r="Q54" i="79"/>
  <c r="I54" i="79"/>
  <c r="U53" i="79"/>
  <c r="T53" i="79"/>
  <c r="S53" i="79"/>
  <c r="R53" i="79"/>
  <c r="Q53" i="79"/>
  <c r="I53" i="79"/>
  <c r="U42" i="79"/>
  <c r="T42" i="79"/>
  <c r="S42" i="79"/>
  <c r="R42" i="79"/>
  <c r="Q42" i="79"/>
  <c r="I42" i="79"/>
  <c r="U41" i="79"/>
  <c r="T41" i="79"/>
  <c r="S41" i="79"/>
  <c r="R41" i="79"/>
  <c r="Q41" i="79"/>
  <c r="I41" i="79"/>
  <c r="U40" i="79"/>
  <c r="T40" i="79"/>
  <c r="S40" i="79"/>
  <c r="R40" i="79"/>
  <c r="Q40" i="79"/>
  <c r="I40" i="79"/>
  <c r="U39" i="79"/>
  <c r="T39" i="79"/>
  <c r="S39" i="79"/>
  <c r="R39" i="79"/>
  <c r="Q39" i="79"/>
  <c r="I39" i="79"/>
  <c r="U38" i="79"/>
  <c r="T38" i="79"/>
  <c r="S38" i="79"/>
  <c r="R38" i="79"/>
  <c r="Q38" i="79"/>
  <c r="I38" i="79"/>
  <c r="U37" i="79"/>
  <c r="T37" i="79"/>
  <c r="S37" i="79"/>
  <c r="R37" i="79"/>
  <c r="Q37" i="79"/>
  <c r="I37" i="79"/>
  <c r="U36" i="79"/>
  <c r="T36" i="79"/>
  <c r="S36" i="79"/>
  <c r="R36" i="79"/>
  <c r="Q36" i="79"/>
  <c r="I36" i="79"/>
  <c r="U35" i="79"/>
  <c r="T35" i="79"/>
  <c r="S35" i="79"/>
  <c r="R35" i="79"/>
  <c r="Q35" i="79"/>
  <c r="I35" i="79"/>
  <c r="U34" i="79"/>
  <c r="T34" i="79"/>
  <c r="S34" i="79"/>
  <c r="R34" i="79"/>
  <c r="Q34" i="79"/>
  <c r="I34" i="79"/>
  <c r="U33" i="79"/>
  <c r="T33" i="79"/>
  <c r="S33" i="79"/>
  <c r="R33" i="79"/>
  <c r="Q33" i="79"/>
  <c r="I33" i="79"/>
  <c r="U32" i="79"/>
  <c r="T32" i="79"/>
  <c r="S32" i="79"/>
  <c r="R32" i="79"/>
  <c r="Q32" i="79"/>
  <c r="I32" i="79"/>
  <c r="U31" i="79"/>
  <c r="T31" i="79"/>
  <c r="S31" i="79"/>
  <c r="R31" i="79"/>
  <c r="Q31" i="79"/>
  <c r="I31" i="79"/>
  <c r="U30" i="79"/>
  <c r="T30" i="79"/>
  <c r="S30" i="79"/>
  <c r="R30" i="79"/>
  <c r="Q30" i="79"/>
  <c r="I30" i="79"/>
  <c r="I29" i="79"/>
  <c r="Q29" i="79"/>
  <c r="U28" i="79"/>
  <c r="T28" i="79"/>
  <c r="S28" i="79"/>
  <c r="R28" i="79"/>
  <c r="Q28" i="79"/>
  <c r="I28" i="79"/>
  <c r="U27" i="79"/>
  <c r="T27" i="79"/>
  <c r="S27" i="79"/>
  <c r="R27" i="79"/>
  <c r="Q27" i="79"/>
  <c r="I27" i="79"/>
  <c r="U26" i="79"/>
  <c r="U73" i="79" s="1"/>
  <c r="U108" i="79" s="1"/>
  <c r="T26" i="79"/>
  <c r="T73" i="79" s="1"/>
  <c r="T108" i="79" s="1"/>
  <c r="S26" i="79"/>
  <c r="S73" i="79" s="1"/>
  <c r="S108" i="79" s="1"/>
  <c r="R26" i="79"/>
  <c r="R73" i="79" s="1"/>
  <c r="R108" i="79" s="1"/>
  <c r="Q26" i="79"/>
  <c r="Q73" i="79" s="1"/>
  <c r="Q108" i="79" s="1"/>
  <c r="I26" i="79"/>
  <c r="U25" i="79"/>
  <c r="T25" i="79"/>
  <c r="S25" i="79"/>
  <c r="R25" i="79"/>
  <c r="Q25" i="79"/>
  <c r="I25" i="79"/>
  <c r="I24" i="79"/>
  <c r="Q24" i="79"/>
  <c r="U23" i="79"/>
  <c r="T23" i="79"/>
  <c r="S23" i="79"/>
  <c r="R23" i="79"/>
  <c r="Q23" i="79"/>
  <c r="I23" i="79"/>
  <c r="U22" i="79"/>
  <c r="T22" i="79"/>
  <c r="S22" i="79"/>
  <c r="R22" i="79"/>
  <c r="Q22" i="79"/>
  <c r="I22" i="79"/>
  <c r="I21" i="79"/>
  <c r="U21" i="79"/>
  <c r="U20" i="79"/>
  <c r="T20" i="79"/>
  <c r="S20" i="79"/>
  <c r="R20" i="79"/>
  <c r="Q20" i="79"/>
  <c r="I20" i="79"/>
  <c r="I19" i="79"/>
  <c r="U19" i="79"/>
  <c r="U75" i="79" s="1"/>
  <c r="U18" i="79"/>
  <c r="T18" i="79"/>
  <c r="S18" i="79"/>
  <c r="R18" i="79"/>
  <c r="Q18" i="79"/>
  <c r="I18" i="79"/>
  <c r="I17" i="79"/>
  <c r="H17" i="79"/>
  <c r="I16" i="79"/>
  <c r="H16" i="79"/>
  <c r="I15" i="79"/>
  <c r="H15" i="79"/>
  <c r="I14" i="79"/>
  <c r="H14" i="79"/>
  <c r="I13" i="79"/>
  <c r="H13" i="79"/>
  <c r="I12" i="79"/>
  <c r="H12" i="79"/>
  <c r="I11" i="79"/>
  <c r="H11" i="79"/>
  <c r="I10" i="79"/>
  <c r="H10" i="79"/>
  <c r="A5" i="79"/>
  <c r="W3" i="79"/>
  <c r="Q119" i="90" l="1"/>
  <c r="D120" i="90"/>
  <c r="D120" i="89"/>
  <c r="Q16" i="79"/>
  <c r="T16" i="79"/>
  <c r="S16" i="79"/>
  <c r="U16" i="79"/>
  <c r="R16" i="79"/>
  <c r="R17" i="79"/>
  <c r="T17" i="79"/>
  <c r="S17" i="79"/>
  <c r="U17" i="79"/>
  <c r="Q17" i="79"/>
  <c r="R80" i="79"/>
  <c r="R115" i="79" s="1"/>
  <c r="T80" i="79"/>
  <c r="T115" i="79" s="1"/>
  <c r="U80" i="79"/>
  <c r="U115" i="79" s="1"/>
  <c r="U13" i="79"/>
  <c r="S80" i="79"/>
  <c r="S115" i="79" s="1"/>
  <c r="T14" i="79"/>
  <c r="S15" i="79"/>
  <c r="S71" i="79" s="1"/>
  <c r="S106" i="79" s="1"/>
  <c r="R14" i="79"/>
  <c r="U15" i="79"/>
  <c r="U71" i="79" s="1"/>
  <c r="U106" i="79" s="1"/>
  <c r="R15" i="79"/>
  <c r="R71" i="79" s="1"/>
  <c r="R106" i="79" s="1"/>
  <c r="T11" i="79"/>
  <c r="S11" i="79"/>
  <c r="U14" i="79"/>
  <c r="Q12" i="79"/>
  <c r="U10" i="79"/>
  <c r="S10" i="79"/>
  <c r="Q80" i="79"/>
  <c r="Q115" i="79" s="1"/>
  <c r="V118" i="89"/>
  <c r="Q119" i="89"/>
  <c r="S14" i="79"/>
  <c r="T15" i="79"/>
  <c r="T71" i="79" s="1"/>
  <c r="T106" i="79" s="1"/>
  <c r="Q15" i="79"/>
  <c r="Q71" i="79" s="1"/>
  <c r="Q106" i="79" s="1"/>
  <c r="Q14" i="79"/>
  <c r="Q132" i="90"/>
  <c r="V131" i="90"/>
  <c r="V132" i="90" s="1"/>
  <c r="V118" i="90"/>
  <c r="V84" i="89"/>
  <c r="W84" i="89" s="1"/>
  <c r="Q132" i="89"/>
  <c r="V131" i="89"/>
  <c r="V132" i="89" s="1"/>
  <c r="V84" i="90"/>
  <c r="W84" i="90" s="1"/>
  <c r="V108" i="79"/>
  <c r="S29" i="79"/>
  <c r="S78" i="79" s="1"/>
  <c r="S113" i="79" s="1"/>
  <c r="T70" i="79"/>
  <c r="Q79" i="79"/>
  <c r="Q114" i="79" s="1"/>
  <c r="Q94" i="79"/>
  <c r="Q128" i="79" s="1"/>
  <c r="R79" i="79"/>
  <c r="R114" i="79" s="1"/>
  <c r="Q77" i="79"/>
  <c r="Q78" i="79"/>
  <c r="Q113" i="79" s="1"/>
  <c r="S94" i="79"/>
  <c r="S128" i="79" s="1"/>
  <c r="S79" i="79"/>
  <c r="S114" i="79" s="1"/>
  <c r="T79" i="79"/>
  <c r="T114" i="79" s="1"/>
  <c r="Q72" i="79"/>
  <c r="Q107" i="79" s="1"/>
  <c r="U79" i="79"/>
  <c r="U114" i="79" s="1"/>
  <c r="R29" i="79"/>
  <c r="T29" i="79"/>
  <c r="T94" i="79" s="1"/>
  <c r="T128" i="79" s="1"/>
  <c r="U29" i="79"/>
  <c r="U94" i="79" s="1"/>
  <c r="U128" i="79" s="1"/>
  <c r="U110" i="79"/>
  <c r="Q19" i="79"/>
  <c r="Q75" i="79" s="1"/>
  <c r="R19" i="79"/>
  <c r="R75" i="79" s="1"/>
  <c r="S19" i="79"/>
  <c r="S75" i="79" s="1"/>
  <c r="T19" i="79"/>
  <c r="T75" i="79" s="1"/>
  <c r="U70" i="79"/>
  <c r="T76" i="79"/>
  <c r="T111" i="79" s="1"/>
  <c r="S76" i="79"/>
  <c r="S111" i="79" s="1"/>
  <c r="Q70" i="79"/>
  <c r="R70" i="79"/>
  <c r="Q76" i="79"/>
  <c r="S77" i="79"/>
  <c r="U91" i="79"/>
  <c r="U125" i="79" s="1"/>
  <c r="U76" i="79"/>
  <c r="U111" i="79" s="1"/>
  <c r="S70" i="79"/>
  <c r="R76" i="79"/>
  <c r="R111" i="79" s="1"/>
  <c r="K31" i="82"/>
  <c r="K33" i="82" s="1"/>
  <c r="K46" i="82"/>
  <c r="K48" i="82" s="1"/>
  <c r="T12" i="79"/>
  <c r="U12" i="79"/>
  <c r="U24" i="79"/>
  <c r="T24" i="79"/>
  <c r="R24" i="79"/>
  <c r="S24" i="79"/>
  <c r="R12" i="79"/>
  <c r="S12" i="79"/>
  <c r="R21" i="79"/>
  <c r="Q21" i="79"/>
  <c r="Q69" i="79" s="1"/>
  <c r="Q104" i="79" s="1"/>
  <c r="T21" i="79"/>
  <c r="S21" i="79"/>
  <c r="Q10" i="79"/>
  <c r="U11" i="79"/>
  <c r="T10" i="79"/>
  <c r="R10" i="79"/>
  <c r="R11" i="79"/>
  <c r="Q13" i="79"/>
  <c r="R13" i="79"/>
  <c r="Q11" i="79"/>
  <c r="S13" i="79"/>
  <c r="T13" i="79"/>
  <c r="V115" i="79" l="1"/>
  <c r="V80" i="79"/>
  <c r="Q93" i="79"/>
  <c r="Q127" i="79" s="1"/>
  <c r="Q129" i="79" s="1"/>
  <c r="V119" i="89"/>
  <c r="W119" i="89" s="1"/>
  <c r="V106" i="79"/>
  <c r="F12" i="82"/>
  <c r="J16" i="82"/>
  <c r="W132" i="89"/>
  <c r="V119" i="90"/>
  <c r="W119" i="90" s="1"/>
  <c r="W132" i="90"/>
  <c r="Q105" i="79"/>
  <c r="F13" i="82" s="1"/>
  <c r="S112" i="79"/>
  <c r="H17" i="82" s="1"/>
  <c r="Q111" i="79"/>
  <c r="V114" i="79"/>
  <c r="H16" i="82"/>
  <c r="T105" i="79"/>
  <c r="I13" i="82" s="1"/>
  <c r="I16" i="82"/>
  <c r="R105" i="79"/>
  <c r="G13" i="82" s="1"/>
  <c r="S105" i="79"/>
  <c r="H13" i="82" s="1"/>
  <c r="U105" i="79"/>
  <c r="J13" i="82" s="1"/>
  <c r="Q112" i="79"/>
  <c r="G16" i="82"/>
  <c r="S91" i="79"/>
  <c r="S125" i="79" s="1"/>
  <c r="R77" i="79"/>
  <c r="R78" i="79"/>
  <c r="R113" i="79" s="1"/>
  <c r="T93" i="79"/>
  <c r="T72" i="79"/>
  <c r="T107" i="79" s="1"/>
  <c r="S93" i="79"/>
  <c r="S72" i="79"/>
  <c r="S107" i="79" s="1"/>
  <c r="R72" i="79"/>
  <c r="R107" i="79" s="1"/>
  <c r="R93" i="79"/>
  <c r="R127" i="79" s="1"/>
  <c r="R94" i="79"/>
  <c r="U77" i="79"/>
  <c r="U112" i="79" s="1"/>
  <c r="J17" i="82" s="1"/>
  <c r="U78" i="79"/>
  <c r="U69" i="79"/>
  <c r="U104" i="79" s="1"/>
  <c r="U93" i="79"/>
  <c r="U72" i="79"/>
  <c r="U107" i="79" s="1"/>
  <c r="T77" i="79"/>
  <c r="T78" i="79"/>
  <c r="Q91" i="79"/>
  <c r="Q125" i="79" s="1"/>
  <c r="T91" i="79"/>
  <c r="T125" i="79" s="1"/>
  <c r="T110" i="79"/>
  <c r="R91" i="79"/>
  <c r="R125" i="79" s="1"/>
  <c r="S110" i="79"/>
  <c r="R110" i="79"/>
  <c r="V75" i="79"/>
  <c r="Q110" i="79"/>
  <c r="T69" i="79"/>
  <c r="T104" i="79" s="1"/>
  <c r="R69" i="79"/>
  <c r="R104" i="79" s="1"/>
  <c r="U68" i="79"/>
  <c r="S69" i="79"/>
  <c r="S104" i="79" s="1"/>
  <c r="T90" i="79"/>
  <c r="T124" i="79" s="1"/>
  <c r="T68" i="79"/>
  <c r="U90" i="79"/>
  <c r="Q68" i="79"/>
  <c r="Q90" i="79"/>
  <c r="Q124" i="79" s="1"/>
  <c r="S90" i="79"/>
  <c r="S124" i="79" s="1"/>
  <c r="S68" i="79"/>
  <c r="R68" i="79"/>
  <c r="R90" i="79"/>
  <c r="R124" i="79" s="1"/>
  <c r="V79" i="79"/>
  <c r="Q81" i="79"/>
  <c r="S81" i="79"/>
  <c r="V73" i="79"/>
  <c r="V76" i="79"/>
  <c r="V70" i="79"/>
  <c r="I12" i="82" l="1"/>
  <c r="Q95" i="79"/>
  <c r="S126" i="79"/>
  <c r="G12" i="82"/>
  <c r="V107" i="79"/>
  <c r="V125" i="79"/>
  <c r="U92" i="79"/>
  <c r="U124" i="79"/>
  <c r="U126" i="79" s="1"/>
  <c r="T113" i="79"/>
  <c r="I15" i="82" s="1"/>
  <c r="V94" i="79"/>
  <c r="R128" i="79"/>
  <c r="V128" i="79" s="1"/>
  <c r="T95" i="79"/>
  <c r="T127" i="79"/>
  <c r="T129" i="79" s="1"/>
  <c r="T112" i="79"/>
  <c r="I17" i="82" s="1"/>
  <c r="S95" i="79"/>
  <c r="S127" i="79"/>
  <c r="S129" i="79" s="1"/>
  <c r="V111" i="79"/>
  <c r="F16" i="82"/>
  <c r="R126" i="79"/>
  <c r="T126" i="79"/>
  <c r="R112" i="79"/>
  <c r="G17" i="82" s="1"/>
  <c r="Q126" i="79"/>
  <c r="Q131" i="79" s="1"/>
  <c r="U95" i="79"/>
  <c r="U127" i="79"/>
  <c r="U129" i="79" s="1"/>
  <c r="F17" i="82"/>
  <c r="J12" i="82"/>
  <c r="H12" i="82"/>
  <c r="U113" i="79"/>
  <c r="J15" i="82" s="1"/>
  <c r="Q116" i="79"/>
  <c r="F15" i="82"/>
  <c r="G15" i="82"/>
  <c r="S116" i="79"/>
  <c r="H15" i="82"/>
  <c r="H18" i="82" s="1"/>
  <c r="R81" i="79"/>
  <c r="U81" i="79"/>
  <c r="S92" i="79"/>
  <c r="V78" i="79"/>
  <c r="R92" i="79"/>
  <c r="R95" i="79"/>
  <c r="U74" i="79"/>
  <c r="V77" i="79"/>
  <c r="V93" i="79"/>
  <c r="T81" i="79"/>
  <c r="T92" i="79"/>
  <c r="V91" i="79"/>
  <c r="V110" i="79"/>
  <c r="V90" i="79"/>
  <c r="Q92" i="79"/>
  <c r="V72" i="79"/>
  <c r="Q74" i="79"/>
  <c r="Q83" i="79" s="1"/>
  <c r="V71" i="79"/>
  <c r="T74" i="79"/>
  <c r="R74" i="79"/>
  <c r="S74" i="79"/>
  <c r="S83" i="79" s="1"/>
  <c r="S84" i="79" s="1"/>
  <c r="V69" i="79"/>
  <c r="V68" i="79"/>
  <c r="Q97" i="79" l="1"/>
  <c r="Q98" i="79" s="1"/>
  <c r="T131" i="79"/>
  <c r="T132" i="79" s="1"/>
  <c r="T97" i="79"/>
  <c r="T98" i="79" s="1"/>
  <c r="U97" i="79"/>
  <c r="U98" i="79" s="1"/>
  <c r="S97" i="79"/>
  <c r="S98" i="79" s="1"/>
  <c r="V113" i="79"/>
  <c r="U116" i="79"/>
  <c r="V127" i="79"/>
  <c r="V129" i="79" s="1"/>
  <c r="R116" i="79"/>
  <c r="S131" i="79"/>
  <c r="S132" i="79" s="1"/>
  <c r="R83" i="79"/>
  <c r="R84" i="79" s="1"/>
  <c r="V124" i="79"/>
  <c r="V126" i="79" s="1"/>
  <c r="V112" i="79"/>
  <c r="U131" i="79"/>
  <c r="U132" i="79" s="1"/>
  <c r="Q132" i="79"/>
  <c r="V95" i="79"/>
  <c r="T116" i="79"/>
  <c r="R129" i="79"/>
  <c r="R131" i="79" s="1"/>
  <c r="K15" i="82"/>
  <c r="G18" i="82"/>
  <c r="U83" i="79"/>
  <c r="U84" i="79" s="1"/>
  <c r="V81" i="79"/>
  <c r="K17" i="82"/>
  <c r="T83" i="79"/>
  <c r="T84" i="79" s="1"/>
  <c r="J18" i="82"/>
  <c r="I18" i="82"/>
  <c r="R97" i="79"/>
  <c r="R98" i="79" s="1"/>
  <c r="V92" i="79"/>
  <c r="V74" i="79"/>
  <c r="K16" i="82"/>
  <c r="F18" i="82"/>
  <c r="Q84" i="79"/>
  <c r="D86" i="79" l="1"/>
  <c r="V116" i="79"/>
  <c r="R132" i="79"/>
  <c r="V131" i="79"/>
  <c r="K18" i="82"/>
  <c r="V97" i="79"/>
  <c r="V98" i="79" s="1"/>
  <c r="W98" i="79" s="1"/>
  <c r="V83" i="79"/>
  <c r="V132" i="79" l="1"/>
  <c r="W132" i="79" s="1"/>
  <c r="V84" i="79"/>
  <c r="W84" i="79" s="1"/>
  <c r="U103" i="79" l="1"/>
  <c r="T103" i="79"/>
  <c r="R103" i="79"/>
  <c r="S103" i="79"/>
  <c r="Q103" i="79"/>
  <c r="T109" i="79" l="1"/>
  <c r="T118" i="79" s="1"/>
  <c r="T119" i="79" s="1"/>
  <c r="I11" i="82"/>
  <c r="I14" i="82" s="1"/>
  <c r="Q109" i="79"/>
  <c r="Q118" i="79" s="1"/>
  <c r="F11" i="82"/>
  <c r="F14" i="82" s="1"/>
  <c r="U109" i="79"/>
  <c r="U118" i="79" s="1"/>
  <c r="U119" i="79" s="1"/>
  <c r="J11" i="82"/>
  <c r="J14" i="82" s="1"/>
  <c r="S109" i="79"/>
  <c r="S118" i="79" s="1"/>
  <c r="S119" i="79" s="1"/>
  <c r="H11" i="82"/>
  <c r="H14" i="82" s="1"/>
  <c r="R109" i="79"/>
  <c r="R118" i="79" s="1"/>
  <c r="R119" i="79" s="1"/>
  <c r="G11" i="82"/>
  <c r="G14" i="82" s="1"/>
  <c r="F44" i="82"/>
  <c r="F50" i="82" s="1"/>
  <c r="F29" i="82"/>
  <c r="V105" i="79"/>
  <c r="V104" i="79"/>
  <c r="V103" i="79"/>
  <c r="Q119" i="79" l="1"/>
  <c r="D120" i="79"/>
  <c r="F35" i="82"/>
  <c r="V109" i="79"/>
  <c r="F20" i="82"/>
  <c r="J20" i="82"/>
  <c r="G20" i="82"/>
  <c r="H20" i="82"/>
  <c r="I20" i="82"/>
  <c r="H29" i="82"/>
  <c r="I44" i="82"/>
  <c r="I50" i="82" s="1"/>
  <c r="J44" i="82"/>
  <c r="J50" i="82" s="1"/>
  <c r="G44" i="82"/>
  <c r="G50" i="82" s="1"/>
  <c r="J29" i="82"/>
  <c r="H44" i="82"/>
  <c r="H50" i="82" s="1"/>
  <c r="I29" i="82"/>
  <c r="G29" i="82"/>
  <c r="K11" i="82"/>
  <c r="K12" i="82"/>
  <c r="K13" i="82"/>
  <c r="K42" i="82"/>
  <c r="K41" i="82"/>
  <c r="K43" i="82"/>
  <c r="V118" i="79"/>
  <c r="F52" i="82" l="1"/>
  <c r="F22" i="82"/>
  <c r="H35" i="82"/>
  <c r="G35" i="82"/>
  <c r="J35" i="82"/>
  <c r="I35" i="82"/>
  <c r="V119" i="79"/>
  <c r="W119" i="79" s="1"/>
  <c r="K44" i="82"/>
  <c r="K50" i="82" s="1"/>
  <c r="K14" i="82"/>
  <c r="K20" i="82" s="1"/>
  <c r="L20" i="82" s="1"/>
  <c r="F37" i="82" l="1"/>
  <c r="L50" i="82"/>
  <c r="K26" i="82" l="1"/>
  <c r="K27" i="82" l="1"/>
  <c r="K28" i="82" l="1"/>
  <c r="K29" i="82" l="1"/>
  <c r="K35" i="82" l="1"/>
  <c r="L35" i="8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<sst xmlns="http://schemas.openxmlformats.org/spreadsheetml/2006/main" count="876" uniqueCount="115">
  <si>
    <t>Total</t>
  </si>
  <si>
    <t>Powercor</t>
  </si>
  <si>
    <t>Preferred option:</t>
  </si>
  <si>
    <t>Option 2</t>
  </si>
  <si>
    <t>Option 1</t>
  </si>
  <si>
    <t>Type</t>
  </si>
  <si>
    <t>2026/27</t>
  </si>
  <si>
    <t>2027/28</t>
  </si>
  <si>
    <t>2028/29</t>
  </si>
  <si>
    <t>2029/30</t>
  </si>
  <si>
    <t>2030/31</t>
  </si>
  <si>
    <t>Labour</t>
  </si>
  <si>
    <t>capex</t>
  </si>
  <si>
    <t>Materials</t>
  </si>
  <si>
    <t>Contracts</t>
  </si>
  <si>
    <t>Total capex</t>
  </si>
  <si>
    <t>opex</t>
  </si>
  <si>
    <t>Total opex</t>
  </si>
  <si>
    <t>NPV</t>
  </si>
  <si>
    <t>Option 3</t>
  </si>
  <si>
    <t>Assumption Types</t>
  </si>
  <si>
    <t>Assumptions</t>
  </si>
  <si>
    <t>Parameters</t>
  </si>
  <si>
    <t>Area Applied</t>
  </si>
  <si>
    <t>Business case:</t>
  </si>
  <si>
    <t>Business:</t>
  </si>
  <si>
    <t>Real Discount rate:</t>
  </si>
  <si>
    <t>Cost inputs from SME:</t>
  </si>
  <si>
    <t>dollars</t>
  </si>
  <si>
    <t>Labour unit rate:</t>
  </si>
  <si>
    <t>Allocations (%) where applicable</t>
  </si>
  <si>
    <t>CitiPower</t>
  </si>
  <si>
    <t>Options</t>
  </si>
  <si>
    <t>Costs for business case</t>
  </si>
  <si>
    <t>To convert from SME input:</t>
  </si>
  <si>
    <t>Multiply by:</t>
  </si>
  <si>
    <t>Labour rate ($/hr)</t>
  </si>
  <si>
    <t>$122.20</t>
  </si>
  <si>
    <t>Description</t>
  </si>
  <si>
    <t>Capex /</t>
  </si>
  <si>
    <t>L / M / C</t>
  </si>
  <si>
    <t xml:space="preserve">Recurrent / </t>
  </si>
  <si>
    <t>Units</t>
  </si>
  <si>
    <t>Quantity of units</t>
  </si>
  <si>
    <t>Cost ($)</t>
  </si>
  <si>
    <t>Opex</t>
  </si>
  <si>
    <t>Non recurrent</t>
  </si>
  <si>
    <t>unit rate</t>
  </si>
  <si>
    <t>eConnect - project management</t>
  </si>
  <si>
    <t>Capex</t>
  </si>
  <si>
    <t>Recurrent</t>
  </si>
  <si>
    <t>eConnect - analysis and architecture</t>
  </si>
  <si>
    <t>eConnect - development</t>
  </si>
  <si>
    <t xml:space="preserve">eConnect - testing </t>
  </si>
  <si>
    <t>eConnect - deployment</t>
  </si>
  <si>
    <t>eConnect - release and environment management</t>
  </si>
  <si>
    <t>mySupply - project management</t>
  </si>
  <si>
    <t>mySupply - analysis and architecture</t>
  </si>
  <si>
    <t>mySupply - development</t>
  </si>
  <si>
    <t xml:space="preserve">mySupply - testing </t>
  </si>
  <si>
    <t>mySupply - deployment</t>
  </si>
  <si>
    <t>mySupply - release and environment management</t>
  </si>
  <si>
    <t>myEnergy - project management</t>
  </si>
  <si>
    <t>myEnergy - analysis and architecture</t>
  </si>
  <si>
    <t>myEnergy - development</t>
  </si>
  <si>
    <t xml:space="preserve">myEnergy - testing </t>
  </si>
  <si>
    <t>myEnergy - deployment</t>
  </si>
  <si>
    <t>myEnergy - release and environment management</t>
  </si>
  <si>
    <t>Summary</t>
  </si>
  <si>
    <t>Check</t>
  </si>
  <si>
    <t>Total Recurrent</t>
  </si>
  <si>
    <t>Total Non Recurrent</t>
  </si>
  <si>
    <t>Summary for Regulation - for Business Case</t>
  </si>
  <si>
    <t>Capex &amp; Opex</t>
  </si>
  <si>
    <t>FAQ - project management</t>
  </si>
  <si>
    <t>FAQ - analysis and architecture</t>
  </si>
  <si>
    <t>FAQ - development</t>
  </si>
  <si>
    <t xml:space="preserve">FAQ - testing </t>
  </si>
  <si>
    <t>FAQ - deployment</t>
  </si>
  <si>
    <t>FAQ - release and environment management</t>
  </si>
  <si>
    <t>Customer notifications portal - project management</t>
  </si>
  <si>
    <t>Customer notifications portal - analysis and architecture</t>
  </si>
  <si>
    <t>Customer notifications portal - development</t>
  </si>
  <si>
    <t xml:space="preserve">Customer notifications portal - testing </t>
  </si>
  <si>
    <t>Customer notifications portal - deployment</t>
  </si>
  <si>
    <t>Customer notifications portal - release and environment management</t>
  </si>
  <si>
    <t>Lagged conversion to Jun 26</t>
  </si>
  <si>
    <t>Regulatory proposal 2026-31</t>
  </si>
  <si>
    <t>Model number:</t>
  </si>
  <si>
    <t>Customer enablement</t>
  </si>
  <si>
    <t>June 2023</t>
  </si>
  <si>
    <t>June 2024</t>
  </si>
  <si>
    <t>June 2025</t>
  </si>
  <si>
    <t>June 2026</t>
  </si>
  <si>
    <t>$ June 2018 (2021-26 reset)</t>
  </si>
  <si>
    <t>$ June 2023</t>
  </si>
  <si>
    <t>$ June 2024</t>
  </si>
  <si>
    <t>Totex</t>
  </si>
  <si>
    <t>CRM data analytics for CDM/myEnergy - project management</t>
  </si>
  <si>
    <t>CRM data analytics for CDM/myEnergy - analysis and architecture</t>
  </si>
  <si>
    <t>CRM data analytics for CDM/myEnergy - development</t>
  </si>
  <si>
    <t xml:space="preserve">CRM data analytics for CDM/myEnergy - testing </t>
  </si>
  <si>
    <t>CRM data analytics for CDM/myEnergy - deployment</t>
  </si>
  <si>
    <t>CRM data analytics for CDM/myEnergy - release and environment management</t>
  </si>
  <si>
    <t>CP &amp; PAL</t>
  </si>
  <si>
    <t>Do not maintain currency</t>
  </si>
  <si>
    <t>Maintain currency</t>
  </si>
  <si>
    <t>Enhance currency</t>
  </si>
  <si>
    <t>Opex (excl real price escalation)</t>
  </si>
  <si>
    <t xml:space="preserve">Opex (incl real price escalation) * </t>
  </si>
  <si>
    <t>($ June 2026)</t>
  </si>
  <si>
    <t>* refer to CP MOD 8.03 - Opex step changes - Jan 2025 - Public for the Real price escalation</t>
  </si>
  <si>
    <t>Opex (incl real price escalation) **</t>
  </si>
  <si>
    <t>** refer to CP MOD 8.03 - Opex step changes - Jan 2025</t>
  </si>
  <si>
    <t xml:space="preserve">Escalation: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</si>
</sst>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69" formatCode="&quot;Convert to December&quot;\ ####"/>
    <numFmt numFmtId="170" formatCode="0.000000"/>
    <numFmt numFmtId="171" formatCode="_-* #,##0_-;\-* #,##0_-;_-* &quot;-&quot;??_-;_-@_-"/>
    <numFmt numFmtId="172" formatCode="&quot;$&quot;#,##0.00;[Red]\-&quot;$&quot;#,##0.00;\ "/>
    <numFmt numFmtId="173" formatCode="[Red]\●;[Red]\●;[Color10]\●"/>
    <numFmt numFmtId="174" formatCode="dd\ mmmm\ yyyy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sz val="10"/>
      <color theme="1" tint="0.499984740745262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2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15B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5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173" fontId="40" fillId="0" borderId="0">
      <alignment horizontal="center" vertical="center"/>
    </xf>
    <xf numFmtId="9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44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18" fillId="0" borderId="0" xfId="0" applyFont="1"/>
    <xf numFmtId="0" fontId="2" fillId="0" borderId="0" xfId="13" applyFont="1" applyAlignment="1">
      <alignment horizontal="left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169" fontId="24" fillId="0" borderId="0" xfId="0" applyNumberFormat="1" applyFont="1"/>
    <xf numFmtId="0" fontId="25" fillId="0" borderId="0" xfId="13" applyFont="1" applyAlignment="1">
      <alignment horizontal="left" vertical="center"/>
    </xf>
    <xf numFmtId="1" fontId="26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7" fillId="6" borderId="0" xfId="0" applyFont="1" applyFill="1"/>
    <xf numFmtId="167" fontId="28" fillId="6" borderId="0" xfId="0" applyNumberFormat="1" applyFont="1" applyFill="1"/>
    <xf numFmtId="0" fontId="32" fillId="5" borderId="0" xfId="14" applyFont="1" applyFill="1"/>
    <xf numFmtId="0" fontId="33" fillId="0" borderId="0" xfId="0" applyFont="1"/>
    <xf numFmtId="0" fontId="34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1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0" fontId="30" fillId="0" borderId="0" xfId="0" applyFont="1" applyAlignment="1">
      <alignment horizontal="right"/>
    </xf>
    <xf numFmtId="166" fontId="12" fillId="6" borderId="0" xfId="0" applyNumberFormat="1" applyFont="1" applyFill="1"/>
    <xf numFmtId="10" fontId="15" fillId="3" borderId="0" xfId="0" applyNumberFormat="1" applyFont="1" applyFill="1"/>
    <xf numFmtId="0" fontId="25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0" fontId="24" fillId="0" borderId="0" xfId="0" applyFont="1" applyAlignment="1">
      <alignment horizontal="right"/>
    </xf>
    <xf numFmtId="172" fontId="31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5" fillId="0" borderId="2" xfId="0" applyFont="1" applyBorder="1"/>
    <xf numFmtId="0" fontId="12" fillId="0" borderId="2" xfId="0" applyFont="1" applyBorder="1" applyAlignment="1">
      <alignment horizontal="center"/>
    </xf>
    <xf numFmtId="0" fontId="35" fillId="0" borderId="0" xfId="0" applyFont="1"/>
    <xf numFmtId="0" fontId="13" fillId="0" borderId="0" xfId="0" applyFont="1" applyAlignment="1">
      <alignment horizontal="center"/>
    </xf>
    <xf numFmtId="10" fontId="29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6" fillId="0" borderId="3" xfId="0" applyFont="1" applyBorder="1"/>
    <xf numFmtId="10" fontId="29" fillId="2" borderId="1" xfId="26" applyNumberFormat="1" applyFont="1" applyFill="1" applyBorder="1" applyProtection="1">
      <protection locked="0"/>
    </xf>
    <xf numFmtId="10" fontId="29" fillId="2" borderId="1" xfId="26" applyNumberFormat="1" applyFont="1" applyFill="1" applyBorder="1" applyAlignment="1" applyProtection="1">
      <alignment horizontal="right"/>
      <protection locked="0"/>
    </xf>
    <xf numFmtId="1" fontId="29" fillId="2" borderId="1" xfId="26" applyNumberFormat="1" applyFont="1" applyFill="1" applyBorder="1" applyAlignment="1" applyProtection="1">
      <alignment horizontal="right"/>
      <protection locked="0"/>
    </xf>
    <xf numFmtId="0" fontId="31" fillId="2" borderId="7" xfId="0" applyFont="1" applyFill="1" applyBorder="1" applyAlignment="1" applyProtection="1">
      <alignment vertical="center"/>
      <protection locked="0"/>
    </xf>
    <xf numFmtId="0" fontId="31" fillId="2" borderId="6" xfId="0" applyFont="1" applyFill="1" applyBorder="1" applyAlignment="1" applyProtection="1">
      <alignment vertical="center"/>
      <protection locked="0"/>
    </xf>
    <xf numFmtId="0" fontId="31" fillId="2" borderId="5" xfId="0" applyFont="1" applyFill="1" applyBorder="1" applyAlignment="1" applyProtection="1">
      <alignment vertical="center"/>
      <protection locked="0"/>
    </xf>
    <xf numFmtId="168" fontId="31" fillId="2" borderId="1" xfId="0" applyNumberFormat="1" applyFont="1" applyFill="1" applyBorder="1" applyAlignment="1" applyProtection="1">
      <alignment horizontal="right" vertical="top"/>
      <protection locked="0"/>
    </xf>
    <xf numFmtId="0" fontId="13" fillId="2" borderId="1" xfId="0" applyFont="1" applyFill="1" applyBorder="1" applyProtection="1">
      <protection locked="0"/>
    </xf>
    <xf numFmtId="0" fontId="38" fillId="0" borderId="0" xfId="0" applyFont="1" applyAlignment="1">
      <alignment horizontal="left"/>
    </xf>
    <xf numFmtId="10" fontId="29" fillId="2" borderId="13" xfId="26" applyNumberFormat="1" applyFont="1" applyFill="1" applyBorder="1" applyProtection="1">
      <protection locked="0"/>
    </xf>
    <xf numFmtId="10" fontId="29" fillId="2" borderId="2" xfId="26" applyNumberFormat="1" applyFont="1" applyFill="1" applyBorder="1" applyProtection="1">
      <protection locked="0"/>
    </xf>
    <xf numFmtId="10" fontId="29" fillId="2" borderId="12" xfId="26" applyNumberFormat="1" applyFont="1" applyFill="1" applyBorder="1" applyProtection="1">
      <protection locked="0"/>
    </xf>
    <xf numFmtId="10" fontId="29" fillId="2" borderId="6" xfId="26" applyNumberFormat="1" applyFont="1" applyFill="1" applyBorder="1" applyProtection="1">
      <protection locked="0"/>
    </xf>
    <xf numFmtId="10" fontId="29" fillId="2" borderId="5" xfId="26" applyNumberFormat="1" applyFont="1" applyFill="1" applyBorder="1" applyProtection="1">
      <protection locked="0"/>
    </xf>
    <xf numFmtId="10" fontId="29" fillId="2" borderId="7" xfId="26" applyNumberFormat="1" applyFont="1" applyFill="1" applyBorder="1" applyProtection="1">
      <protection locked="0"/>
    </xf>
    <xf numFmtId="10" fontId="29" fillId="0" borderId="0" xfId="26" applyNumberFormat="1" applyFont="1" applyFill="1" applyBorder="1" applyProtection="1">
      <protection locked="0"/>
    </xf>
    <xf numFmtId="9" fontId="29" fillId="2" borderId="1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70" fontId="12" fillId="0" borderId="1" xfId="0" applyNumberFormat="1" applyFont="1" applyBorder="1"/>
    <xf numFmtId="0" fontId="13" fillId="0" borderId="1" xfId="0" applyFont="1" applyBorder="1"/>
    <xf numFmtId="7" fontId="26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3" fillId="0" borderId="3" xfId="0" applyFont="1" applyBorder="1" applyAlignment="1">
      <alignment horizontal="right"/>
    </xf>
    <xf numFmtId="0" fontId="12" fillId="0" borderId="5" xfId="0" applyFont="1" applyBorder="1"/>
    <xf numFmtId="0" fontId="35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6" fontId="12" fillId="0" borderId="0" xfId="0" applyNumberFormat="1" applyFont="1"/>
    <xf numFmtId="0" fontId="41" fillId="0" borderId="0" xfId="0" applyFont="1"/>
    <xf numFmtId="0" fontId="34" fillId="0" borderId="5" xfId="0" applyFont="1" applyBorder="1"/>
    <xf numFmtId="0" fontId="13" fillId="4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166" fontId="12" fillId="0" borderId="14" xfId="0" applyNumberFormat="1" applyFont="1" applyBorder="1" applyAlignment="1">
      <alignment horizontal="right" vertical="top"/>
    </xf>
    <xf numFmtId="0" fontId="13" fillId="0" borderId="3" xfId="0" applyFont="1" applyBorder="1" applyAlignment="1">
      <alignment horizontal="center"/>
    </xf>
    <xf numFmtId="0" fontId="42" fillId="0" borderId="5" xfId="0" applyFont="1" applyBorder="1"/>
    <xf numFmtId="0" fontId="27" fillId="0" borderId="0" xfId="0" applyFont="1"/>
    <xf numFmtId="167" fontId="28" fillId="0" borderId="0" xfId="0" applyNumberFormat="1" applyFont="1"/>
    <xf numFmtId="6" fontId="12" fillId="0" borderId="0" xfId="0" applyNumberFormat="1" applyFont="1" applyAlignment="1">
      <alignment horizontal="right" vertical="top"/>
    </xf>
    <xf numFmtId="8" fontId="31" fillId="2" borderId="1" xfId="0" applyNumberFormat="1" applyFont="1" applyFill="1" applyBorder="1" applyAlignment="1" applyProtection="1">
      <alignment horizontal="right" vertical="top"/>
      <protection locked="0"/>
    </xf>
    <xf numFmtId="0" fontId="26" fillId="0" borderId="2" xfId="0" applyFont="1" applyBorder="1" applyAlignment="1">
      <alignment horizontal="left"/>
    </xf>
    <xf numFmtId="0" fontId="37" fillId="0" borderId="2" xfId="0" applyFont="1" applyBorder="1"/>
    <xf numFmtId="0" fontId="43" fillId="0" borderId="2" xfId="0" applyFont="1" applyBorder="1"/>
    <xf numFmtId="0" fontId="26" fillId="0" borderId="2" xfId="0" applyFont="1" applyBorder="1" applyAlignment="1">
      <alignment horizontal="right"/>
    </xf>
    <xf numFmtId="170" fontId="26" fillId="0" borderId="2" xfId="0" applyNumberFormat="1" applyFont="1" applyBorder="1" applyAlignment="1">
      <alignment horizontal="right"/>
    </xf>
    <xf numFmtId="10" fontId="26" fillId="0" borderId="0" xfId="26" applyNumberFormat="1" applyFont="1" applyFill="1"/>
    <xf numFmtId="0" fontId="1" fillId="9" borderId="0" xfId="33" applyFill="1"/>
    <xf numFmtId="0" fontId="1" fillId="0" borderId="0" xfId="33"/>
    <xf numFmtId="0" fontId="11" fillId="0" borderId="0" xfId="34"/>
    <xf numFmtId="0" fontId="44" fillId="0" borderId="0" xfId="33" applyFont="1"/>
    <xf numFmtId="0" fontId="45" fillId="0" borderId="0" xfId="33" applyFont="1"/>
    <xf numFmtId="0" fontId="46" fillId="0" borderId="0" xfId="33" applyFont="1"/>
    <xf numFmtId="0" fontId="47" fillId="0" borderId="0" xfId="33" applyFont="1"/>
    <xf numFmtId="0" fontId="48" fillId="0" borderId="0" xfId="33" applyFont="1"/>
    <xf numFmtId="2" fontId="48" fillId="0" borderId="0" xfId="33" applyNumberFormat="1" applyFont="1" applyAlignment="1">
      <alignment horizontal="left"/>
    </xf>
    <xf numFmtId="0" fontId="49" fillId="0" borderId="0" xfId="33" applyFont="1"/>
    <xf numFmtId="174" fontId="50" fillId="0" borderId="0" xfId="33" applyNumberFormat="1" applyFont="1" applyAlignment="1">
      <alignment horizontal="left"/>
    </xf>
    <xf numFmtId="0" fontId="51" fillId="0" borderId="0" xfId="33" applyFont="1"/>
    <xf numFmtId="49" fontId="23" fillId="0" borderId="0" xfId="0" applyNumberFormat="1" applyFont="1" applyAlignment="1">
      <alignment horizontal="right"/>
    </xf>
    <xf numFmtId="0" fontId="52" fillId="0" borderId="5" xfId="0" applyFont="1" applyBorder="1"/>
    <xf numFmtId="10" fontId="29" fillId="2" borderId="1" xfId="26" applyNumberFormat="1" applyFont="1" applyFill="1" applyBorder="1" applyAlignment="1">
      <alignment horizontal="right"/>
    </xf>
    <xf numFmtId="8" fontId="31" fillId="2" borderId="1" xfId="0" applyNumberFormat="1" applyFont="1" applyFill="1" applyBorder="1" applyAlignment="1">
      <alignment horizontal="right"/>
    </xf>
    <xf numFmtId="49" fontId="29" fillId="2" borderId="1" xfId="26" applyNumberFormat="1" applyFont="1" applyFill="1" applyBorder="1" applyAlignment="1">
      <alignment horizontal="right"/>
    </xf>
    <xf numFmtId="7" fontId="29" fillId="2" borderId="1" xfId="26" applyNumberFormat="1" applyFont="1" applyFill="1" applyBorder="1" applyAlignment="1">
      <alignment horizontal="right"/>
    </xf>
    <xf numFmtId="6" fontId="52" fillId="0" borderId="5" xfId="0" applyNumberFormat="1" applyFont="1" applyBorder="1"/>
  </cellXfs>
  <cellStyles count="35">
    <cellStyle name="Check RedRedGreen" xfId="29" xr:uid="{81F56CD6-3B68-4074-B257-FFF69A21ECCD}"/>
    <cellStyle name="Comma" xfId="27" builtinId="3"/>
    <cellStyle name="Comma 2" xfId="11" xr:uid="{00000000-0005-0000-0000-000001000000}"/>
    <cellStyle name="Comma 3" xfId="24" xr:uid="{00000000-0005-0000-0000-000002000000}"/>
    <cellStyle name="Comma 4" xfId="31" xr:uid="{6D11CEBA-4733-4C43-948A-484B1D4FEF60}"/>
    <cellStyle name="Currency" xfId="32" builtinId="4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4" xr:uid="{1D6DCFC4-C088-4416-AA58-E53B16F05DB1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3" xr:uid="{3DD6975F-78B5-498B-A1FC-ECD501B7C984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35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0000FF"/>
      <color rgb="FF487B79"/>
      <color rgb="FFFFFFCC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671421</xdr:colOff>
      <xdr:row>0</xdr:row>
      <xdr:rowOff>180975</xdr:rowOff>
    </xdr:from>
    <xdr:ext cx="1044200" cy="433386"/>
    <xdr:pic>
      <xdr:nvPicPr>
        <xdr:cNvPr id="2" name="Picture 1">
          <a:extLst>
            <a:ext uri="{FF2B5EF4-FFF2-40B4-BE49-F238E27FC236}">
              <a16:creationId xmlns:a16="http://schemas.microsoft.com/office/drawing/2014/main" id="{765AC1C9-AB71-4988-BDE2-165DB0E53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246" y="177800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531DF-BB0A-417F-BCCF-CF1B9FD8B339}">
  <dimension ref="A1:K43"/>
  <sheetViews>
    <sheetView showGridLines="0" workbookViewId="0">
      <selection activeCell="C14" sqref="C14"/>
    </sheetView>
  </sheetViews>
  <sheetFormatPr defaultColWidth="0" defaultRowHeight="12.95" customHeight="1" zeroHeight="1" x14ac:dyDescent="0.2"/>
  <cols>
    <col min="1" max="1" width="12.85546875" style="127" customWidth="1"/>
    <col min="2" max="2" width="2.5703125" style="127" customWidth="1"/>
    <col min="3" max="3" width="16.85546875" style="127" customWidth="1"/>
    <col min="4" max="11" width="10.5703125" style="127" customWidth="1"/>
    <col min="12" max="16384" width="10.5703125" style="127" hidden="1"/>
  </cols>
  <sheetData>
    <row r="1" spans="1:11" ht="15" x14ac:dyDescent="0.25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23.25" x14ac:dyDescent="0.35">
      <c r="A2" s="125"/>
      <c r="B2" s="126"/>
      <c r="C2" s="128" t="s">
        <v>31</v>
      </c>
      <c r="D2" s="129"/>
      <c r="E2" s="129"/>
      <c r="F2" s="126"/>
      <c r="G2" s="126"/>
      <c r="H2" s="126"/>
      <c r="I2" s="126"/>
      <c r="J2" s="126"/>
      <c r="K2" s="126"/>
    </row>
    <row r="3" spans="1:11" ht="15.75" x14ac:dyDescent="0.25">
      <c r="A3" s="125"/>
      <c r="B3" s="126"/>
      <c r="C3" s="130" t="s">
        <v>87</v>
      </c>
      <c r="D3" s="129"/>
      <c r="E3" s="129"/>
      <c r="F3" s="126"/>
      <c r="G3" s="126"/>
      <c r="H3" s="126"/>
      <c r="I3" s="126"/>
      <c r="J3" s="126"/>
      <c r="K3" s="126"/>
    </row>
    <row r="4" spans="1:11" ht="15" x14ac:dyDescent="0.25">
      <c r="A4" s="125"/>
      <c r="B4" s="126"/>
      <c r="C4" s="126"/>
      <c r="D4" s="129"/>
      <c r="E4" s="129"/>
      <c r="F4" s="126"/>
      <c r="G4" s="126"/>
      <c r="H4" s="126"/>
      <c r="I4" s="126"/>
      <c r="J4" s="126"/>
      <c r="K4" s="126"/>
    </row>
    <row r="5" spans="1:11" ht="15" x14ac:dyDescent="0.25">
      <c r="A5" s="125"/>
      <c r="B5" s="126"/>
      <c r="C5" s="131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Customer enablement cost</v>
      </c>
      <c r="D5" s="126"/>
      <c r="E5" s="126"/>
      <c r="F5" s="126"/>
      <c r="G5" s="126"/>
      <c r="H5" s="126"/>
      <c r="I5" s="126"/>
      <c r="J5" s="126"/>
      <c r="K5" s="126"/>
    </row>
    <row r="6" spans="1:11" ht="15" x14ac:dyDescent="0.25">
      <c r="A6" s="125"/>
      <c r="B6" s="126"/>
      <c r="C6" s="132" t="s">
        <v>88</v>
      </c>
      <c r="D6" s="133" t="str" cm="1">
        <f t="array" aca="1" ref="D6" ca="1">LEFT(_xlfn.TEXTAFTER(CELL("filename")," MOD "),FIND(" - ",_xlfn.TEXTAFTER(CELL("filename")," MOD "),1)-1)</f>
        <v>6.17</v>
      </c>
      <c r="E6" s="132"/>
      <c r="F6" s="126"/>
      <c r="G6" s="126"/>
      <c r="H6" s="126"/>
      <c r="I6" s="126"/>
      <c r="J6" s="126"/>
      <c r="K6" s="126"/>
    </row>
    <row r="7" spans="1:11" ht="15" x14ac:dyDescent="0.25">
      <c r="A7" s="125"/>
      <c r="B7" s="126"/>
      <c r="C7" s="126"/>
      <c r="D7" s="126"/>
      <c r="E7" s="126"/>
      <c r="F7" s="134"/>
      <c r="G7" s="134"/>
      <c r="H7" s="134"/>
      <c r="I7" s="126"/>
      <c r="J7" s="134"/>
      <c r="K7" s="134"/>
    </row>
    <row r="8" spans="1:11" ht="15" x14ac:dyDescent="0.25">
      <c r="A8" s="125"/>
      <c r="B8" s="126"/>
      <c r="C8" s="135">
        <v>45688</v>
      </c>
      <c r="D8" s="126"/>
      <c r="E8" s="126"/>
      <c r="F8" s="134"/>
      <c r="G8" s="134"/>
      <c r="H8" s="134"/>
      <c r="I8" s="126"/>
      <c r="J8" s="134"/>
      <c r="K8" s="134"/>
    </row>
    <row r="9" spans="1:11" ht="15" x14ac:dyDescent="0.25">
      <c r="A9" s="125"/>
      <c r="B9" s="126"/>
      <c r="C9" s="136"/>
      <c r="D9" s="136"/>
      <c r="E9" s="126"/>
      <c r="F9" s="134"/>
      <c r="G9" s="134"/>
      <c r="H9" s="134"/>
      <c r="I9" s="134"/>
      <c r="J9" s="134"/>
      <c r="K9" s="134"/>
    </row>
    <row r="10" spans="1:11" ht="15" x14ac:dyDescent="0.25">
      <c r="A10" s="125"/>
      <c r="B10" s="126"/>
      <c r="C10" s="136"/>
      <c r="D10" s="136"/>
      <c r="E10" s="126"/>
      <c r="F10" s="134"/>
      <c r="G10" s="134"/>
      <c r="H10" s="134"/>
      <c r="I10" s="134"/>
      <c r="J10" s="134"/>
      <c r="K10" s="134"/>
    </row>
    <row r="11" spans="1:11" ht="15" x14ac:dyDescent="0.25">
      <c r="A11" s="125"/>
      <c r="B11" s="126"/>
      <c r="C11" s="136"/>
      <c r="D11" s="136"/>
      <c r="E11" s="126"/>
      <c r="F11" s="134"/>
      <c r="G11" s="134"/>
      <c r="H11" s="134"/>
      <c r="I11" s="134"/>
      <c r="J11" s="134"/>
      <c r="K11" s="134"/>
    </row>
    <row r="12" spans="1:11" ht="15" x14ac:dyDescent="0.25">
      <c r="A12" s="125"/>
      <c r="B12" s="126"/>
      <c r="C12" s="136"/>
      <c r="D12" s="136"/>
      <c r="E12" s="126"/>
      <c r="F12" s="134"/>
      <c r="G12" s="134"/>
      <c r="H12" s="134"/>
      <c r="I12" s="134"/>
      <c r="J12" s="134"/>
      <c r="K12" s="134"/>
    </row>
    <row r="13" spans="1:11" ht="15" x14ac:dyDescent="0.25">
      <c r="A13" s="125"/>
      <c r="B13" s="126"/>
      <c r="C13" s="136"/>
      <c r="D13" s="136"/>
      <c r="E13" s="126"/>
      <c r="F13" s="134"/>
      <c r="G13" s="134"/>
      <c r="H13" s="134"/>
      <c r="I13" s="134"/>
      <c r="J13" s="134"/>
      <c r="K13" s="134"/>
    </row>
    <row r="14" spans="1:11" ht="15" x14ac:dyDescent="0.25">
      <c r="A14" s="125"/>
      <c r="B14" s="126"/>
      <c r="C14" s="134"/>
      <c r="D14" s="134"/>
      <c r="E14" s="134"/>
      <c r="F14" s="134"/>
      <c r="G14" s="134"/>
      <c r="H14" s="134"/>
      <c r="I14" s="134"/>
      <c r="J14" s="134"/>
      <c r="K14" s="134"/>
    </row>
    <row r="15" spans="1:11" ht="15" x14ac:dyDescent="0.25">
      <c r="A15" s="125"/>
      <c r="B15" s="126"/>
      <c r="C15" s="131"/>
      <c r="D15" s="134"/>
      <c r="E15" s="134"/>
      <c r="F15" s="134"/>
      <c r="G15" s="134"/>
      <c r="H15" s="134"/>
      <c r="I15" s="134"/>
      <c r="J15" s="134"/>
      <c r="K15" s="134"/>
    </row>
    <row r="16" spans="1:11" ht="15" x14ac:dyDescent="0.25">
      <c r="A16" s="125"/>
      <c r="B16" s="126"/>
      <c r="C16" s="131"/>
      <c r="D16" s="134"/>
      <c r="E16" s="134"/>
      <c r="F16" s="134"/>
      <c r="G16" s="134"/>
      <c r="H16" s="134"/>
      <c r="I16" s="134"/>
      <c r="J16" s="134"/>
      <c r="K16" s="134"/>
    </row>
    <row r="17" spans="1:11" ht="15" x14ac:dyDescent="0.25">
      <c r="A17" s="125"/>
      <c r="B17" s="126"/>
      <c r="C17" s="134"/>
      <c r="D17" s="134"/>
      <c r="E17" s="134"/>
      <c r="F17" s="134"/>
      <c r="G17" s="134"/>
      <c r="H17" s="134"/>
      <c r="I17" s="134"/>
      <c r="J17" s="134"/>
      <c r="K17" s="134"/>
    </row>
    <row r="18" spans="1:11" ht="15" x14ac:dyDescent="0.25">
      <c r="A18" s="125"/>
      <c r="B18" s="126"/>
      <c r="C18" s="134"/>
      <c r="D18" s="134"/>
      <c r="E18" s="134"/>
      <c r="F18" s="134"/>
      <c r="G18" s="134"/>
      <c r="H18" s="134"/>
      <c r="I18" s="134"/>
      <c r="J18" s="134"/>
      <c r="K18" s="134"/>
    </row>
    <row r="19" spans="1:11" ht="15" x14ac:dyDescent="0.25">
      <c r="A19" s="125"/>
      <c r="B19" s="126"/>
      <c r="C19" s="134"/>
      <c r="D19" s="134"/>
      <c r="E19" s="134"/>
      <c r="F19" s="134"/>
      <c r="H19" s="134"/>
      <c r="I19" s="134"/>
      <c r="J19" s="134"/>
      <c r="K19" s="134"/>
    </row>
    <row r="20" spans="1:11" ht="15" x14ac:dyDescent="0.25">
      <c r="A20" s="125"/>
      <c r="B20" s="126"/>
      <c r="C20" s="134"/>
      <c r="D20" s="134"/>
      <c r="E20" s="134"/>
      <c r="F20" s="134"/>
      <c r="G20" s="134"/>
      <c r="H20" s="134"/>
      <c r="I20" s="134"/>
      <c r="J20" s="134"/>
      <c r="K20" s="134"/>
    </row>
    <row r="21" spans="1:11" ht="15" x14ac:dyDescent="0.25">
      <c r="A21" s="125"/>
      <c r="B21" s="126"/>
      <c r="C21" s="134"/>
      <c r="D21" s="134"/>
      <c r="E21" s="134"/>
      <c r="F21" s="134"/>
      <c r="G21" s="134"/>
      <c r="H21" s="134"/>
      <c r="I21" s="134"/>
      <c r="J21" s="134"/>
      <c r="K21" s="134"/>
    </row>
    <row r="22" spans="1:11" ht="15" x14ac:dyDescent="0.25">
      <c r="A22" s="125"/>
      <c r="B22" s="126"/>
      <c r="C22" s="134"/>
      <c r="D22" s="134"/>
      <c r="E22" s="134"/>
      <c r="F22" s="134"/>
      <c r="G22" s="134"/>
      <c r="H22" s="134"/>
      <c r="I22" s="134"/>
      <c r="J22" s="134"/>
      <c r="K22" s="134"/>
    </row>
    <row r="23" spans="1:11" ht="15" x14ac:dyDescent="0.25">
      <c r="A23" s="125"/>
      <c r="B23" s="126"/>
      <c r="C23" s="134"/>
      <c r="D23" s="134"/>
      <c r="E23" s="134"/>
      <c r="F23" s="134"/>
      <c r="G23" s="134"/>
      <c r="H23" s="134"/>
      <c r="I23" s="134"/>
      <c r="J23" s="134"/>
      <c r="K23" s="134"/>
    </row>
    <row r="24" spans="1:11" ht="15" x14ac:dyDescent="0.25">
      <c r="A24" s="125"/>
      <c r="B24" s="126"/>
      <c r="C24" s="134"/>
      <c r="D24" s="134"/>
      <c r="E24" s="134"/>
      <c r="F24" s="134"/>
      <c r="G24" s="134"/>
      <c r="H24" s="134"/>
      <c r="I24" s="134"/>
      <c r="J24" s="134"/>
      <c r="K24" s="134"/>
    </row>
    <row r="25" spans="1:11" ht="15" x14ac:dyDescent="0.25">
      <c r="A25" s="125"/>
      <c r="B25" s="126"/>
      <c r="C25" s="134"/>
      <c r="D25" s="134"/>
      <c r="E25" s="134"/>
      <c r="F25" s="134"/>
      <c r="G25" s="134"/>
      <c r="H25" s="134"/>
      <c r="I25" s="134"/>
      <c r="J25" s="134"/>
      <c r="K25" s="134"/>
    </row>
    <row r="26" spans="1:11" ht="15" x14ac:dyDescent="0.25">
      <c r="A26" s="125"/>
      <c r="B26" s="126"/>
      <c r="C26" s="134"/>
      <c r="D26" s="134"/>
      <c r="E26" s="134"/>
      <c r="F26" s="134"/>
      <c r="G26" s="134"/>
      <c r="H26" s="134"/>
      <c r="I26" s="134"/>
      <c r="J26" s="134"/>
      <c r="K26" s="134"/>
    </row>
    <row r="27" spans="1:11" ht="15" x14ac:dyDescent="0.25">
      <c r="A27" s="125"/>
      <c r="B27" s="126"/>
      <c r="C27" s="134"/>
      <c r="D27" s="134"/>
      <c r="E27" s="134"/>
      <c r="F27" s="134"/>
      <c r="G27" s="134"/>
      <c r="H27" s="134"/>
      <c r="I27" s="134"/>
      <c r="J27" s="134"/>
      <c r="K27" s="134"/>
    </row>
    <row r="28" spans="1:11" ht="15" x14ac:dyDescent="0.25">
      <c r="A28" s="125"/>
      <c r="B28" s="126"/>
      <c r="C28" s="134"/>
      <c r="D28" s="134"/>
      <c r="E28" s="134"/>
      <c r="F28" s="134"/>
      <c r="G28" s="134"/>
      <c r="H28" s="134"/>
      <c r="I28" s="134"/>
      <c r="J28" s="134"/>
      <c r="K28" s="134"/>
    </row>
    <row r="29" spans="1:11" ht="15" x14ac:dyDescent="0.25">
      <c r="A29" s="125"/>
      <c r="B29" s="126"/>
      <c r="C29" s="134"/>
      <c r="D29" s="134"/>
      <c r="E29" s="134"/>
      <c r="F29" s="134"/>
      <c r="G29" s="134"/>
      <c r="H29" s="134"/>
      <c r="I29" s="134"/>
      <c r="J29" s="134"/>
      <c r="K29" s="134"/>
    </row>
    <row r="30" spans="1:11" ht="15" x14ac:dyDescent="0.25">
      <c r="A30" s="125"/>
      <c r="B30" s="126"/>
      <c r="C30" s="134"/>
      <c r="D30" s="126"/>
      <c r="E30" s="134"/>
      <c r="F30" s="134"/>
      <c r="G30" s="134"/>
      <c r="H30" s="134"/>
      <c r="I30" s="134"/>
      <c r="J30" s="134"/>
      <c r="K30" s="134"/>
    </row>
    <row r="31" spans="1:11" ht="15" x14ac:dyDescent="0.25">
      <c r="A31" s="125"/>
      <c r="B31" s="126"/>
      <c r="C31" s="126"/>
      <c r="D31" s="126"/>
      <c r="E31" s="126"/>
      <c r="F31" s="126"/>
      <c r="G31" s="126"/>
      <c r="H31" s="126"/>
      <c r="I31" s="126"/>
      <c r="J31" s="126"/>
      <c r="K31" s="126"/>
    </row>
    <row r="32" spans="1:11" ht="15" x14ac:dyDescent="0.25">
      <c r="A32" s="125"/>
      <c r="B32" s="126"/>
      <c r="C32" s="126"/>
      <c r="D32" s="126"/>
      <c r="E32" s="126"/>
      <c r="F32" s="126"/>
      <c r="G32" s="126"/>
      <c r="H32" s="126"/>
      <c r="I32" s="126"/>
      <c r="J32" s="126"/>
      <c r="K32" s="126"/>
    </row>
    <row r="33" spans="1:11" ht="15" x14ac:dyDescent="0.25">
      <c r="A33" s="125"/>
      <c r="B33" s="126"/>
      <c r="C33" s="126"/>
      <c r="D33" s="126"/>
      <c r="E33" s="126"/>
      <c r="F33" s="126"/>
      <c r="G33" s="126"/>
      <c r="H33" s="126"/>
      <c r="I33" s="126"/>
      <c r="J33" s="126"/>
      <c r="K33" s="126"/>
    </row>
    <row r="34" spans="1:11" ht="15" x14ac:dyDescent="0.25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26"/>
    </row>
    <row r="35" spans="1:11" ht="15" x14ac:dyDescent="0.25">
      <c r="A35" s="125"/>
      <c r="B35" s="126"/>
      <c r="C35" s="126"/>
      <c r="D35" s="126"/>
      <c r="E35" s="126"/>
      <c r="F35" s="126"/>
      <c r="G35" s="126"/>
      <c r="H35" s="126"/>
      <c r="I35" s="126"/>
      <c r="J35" s="126"/>
      <c r="K35" s="126"/>
    </row>
    <row r="36" spans="1:11" ht="15" x14ac:dyDescent="0.25">
      <c r="A36" s="125"/>
      <c r="B36" s="126"/>
      <c r="C36" s="126"/>
      <c r="D36" s="126"/>
      <c r="E36" s="126"/>
      <c r="F36" s="126"/>
      <c r="G36" s="126"/>
      <c r="H36" s="126"/>
      <c r="I36" s="126"/>
      <c r="J36" s="126"/>
      <c r="K36" s="126"/>
    </row>
    <row r="37" spans="1:11" ht="15" x14ac:dyDescent="0.25">
      <c r="A37" s="125"/>
      <c r="B37" s="126"/>
      <c r="C37" s="126"/>
      <c r="D37" s="126"/>
      <c r="E37" s="126"/>
      <c r="F37" s="126"/>
      <c r="G37" s="126"/>
      <c r="H37" s="126"/>
      <c r="I37" s="126"/>
      <c r="J37" s="126"/>
      <c r="K37" s="126"/>
    </row>
    <row r="38" spans="1:11" ht="15" x14ac:dyDescent="0.25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</row>
    <row r="39" spans="1:11" ht="15" x14ac:dyDescent="0.25">
      <c r="A39" s="125"/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spans="1:11" ht="15" x14ac:dyDescent="0.25">
      <c r="A40" s="125"/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  <row r="41" spans="1:11" ht="15" x14ac:dyDescent="0.25">
      <c r="A41" s="125"/>
      <c r="B41" s="126"/>
      <c r="C41" s="126"/>
      <c r="D41" s="126"/>
      <c r="E41" s="126"/>
      <c r="F41" s="126"/>
      <c r="G41" s="126"/>
      <c r="H41" s="126"/>
      <c r="I41" s="126"/>
      <c r="J41" s="126"/>
      <c r="K41" s="126"/>
    </row>
    <row r="42" spans="1:11" ht="15" x14ac:dyDescent="0.25">
      <c r="A42" s="125"/>
      <c r="B42" s="126"/>
      <c r="C42" s="126"/>
      <c r="D42" s="126"/>
      <c r="E42" s="126"/>
      <c r="F42" s="126"/>
      <c r="G42" s="126"/>
      <c r="H42" s="126"/>
      <c r="I42" s="126"/>
      <c r="J42" s="126"/>
      <c r="K42" s="126"/>
    </row>
    <row r="43" spans="1:11" ht="15" x14ac:dyDescent="0.25">
      <c r="A43" s="125"/>
      <c r="B43" s="126"/>
      <c r="C43" s="126"/>
      <c r="D43" s="126"/>
      <c r="E43" s="126"/>
      <c r="F43" s="126"/>
      <c r="G43" s="126"/>
      <c r="H43" s="126"/>
      <c r="I43" s="126"/>
      <c r="J43" s="126"/>
      <c r="K43" s="126"/>
    </row>
  </sheetData>
  <conditionalFormatting sqref="C5">
    <cfRule type="expression" dxfId="34" priority="1">
      <formula>LEFT(C5,1)="&lt;"</formula>
    </cfRule>
  </conditionalFormatting>
  <conditionalFormatting sqref="D6">
    <cfRule type="expression" dxfId="33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50090-4B4B-4078-9343-4E077CE224CD}">
  <dimension ref="A1:P40"/>
  <sheetViews>
    <sheetView showGridLines="0" tabSelected="1" workbookViewId="0">
      <selection activeCell="C14" sqref="C14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62" t="str">
        <f>Project_name</f>
        <v>Customer enablement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">
        <v>31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5.75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2</v>
      </c>
      <c r="D6" s="96" t="str">
        <f>'Project summary'!D6</f>
        <v>Option 2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4</v>
      </c>
      <c r="C10" s="36"/>
      <c r="D10" s="36"/>
      <c r="E10" s="37"/>
      <c r="F10" s="38" t="s">
        <v>6</v>
      </c>
      <c r="G10" s="38" t="s">
        <v>7</v>
      </c>
      <c r="H10" s="38" t="s">
        <v>8</v>
      </c>
      <c r="I10" s="38" t="s">
        <v>9</v>
      </c>
      <c r="J10" s="38" t="s">
        <v>10</v>
      </c>
      <c r="K10" s="74" t="s">
        <v>0</v>
      </c>
      <c r="M10" s="6"/>
      <c r="P10"/>
    </row>
    <row r="11" spans="1:16" ht="12.75" customHeight="1" x14ac:dyDescent="0.25">
      <c r="C11" s="1" t="s">
        <v>49</v>
      </c>
      <c r="D11" s="108"/>
      <c r="E11" s="2"/>
      <c r="F11" s="6">
        <f>'Project summary'!F14*Assumptions!$B$19</f>
        <v>0</v>
      </c>
      <c r="G11" s="6">
        <f>'Project summary'!G14*Assumptions!$B$19</f>
        <v>0</v>
      </c>
      <c r="H11" s="6">
        <f>'Project summary'!H14*Assumptions!$B$19</f>
        <v>0</v>
      </c>
      <c r="I11" s="6">
        <f>'Project summary'!I14*Assumptions!$B$19</f>
        <v>0</v>
      </c>
      <c r="J11" s="6">
        <f>'Project summary'!J14*Assumptions!$B$19</f>
        <v>0</v>
      </c>
      <c r="K11" s="6">
        <f>SUM(F11:J11)</f>
        <v>0</v>
      </c>
      <c r="M11" s="99"/>
      <c r="P11"/>
    </row>
    <row r="12" spans="1:16" ht="12.75" customHeight="1" x14ac:dyDescent="0.25">
      <c r="C12" s="1" t="s">
        <v>108</v>
      </c>
      <c r="D12" s="108"/>
      <c r="E12" s="2"/>
      <c r="F12" s="6">
        <f>'Project summary'!F18*Assumptions!$B$19</f>
        <v>0</v>
      </c>
      <c r="G12" s="6">
        <f>'Project summary'!G18*Assumptions!$B$19</f>
        <v>0</v>
      </c>
      <c r="H12" s="6">
        <f>'Project summary'!H18*Assumptions!$B$19</f>
        <v>0</v>
      </c>
      <c r="I12" s="6">
        <f>'Project summary'!I18*Assumptions!$B$19</f>
        <v>0</v>
      </c>
      <c r="J12" s="6">
        <f>'Project summary'!J18*Assumptions!$B$19</f>
        <v>0</v>
      </c>
      <c r="K12" s="6">
        <f>SUM(F12:J12)</f>
        <v>0</v>
      </c>
      <c r="M12" s="99"/>
      <c r="P12"/>
    </row>
    <row r="13" spans="1:16" x14ac:dyDescent="0.2">
      <c r="C13" s="1" t="s">
        <v>109</v>
      </c>
      <c r="D13" s="108"/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f>SUM(F13:J13)</f>
        <v>0</v>
      </c>
      <c r="M13" s="99"/>
    </row>
    <row r="14" spans="1:16" x14ac:dyDescent="0.2">
      <c r="C14" s="102" t="s">
        <v>97</v>
      </c>
      <c r="D14" s="138" t="s">
        <v>110</v>
      </c>
      <c r="E14" s="102"/>
      <c r="F14" s="106">
        <f>F11+F13</f>
        <v>0</v>
      </c>
      <c r="G14" s="106">
        <f t="shared" ref="G14:K14" si="0">G11+G13</f>
        <v>0</v>
      </c>
      <c r="H14" s="106">
        <f t="shared" si="0"/>
        <v>0</v>
      </c>
      <c r="I14" s="106">
        <f t="shared" si="0"/>
        <v>0</v>
      </c>
      <c r="J14" s="106">
        <f t="shared" si="0"/>
        <v>0</v>
      </c>
      <c r="K14" s="106">
        <f t="shared" si="0"/>
        <v>0</v>
      </c>
      <c r="M14" s="99"/>
    </row>
    <row r="15" spans="1:16" x14ac:dyDescent="0.2">
      <c r="D15" s="108"/>
      <c r="F15" s="6"/>
      <c r="G15" s="6"/>
      <c r="H15" s="6"/>
      <c r="I15" s="6"/>
      <c r="J15" s="6"/>
      <c r="K15" s="6"/>
      <c r="M15" s="99"/>
    </row>
    <row r="16" spans="1:16" x14ac:dyDescent="0.2">
      <c r="C16" s="102" t="s">
        <v>18</v>
      </c>
      <c r="D16" s="138"/>
      <c r="E16" s="138"/>
      <c r="F16" s="143">
        <f>NPV(Real_Discount_rate,F14:J14)</f>
        <v>0</v>
      </c>
      <c r="G16" s="6"/>
      <c r="H16" s="6"/>
      <c r="I16" s="6"/>
      <c r="J16" s="6"/>
      <c r="K16" s="6"/>
    </row>
    <row r="17" spans="2:11" x14ac:dyDescent="0.2">
      <c r="D17" s="108"/>
      <c r="F17" s="6"/>
      <c r="G17" s="6"/>
      <c r="H17" s="6"/>
      <c r="I17" s="6"/>
      <c r="J17" s="6"/>
      <c r="K17" s="6"/>
    </row>
    <row r="18" spans="2:11" x14ac:dyDescent="0.2">
      <c r="C18" s="1" t="s">
        <v>111</v>
      </c>
    </row>
    <row r="21" spans="2:11" x14ac:dyDescent="0.2">
      <c r="B21" s="36" t="s">
        <v>3</v>
      </c>
      <c r="C21" s="36"/>
      <c r="D21" s="36"/>
      <c r="E21" s="37"/>
      <c r="F21" s="38" t="s">
        <v>6</v>
      </c>
      <c r="G21" s="38" t="s">
        <v>7</v>
      </c>
      <c r="H21" s="38" t="s">
        <v>8</v>
      </c>
      <c r="I21" s="38" t="s">
        <v>9</v>
      </c>
      <c r="J21" s="38" t="s">
        <v>10</v>
      </c>
      <c r="K21" s="74" t="s">
        <v>0</v>
      </c>
    </row>
    <row r="22" spans="2:11" x14ac:dyDescent="0.2">
      <c r="C22" s="1" t="s">
        <v>49</v>
      </c>
      <c r="D22" s="108"/>
      <c r="E22" s="2"/>
      <c r="F22" s="6">
        <f>'Project summary'!F29*Assumptions!$B$19</f>
        <v>379981.76486601855</v>
      </c>
      <c r="G22" s="6">
        <f>'Project summary'!G29*Assumptions!$B$19</f>
        <v>196851.98889816762</v>
      </c>
      <c r="H22" s="6">
        <f>'Project summary'!H29*Assumptions!$B$19</f>
        <v>3505674.8362122788</v>
      </c>
      <c r="I22" s="6">
        <f>'Project summary'!I29*Assumptions!$B$19</f>
        <v>166936.8969624895</v>
      </c>
      <c r="J22" s="6">
        <f>'Project summary'!J29*Assumptions!$B$19</f>
        <v>0</v>
      </c>
      <c r="K22" s="6">
        <f>SUM(F22:J22)</f>
        <v>4249445.4869389543</v>
      </c>
    </row>
    <row r="23" spans="2:11" x14ac:dyDescent="0.2">
      <c r="C23" s="1" t="s">
        <v>108</v>
      </c>
      <c r="D23" s="108"/>
      <c r="E23" s="2"/>
      <c r="F23" s="6">
        <f>'Project summary'!F33*Assumptions!$B$19</f>
        <v>0</v>
      </c>
      <c r="G23" s="6">
        <f>'Project summary'!G33*Assumptions!$B$19</f>
        <v>0</v>
      </c>
      <c r="H23" s="6">
        <f>'Project summary'!H33*Assumptions!$B$19</f>
        <v>0</v>
      </c>
      <c r="I23" s="6">
        <f>'Project summary'!I33*Assumptions!$B$19</f>
        <v>0</v>
      </c>
      <c r="J23" s="6">
        <f>'Project summary'!J33*Assumptions!$B$19</f>
        <v>0</v>
      </c>
      <c r="K23" s="6">
        <f>SUM(F23:J23)</f>
        <v>0</v>
      </c>
    </row>
    <row r="24" spans="2:11" x14ac:dyDescent="0.2">
      <c r="C24" s="1" t="s">
        <v>112</v>
      </c>
      <c r="D24" s="108"/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f>SUM(F24:J24)</f>
        <v>0</v>
      </c>
    </row>
    <row r="25" spans="2:11" x14ac:dyDescent="0.2">
      <c r="C25" s="102" t="s">
        <v>97</v>
      </c>
      <c r="D25" s="138" t="s">
        <v>110</v>
      </c>
      <c r="E25" s="102"/>
      <c r="F25" s="106">
        <f>F22+F24</f>
        <v>379981.76486601855</v>
      </c>
      <c r="G25" s="106">
        <f t="shared" ref="G25:K25" si="1">G22+G24</f>
        <v>196851.98889816762</v>
      </c>
      <c r="H25" s="106">
        <f t="shared" si="1"/>
        <v>3505674.8362122788</v>
      </c>
      <c r="I25" s="106">
        <f t="shared" si="1"/>
        <v>166936.8969624895</v>
      </c>
      <c r="J25" s="106">
        <f t="shared" si="1"/>
        <v>0</v>
      </c>
      <c r="K25" s="106">
        <f t="shared" si="1"/>
        <v>4249445.4869389543</v>
      </c>
    </row>
    <row r="27" spans="2:11" x14ac:dyDescent="0.2">
      <c r="C27" s="102" t="s">
        <v>18</v>
      </c>
      <c r="D27" s="138"/>
      <c r="E27" s="138"/>
      <c r="F27" s="143">
        <f>NPV(Real_Discount_rate,F25:J25)</f>
        <v>3858289.2863316983</v>
      </c>
    </row>
    <row r="29" spans="2:11" x14ac:dyDescent="0.2">
      <c r="C29" s="1" t="s">
        <v>113</v>
      </c>
    </row>
    <row r="32" spans="2:11" x14ac:dyDescent="0.2">
      <c r="B32" s="36" t="s">
        <v>19</v>
      </c>
      <c r="C32" s="36"/>
      <c r="D32" s="36"/>
      <c r="E32" s="37"/>
      <c r="F32" s="38" t="s">
        <v>6</v>
      </c>
      <c r="G32" s="38" t="s">
        <v>7</v>
      </c>
      <c r="H32" s="38" t="s">
        <v>8</v>
      </c>
      <c r="I32" s="38" t="s">
        <v>9</v>
      </c>
      <c r="J32" s="38" t="s">
        <v>10</v>
      </c>
      <c r="K32" s="74" t="s">
        <v>0</v>
      </c>
    </row>
    <row r="33" spans="3:11" x14ac:dyDescent="0.2">
      <c r="C33" s="1" t="s">
        <v>49</v>
      </c>
      <c r="D33" s="108"/>
      <c r="E33" s="2"/>
      <c r="F33" s="6">
        <f>'Project summary'!F44*Assumptions!$B$19</f>
        <v>513531.28243601014</v>
      </c>
      <c r="G33" s="6">
        <f>'Project summary'!G44*Assumptions!$B$19</f>
        <v>63302.471328176012</v>
      </c>
      <c r="H33" s="6">
        <f>'Project summary'!H44*Assumptions!$B$19</f>
        <v>4507296.2179872161</v>
      </c>
      <c r="I33" s="6">
        <f>'Project summary'!I44*Assumptions!$B$19</f>
        <v>1168558.2787374263</v>
      </c>
      <c r="J33" s="6">
        <f>'Project summary'!J44*Assumptions!$B$19</f>
        <v>379814.82796905603</v>
      </c>
      <c r="K33" s="6">
        <f>SUM(F33:J33)</f>
        <v>6632503.0784578845</v>
      </c>
    </row>
    <row r="34" spans="3:11" x14ac:dyDescent="0.2">
      <c r="C34" s="1" t="s">
        <v>108</v>
      </c>
      <c r="D34" s="108"/>
      <c r="E34" s="2"/>
      <c r="F34" s="6">
        <f>'Project summary'!F48*Assumptions!$B$19</f>
        <v>0</v>
      </c>
      <c r="G34" s="6">
        <f>'Project summary'!G48*Assumptions!$B$19</f>
        <v>0</v>
      </c>
      <c r="H34" s="6">
        <f>'Project summary'!H48*Assumptions!$B$19</f>
        <v>0</v>
      </c>
      <c r="I34" s="6">
        <f>'Project summary'!I48*Assumptions!$B$19</f>
        <v>0</v>
      </c>
      <c r="J34" s="6">
        <f>'Project summary'!J48*Assumptions!$B$19</f>
        <v>0</v>
      </c>
      <c r="K34" s="6">
        <f>SUM(F34:J34)</f>
        <v>0</v>
      </c>
    </row>
    <row r="35" spans="3:11" x14ac:dyDescent="0.2">
      <c r="C35" s="1" t="s">
        <v>109</v>
      </c>
      <c r="D35" s="108"/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f>SUM(F35:J35)</f>
        <v>0</v>
      </c>
    </row>
    <row r="36" spans="3:11" x14ac:dyDescent="0.2">
      <c r="C36" s="102" t="s">
        <v>97</v>
      </c>
      <c r="D36" s="138" t="s">
        <v>110</v>
      </c>
      <c r="E36" s="102"/>
      <c r="F36" s="106">
        <f>F33+F35</f>
        <v>513531.28243601014</v>
      </c>
      <c r="G36" s="106">
        <f t="shared" ref="G36:K36" si="2">G33+G35</f>
        <v>63302.471328176012</v>
      </c>
      <c r="H36" s="106">
        <f t="shared" si="2"/>
        <v>4507296.2179872161</v>
      </c>
      <c r="I36" s="106">
        <f t="shared" si="2"/>
        <v>1168558.2787374263</v>
      </c>
      <c r="J36" s="106">
        <f t="shared" si="2"/>
        <v>379814.82796905603</v>
      </c>
      <c r="K36" s="106">
        <f t="shared" si="2"/>
        <v>6632503.0784578845</v>
      </c>
    </row>
    <row r="38" spans="3:11" x14ac:dyDescent="0.2">
      <c r="C38" s="102" t="s">
        <v>18</v>
      </c>
      <c r="D38" s="138"/>
      <c r="E38" s="138"/>
      <c r="F38" s="143">
        <f>NPV(Real_Discount_rate,F36:J36)</f>
        <v>5958706.893862946</v>
      </c>
    </row>
    <row r="40" spans="3:11" x14ac:dyDescent="0.2">
      <c r="C40" s="1" t="s">
        <v>111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52"/>
  <sheetViews>
    <sheetView showGridLines="0" zoomScale="85" zoomScaleNormal="85" workbookViewId="0">
      <selection activeCell="C14" sqref="C14"/>
    </sheetView>
  </sheetViews>
  <sheetFormatPr defaultColWidth="9.140625" defaultRowHeight="12.75" x14ac:dyDescent="0.2"/>
  <cols>
    <col min="1" max="1" width="7.140625" style="1" customWidth="1"/>
    <col min="2" max="2" width="9.5703125" style="1" customWidth="1"/>
    <col min="3" max="3" width="15.425781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42578125" style="1" bestFit="1" customWidth="1"/>
    <col min="14" max="16384" width="9.140625" style="1"/>
  </cols>
  <sheetData>
    <row r="1" spans="1:16" ht="21" x14ac:dyDescent="0.35">
      <c r="A1" s="14" t="str">
        <f>Project_name</f>
        <v>Customer enablement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CP &amp; PAL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2</v>
      </c>
      <c r="D6" s="84" t="s">
        <v>3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4</v>
      </c>
      <c r="C10" s="36" t="s">
        <v>5</v>
      </c>
      <c r="D10" s="36"/>
      <c r="E10" s="37"/>
      <c r="F10" s="38" t="s">
        <v>6</v>
      </c>
      <c r="G10" s="38" t="s">
        <v>7</v>
      </c>
      <c r="H10" s="38" t="s">
        <v>8</v>
      </c>
      <c r="I10" s="38" t="s">
        <v>9</v>
      </c>
      <c r="J10" s="38" t="s">
        <v>10</v>
      </c>
      <c r="K10" s="74" t="s">
        <v>0</v>
      </c>
      <c r="P10"/>
    </row>
    <row r="11" spans="1:16" ht="12.75" customHeight="1" x14ac:dyDescent="0.25">
      <c r="C11" s="1" t="s">
        <v>11</v>
      </c>
      <c r="D11" s="108" t="s">
        <v>12</v>
      </c>
      <c r="E11" s="2"/>
      <c r="F11" s="6">
        <f>'Option 1'!Q103+'Option 1'!Q106</f>
        <v>0</v>
      </c>
      <c r="G11" s="6">
        <f>'Option 1'!R103+'Option 1'!R106</f>
        <v>0</v>
      </c>
      <c r="H11" s="6">
        <f>'Option 1'!S103+'Option 1'!S106</f>
        <v>0</v>
      </c>
      <c r="I11" s="6">
        <f>'Option 1'!T103+'Option 1'!T106</f>
        <v>0</v>
      </c>
      <c r="J11" s="6">
        <f>'Option 1'!U103+'Option 1'!U106</f>
        <v>0</v>
      </c>
      <c r="K11" s="6">
        <f>SUM(F11:J11)</f>
        <v>0</v>
      </c>
      <c r="M11" s="99"/>
      <c r="P11"/>
    </row>
    <row r="12" spans="1:16" ht="12.75" customHeight="1" x14ac:dyDescent="0.25">
      <c r="C12" s="1" t="s">
        <v>13</v>
      </c>
      <c r="D12" s="108" t="s">
        <v>12</v>
      </c>
      <c r="E12" s="2"/>
      <c r="F12" s="6">
        <f>'Option 1'!Q104+'Option 1'!Q107</f>
        <v>0</v>
      </c>
      <c r="G12" s="6">
        <f>'Option 1'!R104+'Option 1'!R107</f>
        <v>0</v>
      </c>
      <c r="H12" s="6">
        <f>'Option 1'!S104+'Option 1'!S107</f>
        <v>0</v>
      </c>
      <c r="I12" s="6">
        <f>'Option 1'!T104+'Option 1'!T107</f>
        <v>0</v>
      </c>
      <c r="J12" s="6">
        <f>'Option 1'!U104+'Option 1'!U107</f>
        <v>0</v>
      </c>
      <c r="K12" s="6">
        <f t="shared" ref="K12:K13" si="0">SUM(F12:J12)</f>
        <v>0</v>
      </c>
      <c r="M12" s="99"/>
      <c r="P12"/>
    </row>
    <row r="13" spans="1:16" ht="12.75" customHeight="1" x14ac:dyDescent="0.2">
      <c r="C13" s="1" t="s">
        <v>14</v>
      </c>
      <c r="D13" s="108" t="s">
        <v>12</v>
      </c>
      <c r="F13" s="6">
        <f>'Option 1'!Q105+'Option 1'!Q108</f>
        <v>0</v>
      </c>
      <c r="G13" s="6">
        <f>'Option 1'!R105+'Option 1'!R108</f>
        <v>0</v>
      </c>
      <c r="H13" s="6">
        <f>'Option 1'!S105+'Option 1'!S108</f>
        <v>0</v>
      </c>
      <c r="I13" s="6">
        <f>'Option 1'!T105+'Option 1'!T108</f>
        <v>0</v>
      </c>
      <c r="J13" s="6">
        <f>'Option 1'!U105+'Option 1'!U108</f>
        <v>0</v>
      </c>
      <c r="K13" s="6">
        <f t="shared" si="0"/>
        <v>0</v>
      </c>
      <c r="M13" s="99"/>
    </row>
    <row r="14" spans="1:16" ht="12.75" customHeight="1" x14ac:dyDescent="0.2">
      <c r="C14" s="102" t="s">
        <v>15</v>
      </c>
      <c r="D14" s="109"/>
      <c r="E14" s="102"/>
      <c r="F14" s="106">
        <f>SUM(F11:F13)</f>
        <v>0</v>
      </c>
      <c r="G14" s="106">
        <f t="shared" ref="G14:K14" si="1">SUM(G11:G13)</f>
        <v>0</v>
      </c>
      <c r="H14" s="106">
        <f t="shared" si="1"/>
        <v>0</v>
      </c>
      <c r="I14" s="106">
        <f t="shared" si="1"/>
        <v>0</v>
      </c>
      <c r="J14" s="106">
        <f t="shared" si="1"/>
        <v>0</v>
      </c>
      <c r="K14" s="106">
        <f t="shared" si="1"/>
        <v>0</v>
      </c>
      <c r="M14" s="99"/>
    </row>
    <row r="15" spans="1:16" ht="12.75" customHeight="1" x14ac:dyDescent="0.2">
      <c r="C15" s="1" t="s">
        <v>11</v>
      </c>
      <c r="D15" s="108" t="s">
        <v>16</v>
      </c>
      <c r="F15" s="6">
        <f>'Option 1'!Q110+'Option 1'!Q113</f>
        <v>0</v>
      </c>
      <c r="G15" s="6">
        <f>'Option 1'!R110+'Option 1'!R113</f>
        <v>0</v>
      </c>
      <c r="H15" s="6">
        <f>'Option 1'!S110+'Option 1'!S113</f>
        <v>0</v>
      </c>
      <c r="I15" s="6">
        <f>'Option 1'!T110+'Option 1'!T113</f>
        <v>0</v>
      </c>
      <c r="J15" s="6">
        <f>'Option 1'!U110+'Option 1'!U113</f>
        <v>0</v>
      </c>
      <c r="K15" s="6">
        <f>SUM(F15:J15)</f>
        <v>0</v>
      </c>
      <c r="M15" s="99"/>
    </row>
    <row r="16" spans="1:16" ht="12.75" customHeight="1" x14ac:dyDescent="0.2">
      <c r="C16" s="1" t="s">
        <v>13</v>
      </c>
      <c r="D16" s="108" t="s">
        <v>16</v>
      </c>
      <c r="F16" s="6">
        <f>'Option 1'!Q111+'Option 1'!Q114</f>
        <v>0</v>
      </c>
      <c r="G16" s="6">
        <f>'Option 1'!R111+'Option 1'!R114</f>
        <v>0</v>
      </c>
      <c r="H16" s="6">
        <f>'Option 1'!S111+'Option 1'!S114</f>
        <v>0</v>
      </c>
      <c r="I16" s="6">
        <f>'Option 1'!T111+'Option 1'!T114</f>
        <v>0</v>
      </c>
      <c r="J16" s="6">
        <f>'Option 1'!U111+'Option 1'!U114</f>
        <v>0</v>
      </c>
      <c r="K16" s="6">
        <f t="shared" ref="K16:K17" si="2">SUM(F16:J16)</f>
        <v>0</v>
      </c>
      <c r="M16" s="99"/>
    </row>
    <row r="17" spans="2:13" ht="12.75" customHeight="1" x14ac:dyDescent="0.2">
      <c r="C17" s="1" t="s">
        <v>14</v>
      </c>
      <c r="D17" s="108" t="s">
        <v>16</v>
      </c>
      <c r="F17" s="6">
        <f>'Option 1'!Q112+'Option 1'!Q115</f>
        <v>0</v>
      </c>
      <c r="G17" s="6">
        <f>'Option 1'!R112+'Option 1'!R115</f>
        <v>0</v>
      </c>
      <c r="H17" s="6">
        <f>'Option 1'!S112+'Option 1'!S115</f>
        <v>0</v>
      </c>
      <c r="I17" s="6">
        <f>'Option 1'!T112+'Option 1'!T115</f>
        <v>0</v>
      </c>
      <c r="J17" s="6">
        <f>'Option 1'!U112+'Option 1'!U115</f>
        <v>0</v>
      </c>
      <c r="K17" s="6">
        <f t="shared" si="2"/>
        <v>0</v>
      </c>
      <c r="M17" s="99"/>
    </row>
    <row r="18" spans="2:13" ht="12.75" customHeight="1" x14ac:dyDescent="0.2">
      <c r="C18" s="102" t="s">
        <v>17</v>
      </c>
      <c r="D18" s="109"/>
      <c r="E18" s="102"/>
      <c r="F18" s="106">
        <f>SUM(F15:F17)</f>
        <v>0</v>
      </c>
      <c r="G18" s="106">
        <f t="shared" ref="G18:K18" si="3">SUM(G15:G17)</f>
        <v>0</v>
      </c>
      <c r="H18" s="106">
        <f t="shared" si="3"/>
        <v>0</v>
      </c>
      <c r="I18" s="106">
        <f t="shared" si="3"/>
        <v>0</v>
      </c>
      <c r="J18" s="106">
        <f t="shared" si="3"/>
        <v>0</v>
      </c>
      <c r="K18" s="106">
        <f t="shared" si="3"/>
        <v>0</v>
      </c>
      <c r="M18" s="99"/>
    </row>
    <row r="19" spans="2:13" ht="12.75" customHeight="1" x14ac:dyDescent="0.2">
      <c r="D19" s="49"/>
      <c r="F19" s="6"/>
      <c r="G19" s="6"/>
      <c r="H19" s="6"/>
      <c r="I19" s="6"/>
      <c r="J19" s="6"/>
      <c r="K19" s="6"/>
      <c r="M19" s="99"/>
    </row>
    <row r="20" spans="2:13" ht="12.75" customHeight="1" x14ac:dyDescent="0.2">
      <c r="C20" s="114" t="str">
        <f>"Total Cost ($ "&amp;Assumptions!$C35&amp;")"</f>
        <v>Total Cost ($ June 2026)</v>
      </c>
      <c r="D20" s="21"/>
      <c r="E20" s="21"/>
      <c r="F20" s="22">
        <f t="shared" ref="F20:K20" si="4">F14+F18</f>
        <v>0</v>
      </c>
      <c r="G20" s="22">
        <f t="shared" si="4"/>
        <v>0</v>
      </c>
      <c r="H20" s="22">
        <f t="shared" si="4"/>
        <v>0</v>
      </c>
      <c r="I20" s="22">
        <f t="shared" si="4"/>
        <v>0</v>
      </c>
      <c r="J20" s="22">
        <f t="shared" si="4"/>
        <v>0</v>
      </c>
      <c r="K20" s="22">
        <f t="shared" si="4"/>
        <v>0</v>
      </c>
      <c r="L20" s="58">
        <f>K20-'Option 1'!$V$118</f>
        <v>0</v>
      </c>
    </row>
    <row r="21" spans="2:13" ht="12.75" customHeight="1" x14ac:dyDescent="0.2">
      <c r="C21" s="4"/>
      <c r="D21" s="4"/>
      <c r="E21" s="4"/>
      <c r="F21" s="35"/>
      <c r="G21" s="35"/>
      <c r="H21" s="35"/>
      <c r="I21" s="35"/>
      <c r="J21" s="35"/>
      <c r="K21" s="35"/>
    </row>
    <row r="22" spans="2:13" ht="12.75" customHeight="1" x14ac:dyDescent="0.2">
      <c r="C22" s="54" t="s">
        <v>18</v>
      </c>
      <c r="D22" s="22"/>
      <c r="E22" s="22"/>
      <c r="F22" s="22">
        <f>NPV(Assumptions!$B$10,F20:J20)</f>
        <v>0</v>
      </c>
      <c r="G22" s="35"/>
      <c r="H22" s="35"/>
      <c r="I22" s="35"/>
      <c r="J22" s="35"/>
      <c r="K22" s="35"/>
    </row>
    <row r="23" spans="2:13" ht="12.75" customHeight="1" x14ac:dyDescent="0.2">
      <c r="C23" s="33"/>
      <c r="D23" s="33"/>
      <c r="E23" s="4"/>
      <c r="F23" s="35"/>
      <c r="G23" s="35"/>
      <c r="H23" s="35"/>
      <c r="I23" s="35"/>
      <c r="J23" s="35"/>
      <c r="K23" s="35"/>
    </row>
    <row r="24" spans="2:13" ht="12.75" customHeight="1" x14ac:dyDescent="0.2">
      <c r="B24" s="4"/>
      <c r="C24" s="4"/>
      <c r="D24" s="4"/>
      <c r="E24" s="4"/>
      <c r="F24" s="23"/>
      <c r="G24" s="23"/>
      <c r="H24" s="23"/>
      <c r="I24" s="23"/>
      <c r="J24" s="23"/>
      <c r="K24" s="23"/>
    </row>
    <row r="25" spans="2:13" ht="12.75" customHeight="1" x14ac:dyDescent="0.2">
      <c r="B25" s="36" t="s">
        <v>3</v>
      </c>
      <c r="C25" s="36" t="s">
        <v>5</v>
      </c>
      <c r="D25" s="36"/>
      <c r="E25" s="37"/>
      <c r="F25" s="38" t="str">
        <f>F$10</f>
        <v>2026/27</v>
      </c>
      <c r="G25" s="38" t="str">
        <f t="shared" ref="G25:J25" si="5">G$10</f>
        <v>2027/28</v>
      </c>
      <c r="H25" s="38" t="str">
        <f t="shared" si="5"/>
        <v>2028/29</v>
      </c>
      <c r="I25" s="38" t="str">
        <f t="shared" si="5"/>
        <v>2029/30</v>
      </c>
      <c r="J25" s="38" t="str">
        <f t="shared" si="5"/>
        <v>2030/31</v>
      </c>
      <c r="K25" s="74" t="s">
        <v>0</v>
      </c>
    </row>
    <row r="26" spans="2:13" ht="12.75" customHeight="1" x14ac:dyDescent="0.2">
      <c r="C26" s="1" t="s">
        <v>11</v>
      </c>
      <c r="D26" s="108" t="s">
        <v>12</v>
      </c>
      <c r="E26" s="2"/>
      <c r="F26" s="6">
        <f>'Option 2'!Q103+'Option 2'!Q106</f>
        <v>1266605.8828867285</v>
      </c>
      <c r="G26" s="6">
        <f>'Option 2'!R103+'Option 2'!R106</f>
        <v>656173.2963272254</v>
      </c>
      <c r="H26" s="6">
        <f>'Option 2'!S103+'Option 2'!S106</f>
        <v>11685582.787374264</v>
      </c>
      <c r="I26" s="6">
        <f>'Option 2'!T103+'Option 2'!T106</f>
        <v>556456.3232082983</v>
      </c>
      <c r="J26" s="6">
        <f>'Option 2'!U103+'Option 2'!U106</f>
        <v>0</v>
      </c>
      <c r="K26" s="6">
        <f>SUM(F26:J26)</f>
        <v>14164818.289796516</v>
      </c>
      <c r="M26" s="99"/>
    </row>
    <row r="27" spans="2:13" x14ac:dyDescent="0.2">
      <c r="C27" s="1" t="s">
        <v>13</v>
      </c>
      <c r="D27" s="108" t="s">
        <v>12</v>
      </c>
      <c r="E27" s="2"/>
      <c r="F27" s="6">
        <f>'Option 2'!Q104+'Option 2'!Q107</f>
        <v>0</v>
      </c>
      <c r="G27" s="6">
        <f>'Option 2'!R104+'Option 2'!R107</f>
        <v>0</v>
      </c>
      <c r="H27" s="6">
        <f>'Option 2'!S104+'Option 2'!S107</f>
        <v>0</v>
      </c>
      <c r="I27" s="6">
        <f>'Option 2'!T104+'Option 2'!T107</f>
        <v>0</v>
      </c>
      <c r="J27" s="6">
        <f>'Option 2'!U104+'Option 2'!U107</f>
        <v>0</v>
      </c>
      <c r="K27" s="6">
        <f t="shared" ref="K27:K28" si="6">SUM(F27:J27)</f>
        <v>0</v>
      </c>
      <c r="M27" s="99"/>
    </row>
    <row r="28" spans="2:13" x14ac:dyDescent="0.2">
      <c r="C28" s="1" t="s">
        <v>14</v>
      </c>
      <c r="D28" s="108" t="s">
        <v>12</v>
      </c>
      <c r="F28" s="6">
        <f>'Option 2'!Q105+'Option 2'!Q108</f>
        <v>0</v>
      </c>
      <c r="G28" s="6">
        <f>'Option 2'!R105+'Option 2'!R108</f>
        <v>0</v>
      </c>
      <c r="H28" s="6">
        <f>'Option 2'!S105+'Option 2'!S108</f>
        <v>0</v>
      </c>
      <c r="I28" s="6">
        <f>'Option 2'!T105+'Option 2'!T108</f>
        <v>0</v>
      </c>
      <c r="J28" s="6">
        <f>'Option 2'!U105+'Option 2'!U108</f>
        <v>0</v>
      </c>
      <c r="K28" s="6">
        <f t="shared" si="6"/>
        <v>0</v>
      </c>
      <c r="M28" s="99"/>
    </row>
    <row r="29" spans="2:13" x14ac:dyDescent="0.2">
      <c r="C29" s="102" t="s">
        <v>15</v>
      </c>
      <c r="D29" s="109"/>
      <c r="E29" s="102"/>
      <c r="F29" s="106">
        <f>SUM(F26:F28)</f>
        <v>1266605.8828867285</v>
      </c>
      <c r="G29" s="106">
        <f t="shared" ref="G29" si="7">SUM(G26:G28)</f>
        <v>656173.2963272254</v>
      </c>
      <c r="H29" s="106">
        <f t="shared" ref="H29" si="8">SUM(H26:H28)</f>
        <v>11685582.787374264</v>
      </c>
      <c r="I29" s="106">
        <f t="shared" ref="I29" si="9">SUM(I26:I28)</f>
        <v>556456.3232082983</v>
      </c>
      <c r="J29" s="106">
        <f t="shared" ref="J29" si="10">SUM(J26:J28)</f>
        <v>0</v>
      </c>
      <c r="K29" s="106">
        <f t="shared" ref="K29" si="11">SUM(K26:K28)</f>
        <v>14164818.289796516</v>
      </c>
      <c r="M29" s="99"/>
    </row>
    <row r="30" spans="2:13" x14ac:dyDescent="0.2">
      <c r="C30" s="1" t="s">
        <v>11</v>
      </c>
      <c r="D30" s="108" t="s">
        <v>16</v>
      </c>
      <c r="F30" s="6">
        <f>'Option 2'!Q110+'Option 2'!Q113</f>
        <v>0</v>
      </c>
      <c r="G30" s="6">
        <f>'Option 2'!R110+'Option 2'!R113</f>
        <v>0</v>
      </c>
      <c r="H30" s="6">
        <f>'Option 2'!S110+'Option 2'!S113</f>
        <v>0</v>
      </c>
      <c r="I30" s="6">
        <f>'Option 2'!T110+'Option 2'!T113</f>
        <v>0</v>
      </c>
      <c r="J30" s="6">
        <f>'Option 2'!U110+'Option 2'!U113</f>
        <v>0</v>
      </c>
      <c r="K30" s="6">
        <f>SUM(F30:J30)</f>
        <v>0</v>
      </c>
      <c r="M30" s="99"/>
    </row>
    <row r="31" spans="2:13" x14ac:dyDescent="0.2">
      <c r="C31" s="1" t="s">
        <v>13</v>
      </c>
      <c r="D31" s="108" t="s">
        <v>16</v>
      </c>
      <c r="F31" s="6">
        <f>'Option 2'!Q111+'Option 2'!Q114</f>
        <v>0</v>
      </c>
      <c r="G31" s="6">
        <f>'Option 2'!R111+'Option 2'!R114</f>
        <v>0</v>
      </c>
      <c r="H31" s="6">
        <f>'Option 2'!S111+'Option 2'!S114</f>
        <v>0</v>
      </c>
      <c r="I31" s="6">
        <f>'Option 2'!T111+'Option 2'!T114</f>
        <v>0</v>
      </c>
      <c r="J31" s="6">
        <f>'Option 2'!U111+'Option 2'!U114</f>
        <v>0</v>
      </c>
      <c r="K31" s="6">
        <f t="shared" ref="K31:K32" si="12">SUM(F31:J31)</f>
        <v>0</v>
      </c>
      <c r="M31" s="99"/>
    </row>
    <row r="32" spans="2:13" x14ac:dyDescent="0.2">
      <c r="C32" s="1" t="s">
        <v>14</v>
      </c>
      <c r="D32" s="108" t="s">
        <v>16</v>
      </c>
      <c r="F32" s="6">
        <f>'Option 2'!Q112+'Option 2'!Q115</f>
        <v>0</v>
      </c>
      <c r="G32" s="6">
        <f>'Option 2'!R112+'Option 2'!R115</f>
        <v>0</v>
      </c>
      <c r="H32" s="6">
        <f>'Option 2'!S112+'Option 2'!S115</f>
        <v>0</v>
      </c>
      <c r="I32" s="6">
        <f>'Option 2'!T112+'Option 2'!T115</f>
        <v>0</v>
      </c>
      <c r="J32" s="6">
        <f>'Option 2'!U112+'Option 2'!U115</f>
        <v>0</v>
      </c>
      <c r="K32" s="6">
        <f t="shared" si="12"/>
        <v>0</v>
      </c>
      <c r="M32" s="99"/>
    </row>
    <row r="33" spans="2:13" x14ac:dyDescent="0.2">
      <c r="C33" s="102" t="s">
        <v>17</v>
      </c>
      <c r="D33" s="109"/>
      <c r="E33" s="102"/>
      <c r="F33" s="106">
        <f>SUM(F30:F32)</f>
        <v>0</v>
      </c>
      <c r="G33" s="106">
        <f t="shared" ref="G33" si="13">SUM(G30:G32)</f>
        <v>0</v>
      </c>
      <c r="H33" s="106">
        <f t="shared" ref="H33" si="14">SUM(H30:H32)</f>
        <v>0</v>
      </c>
      <c r="I33" s="106">
        <f t="shared" ref="I33" si="15">SUM(I30:I32)</f>
        <v>0</v>
      </c>
      <c r="J33" s="106">
        <f t="shared" ref="J33" si="16">SUM(J30:J32)</f>
        <v>0</v>
      </c>
      <c r="K33" s="106">
        <f t="shared" ref="K33" si="17">SUM(K30:K32)</f>
        <v>0</v>
      </c>
      <c r="M33" s="99"/>
    </row>
    <row r="34" spans="2:13" x14ac:dyDescent="0.2">
      <c r="D34" s="49"/>
      <c r="F34" s="6"/>
      <c r="G34" s="6"/>
      <c r="H34" s="6"/>
      <c r="I34" s="6"/>
      <c r="J34" s="6"/>
      <c r="K34" s="6"/>
      <c r="M34" s="99"/>
    </row>
    <row r="35" spans="2:13" x14ac:dyDescent="0.2">
      <c r="C35" s="114" t="str">
        <f>"Total Cost ($ "&amp;Assumptions!$C$35&amp;")"</f>
        <v>Total Cost ($ June 2026)</v>
      </c>
      <c r="D35" s="21"/>
      <c r="E35" s="21"/>
      <c r="F35" s="22">
        <f t="shared" ref="F35:K35" si="18">F29+F33</f>
        <v>1266605.8828867285</v>
      </c>
      <c r="G35" s="22">
        <f t="shared" si="18"/>
        <v>656173.2963272254</v>
      </c>
      <c r="H35" s="22">
        <f t="shared" si="18"/>
        <v>11685582.787374264</v>
      </c>
      <c r="I35" s="22">
        <f t="shared" si="18"/>
        <v>556456.3232082983</v>
      </c>
      <c r="J35" s="22">
        <f t="shared" si="18"/>
        <v>0</v>
      </c>
      <c r="K35" s="22">
        <f t="shared" si="18"/>
        <v>14164818.289796516</v>
      </c>
      <c r="L35" s="58">
        <f>K35-'Option 2'!$V$118</f>
        <v>0</v>
      </c>
    </row>
    <row r="37" spans="2:13" x14ac:dyDescent="0.2">
      <c r="C37" s="54" t="s">
        <v>18</v>
      </c>
      <c r="D37" s="22"/>
      <c r="E37" s="22"/>
      <c r="F37" s="22">
        <f>NPV(Assumptions!$B$10,F35:J35)</f>
        <v>12860964.28777233</v>
      </c>
    </row>
    <row r="38" spans="2:13" x14ac:dyDescent="0.2">
      <c r="B38" s="26"/>
      <c r="C38" s="33"/>
      <c r="D38" s="33"/>
      <c r="E38" s="26"/>
      <c r="F38" s="26"/>
      <c r="G38" s="26"/>
      <c r="H38" s="26"/>
      <c r="I38" s="26"/>
      <c r="J38" s="26"/>
      <c r="K38" s="26"/>
    </row>
    <row r="40" spans="2:13" x14ac:dyDescent="0.2">
      <c r="B40" s="36" t="s">
        <v>19</v>
      </c>
      <c r="C40" s="36" t="s">
        <v>5</v>
      </c>
      <c r="D40" s="36"/>
      <c r="E40" s="37"/>
      <c r="F40" s="38" t="str">
        <f>F$10</f>
        <v>2026/27</v>
      </c>
      <c r="G40" s="38" t="str">
        <f t="shared" ref="G40:J40" si="19">G$10</f>
        <v>2027/28</v>
      </c>
      <c r="H40" s="38" t="str">
        <f t="shared" si="19"/>
        <v>2028/29</v>
      </c>
      <c r="I40" s="38" t="str">
        <f t="shared" si="19"/>
        <v>2029/30</v>
      </c>
      <c r="J40" s="38" t="str">
        <f t="shared" si="19"/>
        <v>2030/31</v>
      </c>
      <c r="K40" s="74" t="s">
        <v>0</v>
      </c>
    </row>
    <row r="41" spans="2:13" x14ac:dyDescent="0.2">
      <c r="C41" s="1" t="s">
        <v>11</v>
      </c>
      <c r="D41" s="108" t="s">
        <v>12</v>
      </c>
      <c r="E41" s="2"/>
      <c r="F41" s="6">
        <f>'Option 3'!Q103+'Option 3'!Q106</f>
        <v>1711770.9414533672</v>
      </c>
      <c r="G41" s="6">
        <f>'Option 3'!R103+'Option 3'!R106</f>
        <v>211008.23776058672</v>
      </c>
      <c r="H41" s="6">
        <f>'Option 3'!S103+'Option 3'!S106</f>
        <v>15024320.726624055</v>
      </c>
      <c r="I41" s="6">
        <f>'Option 3'!T103+'Option 3'!T106</f>
        <v>3895194.2624580879</v>
      </c>
      <c r="J41" s="6">
        <f>'Option 3'!U103+'Option 3'!U106</f>
        <v>1266049.4265635202</v>
      </c>
      <c r="K41" s="6">
        <f>SUM(F41:J41)</f>
        <v>22108343.594859619</v>
      </c>
      <c r="M41" s="99"/>
    </row>
    <row r="42" spans="2:13" x14ac:dyDescent="0.2">
      <c r="C42" s="1" t="s">
        <v>13</v>
      </c>
      <c r="D42" s="108" t="s">
        <v>12</v>
      </c>
      <c r="E42" s="2"/>
      <c r="F42" s="6">
        <f>'Option 3'!Q104+'Option 3'!Q107</f>
        <v>0</v>
      </c>
      <c r="G42" s="6">
        <f>'Option 3'!R104+'Option 3'!R107</f>
        <v>0</v>
      </c>
      <c r="H42" s="6">
        <f>'Option 3'!S104+'Option 3'!S107</f>
        <v>0</v>
      </c>
      <c r="I42" s="6">
        <f>'Option 3'!T104+'Option 3'!T107</f>
        <v>0</v>
      </c>
      <c r="J42" s="6">
        <f>'Option 3'!U104+'Option 3'!U107</f>
        <v>0</v>
      </c>
      <c r="K42" s="6">
        <f t="shared" ref="K42:K43" si="20">SUM(F42:J42)</f>
        <v>0</v>
      </c>
      <c r="M42" s="99"/>
    </row>
    <row r="43" spans="2:13" x14ac:dyDescent="0.2">
      <c r="C43" s="1" t="s">
        <v>14</v>
      </c>
      <c r="D43" s="108" t="s">
        <v>12</v>
      </c>
      <c r="F43" s="6">
        <f>'Option 3'!Q105+'Option 3'!Q108</f>
        <v>0</v>
      </c>
      <c r="G43" s="6">
        <f>'Option 3'!R105+'Option 3'!R108</f>
        <v>0</v>
      </c>
      <c r="H43" s="6">
        <f>'Option 3'!S105+'Option 3'!S108</f>
        <v>0</v>
      </c>
      <c r="I43" s="6">
        <f>'Option 3'!T105+'Option 3'!T108</f>
        <v>0</v>
      </c>
      <c r="J43" s="6">
        <f>'Option 3'!U105+'Option 3'!U108</f>
        <v>0</v>
      </c>
      <c r="K43" s="6">
        <f t="shared" si="20"/>
        <v>0</v>
      </c>
      <c r="M43" s="99"/>
    </row>
    <row r="44" spans="2:13" x14ac:dyDescent="0.2">
      <c r="C44" s="102" t="s">
        <v>15</v>
      </c>
      <c r="D44" s="109"/>
      <c r="E44" s="102"/>
      <c r="F44" s="106">
        <f>SUM(F41:F43)</f>
        <v>1711770.9414533672</v>
      </c>
      <c r="G44" s="106">
        <f t="shared" ref="G44" si="21">SUM(G41:G43)</f>
        <v>211008.23776058672</v>
      </c>
      <c r="H44" s="106">
        <f t="shared" ref="H44" si="22">SUM(H41:H43)</f>
        <v>15024320.726624055</v>
      </c>
      <c r="I44" s="106">
        <f t="shared" ref="I44" si="23">SUM(I41:I43)</f>
        <v>3895194.2624580879</v>
      </c>
      <c r="J44" s="106">
        <f t="shared" ref="J44" si="24">SUM(J41:J43)</f>
        <v>1266049.4265635202</v>
      </c>
      <c r="K44" s="106">
        <f t="shared" ref="K44" si="25">SUM(K41:K43)</f>
        <v>22108343.594859619</v>
      </c>
      <c r="M44" s="99"/>
    </row>
    <row r="45" spans="2:13" x14ac:dyDescent="0.2">
      <c r="C45" s="1" t="s">
        <v>11</v>
      </c>
      <c r="D45" s="108" t="s">
        <v>16</v>
      </c>
      <c r="F45" s="6">
        <f>'Option 3'!Q110+'Option 3'!Q113</f>
        <v>0</v>
      </c>
      <c r="G45" s="6">
        <f>'Option 3'!R110+'Option 3'!R113</f>
        <v>0</v>
      </c>
      <c r="H45" s="6">
        <f>'Option 3'!S110+'Option 3'!S113</f>
        <v>0</v>
      </c>
      <c r="I45" s="6">
        <f>'Option 3'!T110+'Option 3'!T113</f>
        <v>0</v>
      </c>
      <c r="J45" s="6">
        <f>'Option 3'!U110+'Option 3'!U113</f>
        <v>0</v>
      </c>
      <c r="K45" s="6">
        <f>SUM(F45:J45)</f>
        <v>0</v>
      </c>
      <c r="M45" s="99"/>
    </row>
    <row r="46" spans="2:13" x14ac:dyDescent="0.2">
      <c r="C46" s="1" t="s">
        <v>13</v>
      </c>
      <c r="D46" s="108" t="s">
        <v>16</v>
      </c>
      <c r="F46" s="6">
        <f>'Option 3'!Q111+'Option 3'!Q114</f>
        <v>0</v>
      </c>
      <c r="G46" s="6">
        <f>'Option 3'!R111+'Option 3'!R114</f>
        <v>0</v>
      </c>
      <c r="H46" s="6">
        <f>'Option 3'!S111+'Option 3'!S114</f>
        <v>0</v>
      </c>
      <c r="I46" s="6">
        <f>'Option 3'!T111+'Option 3'!T114</f>
        <v>0</v>
      </c>
      <c r="J46" s="6">
        <f>'Option 3'!U111+'Option 3'!U114</f>
        <v>0</v>
      </c>
      <c r="K46" s="6">
        <f t="shared" ref="K46:K47" si="26">SUM(F46:J46)</f>
        <v>0</v>
      </c>
      <c r="M46" s="99"/>
    </row>
    <row r="47" spans="2:13" x14ac:dyDescent="0.2">
      <c r="C47" s="1" t="s">
        <v>14</v>
      </c>
      <c r="D47" s="108" t="s">
        <v>16</v>
      </c>
      <c r="F47" s="6">
        <f>'Option 3'!Q112+'Option 3'!Q115</f>
        <v>0</v>
      </c>
      <c r="G47" s="6">
        <f>'Option 3'!R112+'Option 3'!R115</f>
        <v>0</v>
      </c>
      <c r="H47" s="6">
        <f>'Option 3'!S112+'Option 3'!S115</f>
        <v>0</v>
      </c>
      <c r="I47" s="6">
        <f>'Option 3'!T112+'Option 3'!T115</f>
        <v>0</v>
      </c>
      <c r="J47" s="6">
        <f>'Option 3'!U112+'Option 3'!U115</f>
        <v>0</v>
      </c>
      <c r="K47" s="6">
        <f t="shared" si="26"/>
        <v>0</v>
      </c>
      <c r="M47" s="99"/>
    </row>
    <row r="48" spans="2:13" x14ac:dyDescent="0.2">
      <c r="C48" s="102" t="s">
        <v>17</v>
      </c>
      <c r="D48" s="109"/>
      <c r="E48" s="102"/>
      <c r="F48" s="106">
        <f>SUM(F45:F47)</f>
        <v>0</v>
      </c>
      <c r="G48" s="106">
        <f t="shared" ref="G48" si="27">SUM(G45:G47)</f>
        <v>0</v>
      </c>
      <c r="H48" s="106">
        <f t="shared" ref="H48" si="28">SUM(H45:H47)</f>
        <v>0</v>
      </c>
      <c r="I48" s="106">
        <f t="shared" ref="I48" si="29">SUM(I45:I47)</f>
        <v>0</v>
      </c>
      <c r="J48" s="106">
        <f t="shared" ref="J48" si="30">SUM(J45:J47)</f>
        <v>0</v>
      </c>
      <c r="K48" s="106">
        <f t="shared" ref="K48" si="31">SUM(K45:K47)</f>
        <v>0</v>
      </c>
      <c r="M48" s="99"/>
    </row>
    <row r="49" spans="2:13" x14ac:dyDescent="0.2">
      <c r="D49" s="49"/>
      <c r="F49" s="6"/>
      <c r="G49" s="6"/>
      <c r="H49" s="6"/>
      <c r="I49" s="6"/>
      <c r="J49" s="6"/>
      <c r="K49" s="6"/>
      <c r="M49" s="99"/>
    </row>
    <row r="50" spans="2:13" x14ac:dyDescent="0.2">
      <c r="C50" s="114" t="str">
        <f>"Total Cost ($ "&amp;Assumptions!$C35&amp;")"</f>
        <v>Total Cost ($ June 2026)</v>
      </c>
      <c r="D50" s="21"/>
      <c r="E50" s="21"/>
      <c r="F50" s="22">
        <f t="shared" ref="F50:K50" si="32">F44+F48</f>
        <v>1711770.9414533672</v>
      </c>
      <c r="G50" s="22">
        <f t="shared" si="32"/>
        <v>211008.23776058672</v>
      </c>
      <c r="H50" s="22">
        <f t="shared" si="32"/>
        <v>15024320.726624055</v>
      </c>
      <c r="I50" s="22">
        <f t="shared" si="32"/>
        <v>3895194.2624580879</v>
      </c>
      <c r="J50" s="22">
        <f t="shared" si="32"/>
        <v>1266049.4265635202</v>
      </c>
      <c r="K50" s="22">
        <f t="shared" si="32"/>
        <v>22108343.594859619</v>
      </c>
      <c r="L50" s="58">
        <f>K50-'Option 3'!$V$118</f>
        <v>0</v>
      </c>
    </row>
    <row r="52" spans="2:13" x14ac:dyDescent="0.2">
      <c r="B52" s="26"/>
      <c r="C52" s="54" t="s">
        <v>18</v>
      </c>
      <c r="D52" s="22"/>
      <c r="E52" s="22"/>
      <c r="F52" s="22">
        <f>NPV(Assumptions!$B$10,F50:J50)</f>
        <v>19862356.312876493</v>
      </c>
      <c r="G52" s="26"/>
      <c r="H52" s="26"/>
      <c r="I52" s="26"/>
      <c r="J52" s="26"/>
      <c r="K52" s="26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72FD86-FB46-4364-B4E2-2890DB20D4E8}">
          <x14:formula1>
            <xm:f>Assumptions!$A$24:$A$26</xm:f>
          </x14:formula1>
          <xm:sqref>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outlinePr summaryBelow="0" summaryRight="0"/>
  </sheetPr>
  <dimension ref="A1:AI102"/>
  <sheetViews>
    <sheetView showGridLines="0" zoomScale="90" zoomScaleNormal="90" workbookViewId="0">
      <selection activeCell="C19" sqref="C19"/>
    </sheetView>
  </sheetViews>
  <sheetFormatPr defaultColWidth="14.42578125" defaultRowHeight="15" customHeight="1" x14ac:dyDescent="0.25"/>
  <cols>
    <col min="1" max="1" width="24.42578125" customWidth="1"/>
    <col min="2" max="2" width="20.5703125" customWidth="1"/>
    <col min="4" max="4" width="2.5703125" customWidth="1"/>
    <col min="5" max="5" width="14.42578125" customWidth="1"/>
    <col min="10" max="10" width="19.140625" customWidth="1"/>
    <col min="11" max="11" width="15.5703125" customWidth="1"/>
  </cols>
  <sheetData>
    <row r="1" spans="1:35" ht="21" x14ac:dyDescent="0.35">
      <c r="A1" s="62" t="str">
        <f>Project_name</f>
        <v>Customer enablement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35" ht="15.75" x14ac:dyDescent="0.25">
      <c r="A2" s="59" t="str">
        <f>Business</f>
        <v>CP &amp; PAL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35" s="18" customFormat="1" ht="12.75" customHeight="1" x14ac:dyDescent="0.25">
      <c r="A3" s="30" t="s">
        <v>21</v>
      </c>
      <c r="B3" s="28"/>
      <c r="C3" s="28"/>
      <c r="D3" s="28"/>
      <c r="E3" s="28"/>
      <c r="F3" s="28"/>
      <c r="G3" s="28"/>
      <c r="H3" s="13"/>
      <c r="I3" s="13"/>
      <c r="J3" s="13"/>
      <c r="K3" s="1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7" t="s">
        <v>20</v>
      </c>
      <c r="B4" s="42" t="s">
        <v>21</v>
      </c>
      <c r="C4" s="27" t="s">
        <v>22</v>
      </c>
      <c r="D4" s="27" t="s">
        <v>23</v>
      </c>
    </row>
    <row r="5" spans="1:35" ht="12.75" customHeight="1" x14ac:dyDescent="0.25">
      <c r="A5" s="27"/>
      <c r="B5" s="42"/>
      <c r="C5" s="27"/>
      <c r="D5" s="27"/>
    </row>
    <row r="6" spans="1:35" ht="12.75" customHeight="1" x14ac:dyDescent="0.25">
      <c r="A6" s="1" t="s">
        <v>24</v>
      </c>
      <c r="B6" s="77" t="s">
        <v>89</v>
      </c>
      <c r="C6" s="27"/>
      <c r="D6" s="27"/>
    </row>
    <row r="7" spans="1:35" ht="12.75" customHeight="1" x14ac:dyDescent="0.25">
      <c r="A7" s="27"/>
      <c r="B7" s="42"/>
      <c r="C7" s="27"/>
      <c r="D7" s="27"/>
    </row>
    <row r="8" spans="1:35" ht="12.75" customHeight="1" x14ac:dyDescent="0.25">
      <c r="A8" s="1" t="s">
        <v>25</v>
      </c>
      <c r="B8" s="78" t="s">
        <v>104</v>
      </c>
      <c r="C8" s="27"/>
      <c r="D8" s="27"/>
    </row>
    <row r="9" spans="1:35" ht="12.75" customHeight="1" x14ac:dyDescent="0.25">
      <c r="A9" s="27"/>
      <c r="B9" s="60"/>
      <c r="C9" s="27"/>
      <c r="D9" s="27"/>
    </row>
    <row r="10" spans="1:35" ht="12.75" customHeight="1" x14ac:dyDescent="0.25">
      <c r="A10" s="1" t="s">
        <v>26</v>
      </c>
      <c r="B10" s="139">
        <v>3.5000000000000003E-2</v>
      </c>
      <c r="C10" s="44"/>
      <c r="D10" s="27"/>
    </row>
    <row r="11" spans="1:35" ht="12.75" customHeight="1" x14ac:dyDescent="0.25">
      <c r="A11" s="27"/>
      <c r="B11" s="60"/>
      <c r="C11" s="27"/>
      <c r="D11" s="27"/>
    </row>
    <row r="12" spans="1:35" ht="12.75" customHeight="1" x14ac:dyDescent="0.25">
      <c r="A12" s="44" t="s">
        <v>27</v>
      </c>
      <c r="B12" s="79" t="s">
        <v>91</v>
      </c>
      <c r="C12" s="44" t="s">
        <v>28</v>
      </c>
      <c r="D12" s="27"/>
    </row>
    <row r="13" spans="1:35" ht="12.75" customHeight="1" x14ac:dyDescent="0.25">
      <c r="A13" s="44"/>
      <c r="B13" s="61"/>
      <c r="C13" s="44"/>
      <c r="D13" s="44"/>
      <c r="E13" s="44"/>
    </row>
    <row r="14" spans="1:35" ht="12.75" customHeight="1" x14ac:dyDescent="0.25">
      <c r="A14" s="44" t="s">
        <v>29</v>
      </c>
      <c r="B14" s="140">
        <f>IF(B12="2022/23",C42,C43)</f>
        <v>145.77740895836223</v>
      </c>
      <c r="C14" s="44"/>
      <c r="D14" s="44"/>
      <c r="E14" s="44"/>
    </row>
    <row r="15" spans="1:35" ht="12.75" customHeight="1" x14ac:dyDescent="0.25">
      <c r="A15" s="85"/>
      <c r="B15" s="44"/>
      <c r="C15" s="44"/>
      <c r="D15" s="44"/>
      <c r="E15" s="44"/>
    </row>
    <row r="16" spans="1:35" ht="12.75" customHeight="1" x14ac:dyDescent="0.25">
      <c r="A16" s="44"/>
      <c r="B16" s="44"/>
      <c r="C16" s="44"/>
      <c r="D16" s="44"/>
      <c r="E16" s="44"/>
    </row>
    <row r="17" spans="1:12" ht="12.75" customHeight="1" x14ac:dyDescent="0.25">
      <c r="A17" s="53" t="s">
        <v>30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1:12" ht="12.75" customHeight="1" x14ac:dyDescent="0.25">
      <c r="A18" s="44" t="s">
        <v>1</v>
      </c>
      <c r="B18" s="93">
        <v>0.7</v>
      </c>
    </row>
    <row r="19" spans="1:12" ht="12.75" customHeight="1" x14ac:dyDescent="0.25">
      <c r="A19" s="44" t="s">
        <v>31</v>
      </c>
      <c r="B19" s="93">
        <v>0.3</v>
      </c>
      <c r="D19" s="44"/>
      <c r="E19" s="44"/>
    </row>
    <row r="20" spans="1:12" ht="12.75" customHeight="1" x14ac:dyDescent="0.25">
      <c r="A20" s="44"/>
      <c r="B20" s="44"/>
      <c r="D20" s="44"/>
      <c r="E20" s="44"/>
    </row>
    <row r="21" spans="1:12" ht="12.75" customHeight="1" x14ac:dyDescent="0.25">
      <c r="A21" s="44"/>
      <c r="B21" s="94">
        <f>SUM(B18:B20)</f>
        <v>1</v>
      </c>
      <c r="D21" s="44"/>
      <c r="E21" s="44"/>
    </row>
    <row r="22" spans="1:12" ht="12.75" customHeight="1" x14ac:dyDescent="0.25">
      <c r="A22" s="44"/>
      <c r="B22" s="44"/>
      <c r="C22" s="44"/>
      <c r="D22" s="44"/>
      <c r="E22" s="44"/>
    </row>
    <row r="23" spans="1:12" ht="12.75" customHeight="1" x14ac:dyDescent="0.25">
      <c r="A23" s="53" t="s">
        <v>32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spans="1:12" ht="12.75" customHeight="1" x14ac:dyDescent="0.25">
      <c r="A24" s="44" t="s">
        <v>4</v>
      </c>
      <c r="B24" s="86" t="s">
        <v>105</v>
      </c>
      <c r="C24" s="87"/>
      <c r="D24" s="87"/>
      <c r="E24" s="87"/>
      <c r="F24" s="87"/>
      <c r="G24" s="88"/>
    </row>
    <row r="25" spans="1:12" ht="12.75" customHeight="1" x14ac:dyDescent="0.25">
      <c r="A25" s="44" t="s">
        <v>3</v>
      </c>
      <c r="B25" s="89" t="s">
        <v>106</v>
      </c>
      <c r="C25" s="90"/>
      <c r="D25" s="90"/>
      <c r="E25" s="90"/>
      <c r="F25" s="90"/>
      <c r="G25" s="91"/>
    </row>
    <row r="26" spans="1:12" ht="12.75" customHeight="1" x14ac:dyDescent="0.25">
      <c r="A26" s="44" t="s">
        <v>19</v>
      </c>
      <c r="B26" s="89" t="s">
        <v>107</v>
      </c>
      <c r="C26" s="90"/>
      <c r="D26" s="90"/>
      <c r="E26" s="90"/>
      <c r="F26" s="90"/>
      <c r="G26" s="91"/>
    </row>
    <row r="27" spans="1:12" ht="12.75" customHeight="1" x14ac:dyDescent="0.25">
      <c r="A27" s="44"/>
      <c r="B27" s="92"/>
      <c r="C27" s="92"/>
      <c r="D27" s="92"/>
      <c r="E27" s="92"/>
      <c r="F27" s="92"/>
      <c r="G27" s="92"/>
    </row>
    <row r="28" spans="1:12" ht="12.75" customHeight="1" x14ac:dyDescent="0.25">
      <c r="A28" s="44"/>
      <c r="B28" s="92"/>
      <c r="C28" s="92"/>
      <c r="D28" s="92"/>
      <c r="E28" s="92"/>
      <c r="F28" s="92"/>
      <c r="G28" s="92"/>
    </row>
    <row r="29" spans="1:12" ht="12.75" customHeight="1" x14ac:dyDescent="0.25">
      <c r="A29" s="39" t="s">
        <v>114</v>
      </c>
      <c r="B29" s="39"/>
      <c r="C29" s="39"/>
      <c r="D29" s="40"/>
      <c r="E29" s="137" t="s">
        <v>90</v>
      </c>
      <c r="F29" s="137" t="s">
        <v>91</v>
      </c>
      <c r="G29" s="137" t="s">
        <v>92</v>
      </c>
      <c r="H29" s="137" t="s">
        <v>93</v>
      </c>
      <c r="I29" s="101"/>
      <c r="J29" s="40"/>
      <c r="K29" s="40"/>
    </row>
    <row r="30" spans="1:12" ht="12.75" customHeight="1" x14ac:dyDescent="0.25">
      <c r="A30" s="119" t="s">
        <v>86</v>
      </c>
      <c r="B30" s="120"/>
      <c r="C30" s="121"/>
      <c r="D30" s="122"/>
      <c r="E30" s="123">
        <v>1.1757125218136175</v>
      </c>
      <c r="F30" s="123">
        <v>1.1129126464165966</v>
      </c>
      <c r="G30" s="123">
        <v>1.050660524730181</v>
      </c>
      <c r="H30" s="123">
        <v>1.014889156509222</v>
      </c>
      <c r="I30" s="124"/>
      <c r="J30" s="122"/>
      <c r="K30" s="122"/>
      <c r="L30" s="63"/>
    </row>
    <row r="31" spans="1:12" ht="12.75" customHeight="1" x14ac:dyDescent="0.25">
      <c r="A31" s="41"/>
      <c r="B31" s="41"/>
      <c r="C31" s="41"/>
      <c r="D31" s="41"/>
      <c r="E31" s="41"/>
      <c r="F31" s="41"/>
      <c r="G31" s="41"/>
      <c r="H31" s="41"/>
      <c r="I31" s="70"/>
      <c r="J31" s="57"/>
      <c r="K31" s="57"/>
    </row>
    <row r="32" spans="1:12" ht="12.75" customHeight="1" x14ac:dyDescent="0.25">
      <c r="A32" s="41"/>
      <c r="B32" s="41"/>
      <c r="C32" s="41"/>
      <c r="D32" s="41"/>
      <c r="E32" s="41"/>
      <c r="F32" s="41"/>
      <c r="G32" s="41"/>
      <c r="H32" s="41"/>
      <c r="I32" s="70"/>
      <c r="J32" s="70"/>
      <c r="K32" s="70"/>
    </row>
    <row r="33" spans="1:11" ht="12.75" customHeight="1" x14ac:dyDescent="0.2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1:11" ht="12.75" customHeight="1" x14ac:dyDescent="0.25"/>
    <row r="35" spans="1:11" ht="12.75" customHeight="1" x14ac:dyDescent="0.25">
      <c r="A35" s="44" t="s">
        <v>33</v>
      </c>
      <c r="C35" s="141" t="s">
        <v>93</v>
      </c>
      <c r="D35" t="s">
        <v>28</v>
      </c>
    </row>
    <row r="36" spans="1:11" ht="12.75" customHeight="1" x14ac:dyDescent="0.25">
      <c r="A36" s="44" t="s">
        <v>34</v>
      </c>
      <c r="C36" s="43" t="str">
        <f>$B$12</f>
        <v>June 2024</v>
      </c>
    </row>
    <row r="37" spans="1:11" ht="12.75" customHeight="1" x14ac:dyDescent="0.25">
      <c r="A37" s="44" t="s">
        <v>35</v>
      </c>
      <c r="C37" s="95">
        <f>INDEX($E$30:$H$30,MATCH($C$36,$E$29:$H$29))</f>
        <v>1.1129126464165966</v>
      </c>
    </row>
    <row r="38" spans="1:11" ht="12.75" customHeight="1" x14ac:dyDescent="0.25"/>
    <row r="39" spans="1:11" ht="12.75" customHeight="1" x14ac:dyDescent="0.25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1:11" ht="12.75" customHeight="1" x14ac:dyDescent="0.25"/>
    <row r="41" spans="1:11" ht="12.75" customHeight="1" x14ac:dyDescent="0.25">
      <c r="A41" s="44" t="s">
        <v>36</v>
      </c>
      <c r="C41" s="142" t="s">
        <v>37</v>
      </c>
      <c r="D41" t="s">
        <v>94</v>
      </c>
    </row>
    <row r="42" spans="1:11" ht="12.75" customHeight="1" x14ac:dyDescent="0.25">
      <c r="A42" s="44" t="s">
        <v>34</v>
      </c>
      <c r="C42" s="97">
        <v>135.18960020374115</v>
      </c>
      <c r="D42" t="s">
        <v>95</v>
      </c>
    </row>
    <row r="43" spans="1:11" ht="12.75" customHeight="1" x14ac:dyDescent="0.25">
      <c r="A43" s="44" t="s">
        <v>35</v>
      </c>
      <c r="C43" s="98">
        <v>145.77740895836223</v>
      </c>
      <c r="D43" t="s">
        <v>96</v>
      </c>
    </row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dataValidations count="1">
    <dataValidation type="list" allowBlank="1" showInputMessage="1" showErrorMessage="1" sqref="B12" xr:uid="{F4530B8B-E1E8-402D-B0E6-F53F35029D26}">
      <formula1>$E$29:$F$29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Z132"/>
  <sheetViews>
    <sheetView showGridLines="0" zoomScale="90" zoomScaleNormal="90" workbookViewId="0">
      <pane ySplit="9" topLeftCell="A10" activePane="bottomLeft" state="frozen"/>
      <selection activeCell="C14" sqref="C14"/>
      <selection pane="bottomLeft" activeCell="C14" sqref="C14"/>
    </sheetView>
  </sheetViews>
  <sheetFormatPr defaultColWidth="9.140625" defaultRowHeight="12.75" x14ac:dyDescent="0.2"/>
  <cols>
    <col min="1" max="1" width="2.42578125" style="1" customWidth="1"/>
    <col min="2" max="2" width="1.5703125" style="1" customWidth="1"/>
    <col min="3" max="3" width="49" style="1" customWidth="1"/>
    <col min="4" max="4" width="12.570312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570312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3" style="1" customWidth="1"/>
    <col min="23" max="16384" width="9.140625" style="1"/>
  </cols>
  <sheetData>
    <row r="1" spans="1:26" ht="21" x14ac:dyDescent="0.35">
      <c r="A1" s="62" t="str">
        <f>Project_name</f>
        <v>Customer enablement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9" t="str">
        <f>Business</f>
        <v>CP &amp; PAL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2" customFormat="1" ht="15.75" x14ac:dyDescent="0.25">
      <c r="A3" s="30" t="s">
        <v>4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1"/>
      <c r="T3" s="11"/>
      <c r="U3" s="11"/>
      <c r="W3" s="48" t="b">
        <f>SUM(W7:W65)=0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50" t="s">
        <v>38</v>
      </c>
      <c r="D7" s="65" t="s">
        <v>39</v>
      </c>
      <c r="E7" s="65" t="s">
        <v>40</v>
      </c>
      <c r="F7" s="111" t="s">
        <v>41</v>
      </c>
      <c r="G7" s="16"/>
      <c r="H7" s="19" t="s">
        <v>11</v>
      </c>
      <c r="I7" s="19" t="s">
        <v>42</v>
      </c>
      <c r="K7" s="19" t="s">
        <v>43</v>
      </c>
      <c r="L7" s="20"/>
      <c r="M7" s="20"/>
      <c r="N7" s="20"/>
      <c r="O7" s="20"/>
      <c r="Q7" s="19" t="s">
        <v>44</v>
      </c>
      <c r="R7" s="20"/>
      <c r="S7" s="20"/>
      <c r="T7" s="20"/>
      <c r="U7" s="20"/>
    </row>
    <row r="8" spans="1:26" ht="12.75" customHeight="1" x14ac:dyDescent="0.2">
      <c r="A8" s="4"/>
      <c r="B8" s="4"/>
      <c r="C8" s="100"/>
      <c r="D8" s="100" t="s">
        <v>45</v>
      </c>
      <c r="E8" s="100"/>
      <c r="F8" s="100" t="s">
        <v>46</v>
      </c>
      <c r="G8" s="16"/>
      <c r="H8" s="110" t="s">
        <v>47</v>
      </c>
      <c r="I8" s="100"/>
      <c r="K8" s="51" t="s">
        <v>6</v>
      </c>
      <c r="L8" s="51" t="s">
        <v>7</v>
      </c>
      <c r="M8" s="51" t="s">
        <v>8</v>
      </c>
      <c r="N8" s="51" t="s">
        <v>9</v>
      </c>
      <c r="O8" s="51" t="s">
        <v>10</v>
      </c>
      <c r="Q8" s="51" t="s">
        <v>6</v>
      </c>
      <c r="R8" s="51" t="s">
        <v>7</v>
      </c>
      <c r="S8" s="51" t="s">
        <v>8</v>
      </c>
      <c r="T8" s="51" t="s">
        <v>9</v>
      </c>
      <c r="U8" s="51" t="s">
        <v>10</v>
      </c>
    </row>
    <row r="9" spans="1:26" ht="12.75" customHeight="1" x14ac:dyDescent="0.2">
      <c r="G9" s="16"/>
    </row>
    <row r="10" spans="1:26" ht="12.75" customHeight="1" x14ac:dyDescent="0.2">
      <c r="A10" s="4"/>
      <c r="C10" s="81"/>
      <c r="D10" s="82"/>
      <c r="E10" s="82"/>
      <c r="F10" s="80"/>
      <c r="G10" s="2"/>
      <c r="H10" s="64">
        <f>IF($E10="Labour",Assumptions!$B$14,)</f>
        <v>0</v>
      </c>
      <c r="I10" s="9" t="str">
        <f>IF($E10="Labour","Hours","$")</f>
        <v>$</v>
      </c>
      <c r="J10" s="2"/>
      <c r="K10" s="83"/>
      <c r="L10" s="83"/>
      <c r="M10" s="83"/>
      <c r="N10" s="83"/>
      <c r="O10" s="83"/>
      <c r="P10" s="2"/>
      <c r="Q10" s="5">
        <f t="shared" ref="Q10:Q41" si="0">IF($E10="Labour",$H10*K10,K10)</f>
        <v>0</v>
      </c>
      <c r="R10" s="5">
        <f t="shared" ref="R10:R41" si="1">IF($E10="Labour",$H10*L10,L10)</f>
        <v>0</v>
      </c>
      <c r="S10" s="5">
        <f t="shared" ref="S10:S41" si="2">IF($E10="Labour",$H10*M10,M10)</f>
        <v>0</v>
      </c>
      <c r="T10" s="5">
        <f t="shared" ref="T10:T41" si="3">IF($E10="Labour",$H10*N10,N10)</f>
        <v>0</v>
      </c>
      <c r="U10" s="5">
        <f t="shared" ref="U10:U41" si="4">IF($E10="Labour",$H10*O10,O10)</f>
        <v>0</v>
      </c>
    </row>
    <row r="11" spans="1:26" ht="12.75" customHeight="1" x14ac:dyDescent="0.2">
      <c r="A11" s="4"/>
      <c r="C11" s="81"/>
      <c r="D11" s="82"/>
      <c r="E11" s="82"/>
      <c r="F11" s="80"/>
      <c r="G11" s="2"/>
      <c r="H11" s="64">
        <f>IF($E11="Labour",Assumptions!$B$14,)</f>
        <v>0</v>
      </c>
      <c r="I11" s="9" t="str">
        <f t="shared" ref="I11:I64" si="5">IF($E11="Labour","Hours","$")</f>
        <v>$</v>
      </c>
      <c r="J11" s="2"/>
      <c r="K11" s="83"/>
      <c r="L11" s="83"/>
      <c r="M11" s="83"/>
      <c r="N11" s="83"/>
      <c r="O11" s="83"/>
      <c r="P11" s="2"/>
      <c r="Q11" s="5">
        <f t="shared" si="0"/>
        <v>0</v>
      </c>
      <c r="R11" s="5">
        <f t="shared" si="1"/>
        <v>0</v>
      </c>
      <c r="S11" s="5">
        <f t="shared" si="2"/>
        <v>0</v>
      </c>
      <c r="T11" s="5">
        <f t="shared" si="3"/>
        <v>0</v>
      </c>
      <c r="U11" s="5">
        <f t="shared" si="4"/>
        <v>0</v>
      </c>
    </row>
    <row r="12" spans="1:26" ht="12.75" customHeight="1" x14ac:dyDescent="0.2">
      <c r="A12" s="4"/>
      <c r="C12" s="81"/>
      <c r="D12" s="82"/>
      <c r="E12" s="82"/>
      <c r="F12" s="80"/>
      <c r="G12" s="2"/>
      <c r="H12" s="64">
        <f>IF($E12="Labour",Assumptions!$B$14,)</f>
        <v>0</v>
      </c>
      <c r="I12" s="9" t="str">
        <f t="shared" si="5"/>
        <v>$</v>
      </c>
      <c r="J12" s="2"/>
      <c r="K12" s="83"/>
      <c r="L12" s="83"/>
      <c r="M12" s="83"/>
      <c r="N12" s="83"/>
      <c r="O12" s="83"/>
      <c r="P12" s="2"/>
      <c r="Q12" s="5">
        <f t="shared" si="0"/>
        <v>0</v>
      </c>
      <c r="R12" s="5">
        <f t="shared" si="1"/>
        <v>0</v>
      </c>
      <c r="S12" s="5">
        <f t="shared" si="2"/>
        <v>0</v>
      </c>
      <c r="T12" s="5">
        <f t="shared" si="3"/>
        <v>0</v>
      </c>
      <c r="U12" s="5">
        <f t="shared" si="4"/>
        <v>0</v>
      </c>
    </row>
    <row r="13" spans="1:26" ht="12.75" customHeight="1" x14ac:dyDescent="0.25">
      <c r="A13" s="4"/>
      <c r="C13" s="81"/>
      <c r="D13" s="82"/>
      <c r="E13" s="82"/>
      <c r="F13" s="80"/>
      <c r="G13" s="2"/>
      <c r="H13" s="64">
        <f>IF($E13="Labour",Assumptions!$B$14,)</f>
        <v>0</v>
      </c>
      <c r="I13" s="9" t="str">
        <f t="shared" si="5"/>
        <v>$</v>
      </c>
      <c r="J13" s="2"/>
      <c r="K13" s="83"/>
      <c r="L13" s="83"/>
      <c r="M13" s="83"/>
      <c r="N13" s="83"/>
      <c r="O13" s="83"/>
      <c r="P13" s="2"/>
      <c r="Q13" s="5">
        <f t="shared" si="0"/>
        <v>0</v>
      </c>
      <c r="R13" s="5">
        <f t="shared" si="1"/>
        <v>0</v>
      </c>
      <c r="S13" s="5">
        <f t="shared" si="2"/>
        <v>0</v>
      </c>
      <c r="T13" s="5">
        <f t="shared" si="3"/>
        <v>0</v>
      </c>
      <c r="U13" s="5">
        <f t="shared" si="4"/>
        <v>0</v>
      </c>
      <c r="Z13"/>
    </row>
    <row r="14" spans="1:26" ht="12.75" customHeight="1" x14ac:dyDescent="0.25">
      <c r="A14" s="4"/>
      <c r="C14" s="81"/>
      <c r="D14" s="82"/>
      <c r="E14" s="82"/>
      <c r="F14" s="80"/>
      <c r="G14" s="2"/>
      <c r="H14" s="64">
        <f>IF($E14="Labour",Assumptions!$B$14,)</f>
        <v>0</v>
      </c>
      <c r="I14" s="9" t="str">
        <f t="shared" si="5"/>
        <v>$</v>
      </c>
      <c r="J14" s="2"/>
      <c r="K14" s="83"/>
      <c r="L14" s="83"/>
      <c r="M14" s="83"/>
      <c r="N14" s="83"/>
      <c r="O14" s="83"/>
      <c r="P14" s="2"/>
      <c r="Q14" s="5">
        <f t="shared" si="0"/>
        <v>0</v>
      </c>
      <c r="R14" s="5">
        <f t="shared" si="1"/>
        <v>0</v>
      </c>
      <c r="S14" s="5">
        <f t="shared" si="2"/>
        <v>0</v>
      </c>
      <c r="T14" s="5">
        <f t="shared" si="3"/>
        <v>0</v>
      </c>
      <c r="U14" s="5">
        <f t="shared" si="4"/>
        <v>0</v>
      </c>
      <c r="Z14"/>
    </row>
    <row r="15" spans="1:26" ht="12.75" customHeight="1" x14ac:dyDescent="0.25">
      <c r="A15" s="4"/>
      <c r="C15" s="81"/>
      <c r="D15" s="82"/>
      <c r="E15" s="82"/>
      <c r="F15" s="80"/>
      <c r="G15" s="2"/>
      <c r="H15" s="64">
        <f>IF($E15="Labour",Assumptions!$B$14,)</f>
        <v>0</v>
      </c>
      <c r="I15" s="9" t="str">
        <f t="shared" si="5"/>
        <v>$</v>
      </c>
      <c r="J15" s="2"/>
      <c r="K15" s="83"/>
      <c r="L15" s="83"/>
      <c r="M15" s="83"/>
      <c r="N15" s="83"/>
      <c r="O15" s="83"/>
      <c r="P15" s="2"/>
      <c r="Q15" s="5">
        <f t="shared" si="0"/>
        <v>0</v>
      </c>
      <c r="R15" s="5">
        <f t="shared" si="1"/>
        <v>0</v>
      </c>
      <c r="S15" s="5">
        <f t="shared" si="2"/>
        <v>0</v>
      </c>
      <c r="T15" s="5">
        <f t="shared" si="3"/>
        <v>0</v>
      </c>
      <c r="U15" s="5">
        <f t="shared" si="4"/>
        <v>0</v>
      </c>
      <c r="Z15"/>
    </row>
    <row r="16" spans="1:26" ht="12.75" customHeight="1" x14ac:dyDescent="0.25">
      <c r="A16" s="4"/>
      <c r="C16" s="81"/>
      <c r="D16" s="82"/>
      <c r="E16" s="82"/>
      <c r="F16" s="80"/>
      <c r="G16" s="2"/>
      <c r="H16" s="64">
        <f>IF($E16="Labour",Assumptions!$B$14,)</f>
        <v>0</v>
      </c>
      <c r="I16" s="9" t="str">
        <f t="shared" si="5"/>
        <v>$</v>
      </c>
      <c r="J16" s="2"/>
      <c r="K16" s="83"/>
      <c r="L16" s="83"/>
      <c r="M16" s="83"/>
      <c r="N16" s="83"/>
      <c r="O16" s="83"/>
      <c r="P16" s="2"/>
      <c r="Q16" s="5">
        <f t="shared" si="0"/>
        <v>0</v>
      </c>
      <c r="R16" s="5">
        <f t="shared" si="1"/>
        <v>0</v>
      </c>
      <c r="S16" s="5">
        <f t="shared" si="2"/>
        <v>0</v>
      </c>
      <c r="T16" s="5">
        <f t="shared" si="3"/>
        <v>0</v>
      </c>
      <c r="U16" s="5">
        <f t="shared" si="4"/>
        <v>0</v>
      </c>
      <c r="Z16"/>
    </row>
    <row r="17" spans="1:26" ht="12.75" customHeight="1" x14ac:dyDescent="0.25">
      <c r="A17" s="4"/>
      <c r="C17" s="81"/>
      <c r="D17" s="82"/>
      <c r="E17" s="82"/>
      <c r="F17" s="80"/>
      <c r="G17" s="2"/>
      <c r="H17" s="64">
        <f>IF($E17="Labour",Assumptions!$B$14,)</f>
        <v>0</v>
      </c>
      <c r="I17" s="9" t="str">
        <f t="shared" si="5"/>
        <v>$</v>
      </c>
      <c r="J17" s="2"/>
      <c r="K17" s="83"/>
      <c r="L17" s="83"/>
      <c r="M17" s="83"/>
      <c r="N17" s="83"/>
      <c r="O17" s="83"/>
      <c r="P17" s="2"/>
      <c r="Q17" s="5">
        <f t="shared" si="0"/>
        <v>0</v>
      </c>
      <c r="R17" s="5">
        <f t="shared" si="1"/>
        <v>0</v>
      </c>
      <c r="S17" s="5">
        <f t="shared" si="2"/>
        <v>0</v>
      </c>
      <c r="T17" s="5">
        <f t="shared" si="3"/>
        <v>0</v>
      </c>
      <c r="U17" s="5">
        <f t="shared" si="4"/>
        <v>0</v>
      </c>
      <c r="Z17"/>
    </row>
    <row r="18" spans="1:26" ht="12.75" customHeight="1" x14ac:dyDescent="0.25">
      <c r="A18" s="4"/>
      <c r="C18" s="81"/>
      <c r="D18" s="82"/>
      <c r="E18" s="82"/>
      <c r="F18" s="80"/>
      <c r="G18" s="2"/>
      <c r="H18" s="64">
        <f>IF($E18="Labour",Assumptions!$B$14,)</f>
        <v>0</v>
      </c>
      <c r="I18" s="9" t="str">
        <f t="shared" si="5"/>
        <v>$</v>
      </c>
      <c r="J18" s="2"/>
      <c r="K18" s="83"/>
      <c r="L18" s="83"/>
      <c r="M18" s="83"/>
      <c r="N18" s="83"/>
      <c r="O18" s="83"/>
      <c r="P18" s="2"/>
      <c r="Q18" s="5">
        <f t="shared" si="0"/>
        <v>0</v>
      </c>
      <c r="R18" s="5">
        <f t="shared" si="1"/>
        <v>0</v>
      </c>
      <c r="S18" s="5">
        <f t="shared" si="2"/>
        <v>0</v>
      </c>
      <c r="T18" s="5">
        <f t="shared" si="3"/>
        <v>0</v>
      </c>
      <c r="U18" s="5">
        <f t="shared" si="4"/>
        <v>0</v>
      </c>
      <c r="Z18"/>
    </row>
    <row r="19" spans="1:26" ht="12.75" customHeight="1" x14ac:dyDescent="0.25">
      <c r="A19" s="4"/>
      <c r="C19" s="81"/>
      <c r="D19" s="82"/>
      <c r="E19" s="82"/>
      <c r="F19" s="80"/>
      <c r="G19" s="2"/>
      <c r="H19" s="64">
        <f>IF($E19="Labour",Assumptions!$B$14,)</f>
        <v>0</v>
      </c>
      <c r="I19" s="9" t="str">
        <f t="shared" si="5"/>
        <v>$</v>
      </c>
      <c r="J19" s="2"/>
      <c r="K19" s="83"/>
      <c r="L19" s="83"/>
      <c r="M19" s="83"/>
      <c r="N19" s="83"/>
      <c r="O19" s="83"/>
      <c r="P19" s="2"/>
      <c r="Q19" s="5">
        <f t="shared" si="0"/>
        <v>0</v>
      </c>
      <c r="R19" s="5">
        <f t="shared" si="1"/>
        <v>0</v>
      </c>
      <c r="S19" s="5">
        <f t="shared" si="2"/>
        <v>0</v>
      </c>
      <c r="T19" s="5">
        <f t="shared" si="3"/>
        <v>0</v>
      </c>
      <c r="U19" s="5">
        <f t="shared" si="4"/>
        <v>0</v>
      </c>
      <c r="Z19"/>
    </row>
    <row r="20" spans="1:26" ht="12.75" customHeight="1" x14ac:dyDescent="0.25">
      <c r="A20" s="4"/>
      <c r="C20" s="81"/>
      <c r="D20" s="82"/>
      <c r="E20" s="82"/>
      <c r="F20" s="80"/>
      <c r="G20" s="2"/>
      <c r="H20" s="64">
        <f>IF($E20="Labour",Assumptions!$B$14,)</f>
        <v>0</v>
      </c>
      <c r="I20" s="9" t="str">
        <f t="shared" si="5"/>
        <v>$</v>
      </c>
      <c r="J20" s="2"/>
      <c r="K20" s="83"/>
      <c r="L20" s="83"/>
      <c r="M20" s="83"/>
      <c r="N20" s="83"/>
      <c r="O20" s="83"/>
      <c r="P20" s="2"/>
      <c r="Q20" s="5">
        <f t="shared" si="0"/>
        <v>0</v>
      </c>
      <c r="R20" s="5">
        <f t="shared" si="1"/>
        <v>0</v>
      </c>
      <c r="S20" s="5">
        <f t="shared" si="2"/>
        <v>0</v>
      </c>
      <c r="T20" s="5">
        <f t="shared" si="3"/>
        <v>0</v>
      </c>
      <c r="U20" s="5">
        <f t="shared" si="4"/>
        <v>0</v>
      </c>
      <c r="Z20"/>
    </row>
    <row r="21" spans="1:26" ht="12.75" customHeight="1" x14ac:dyDescent="0.25">
      <c r="A21" s="4"/>
      <c r="C21" s="81"/>
      <c r="D21" s="82"/>
      <c r="E21" s="82"/>
      <c r="F21" s="80"/>
      <c r="G21" s="2"/>
      <c r="H21" s="64">
        <f>IF($E21="Labour",Assumptions!$B$14,)</f>
        <v>0</v>
      </c>
      <c r="I21" s="9" t="str">
        <f t="shared" si="5"/>
        <v>$</v>
      </c>
      <c r="J21" s="2"/>
      <c r="K21" s="83"/>
      <c r="L21" s="83"/>
      <c r="M21" s="83"/>
      <c r="N21" s="83"/>
      <c r="O21" s="83"/>
      <c r="P21" s="2"/>
      <c r="Q21" s="5">
        <f t="shared" si="0"/>
        <v>0</v>
      </c>
      <c r="R21" s="5">
        <f t="shared" si="1"/>
        <v>0</v>
      </c>
      <c r="S21" s="5">
        <f t="shared" si="2"/>
        <v>0</v>
      </c>
      <c r="T21" s="5">
        <f t="shared" si="3"/>
        <v>0</v>
      </c>
      <c r="U21" s="5">
        <f t="shared" si="4"/>
        <v>0</v>
      </c>
      <c r="Z21"/>
    </row>
    <row r="22" spans="1:26" ht="12.75" customHeight="1" x14ac:dyDescent="0.25">
      <c r="A22" s="4"/>
      <c r="C22" s="81"/>
      <c r="D22" s="82"/>
      <c r="E22" s="82"/>
      <c r="F22" s="80"/>
      <c r="G22" s="2"/>
      <c r="H22" s="64">
        <f>IF($E22="Labour",Assumptions!$B$14,)</f>
        <v>0</v>
      </c>
      <c r="I22" s="9" t="str">
        <f t="shared" si="5"/>
        <v>$</v>
      </c>
      <c r="J22" s="2"/>
      <c r="K22" s="83"/>
      <c r="L22" s="83"/>
      <c r="M22" s="83"/>
      <c r="N22" s="83"/>
      <c r="O22" s="83"/>
      <c r="P22" s="2"/>
      <c r="Q22" s="5">
        <f t="shared" si="0"/>
        <v>0</v>
      </c>
      <c r="R22" s="5">
        <f t="shared" si="1"/>
        <v>0</v>
      </c>
      <c r="S22" s="5">
        <f t="shared" si="2"/>
        <v>0</v>
      </c>
      <c r="T22" s="5">
        <f t="shared" si="3"/>
        <v>0</v>
      </c>
      <c r="U22" s="5">
        <f t="shared" si="4"/>
        <v>0</v>
      </c>
      <c r="Z22"/>
    </row>
    <row r="23" spans="1:26" ht="12.75" customHeight="1" x14ac:dyDescent="0.25">
      <c r="A23" s="4"/>
      <c r="C23" s="81"/>
      <c r="D23" s="82"/>
      <c r="E23" s="82"/>
      <c r="F23" s="80"/>
      <c r="G23" s="2"/>
      <c r="H23" s="64">
        <f>IF($E23="Labour",Assumptions!$B$14,)</f>
        <v>0</v>
      </c>
      <c r="I23" s="9" t="str">
        <f t="shared" si="5"/>
        <v>$</v>
      </c>
      <c r="J23" s="2"/>
      <c r="K23" s="83"/>
      <c r="L23" s="83"/>
      <c r="M23" s="83"/>
      <c r="N23" s="83"/>
      <c r="O23" s="83"/>
      <c r="P23" s="2"/>
      <c r="Q23" s="5">
        <f t="shared" si="0"/>
        <v>0</v>
      </c>
      <c r="R23" s="5">
        <f t="shared" si="1"/>
        <v>0</v>
      </c>
      <c r="S23" s="5">
        <f t="shared" si="2"/>
        <v>0</v>
      </c>
      <c r="T23" s="5">
        <f t="shared" si="3"/>
        <v>0</v>
      </c>
      <c r="U23" s="5">
        <f t="shared" si="4"/>
        <v>0</v>
      </c>
      <c r="Z23"/>
    </row>
    <row r="24" spans="1:26" ht="12.75" customHeight="1" x14ac:dyDescent="0.25">
      <c r="A24" s="4"/>
      <c r="C24" s="81"/>
      <c r="D24" s="82"/>
      <c r="E24" s="82"/>
      <c r="F24" s="80"/>
      <c r="G24" s="2"/>
      <c r="H24" s="64">
        <f>IF($E24="Labour",Assumptions!$B$14,)</f>
        <v>0</v>
      </c>
      <c r="I24" s="9" t="str">
        <f t="shared" si="5"/>
        <v>$</v>
      </c>
      <c r="J24" s="2"/>
      <c r="K24" s="83"/>
      <c r="L24" s="83"/>
      <c r="M24" s="83"/>
      <c r="N24" s="83"/>
      <c r="O24" s="83"/>
      <c r="P24" s="2"/>
      <c r="Q24" s="5">
        <f t="shared" si="0"/>
        <v>0</v>
      </c>
      <c r="R24" s="5">
        <f t="shared" si="1"/>
        <v>0</v>
      </c>
      <c r="S24" s="5">
        <f t="shared" si="2"/>
        <v>0</v>
      </c>
      <c r="T24" s="5">
        <f t="shared" si="3"/>
        <v>0</v>
      </c>
      <c r="U24" s="5">
        <f t="shared" si="4"/>
        <v>0</v>
      </c>
      <c r="Z24"/>
    </row>
    <row r="25" spans="1:26" ht="12.75" customHeight="1" x14ac:dyDescent="0.25">
      <c r="A25" s="4"/>
      <c r="C25" s="81"/>
      <c r="D25" s="82"/>
      <c r="E25" s="82"/>
      <c r="F25" s="80"/>
      <c r="G25" s="2"/>
      <c r="H25" s="64">
        <f>IF($E25="Labour",Assumptions!$B$14,)</f>
        <v>0</v>
      </c>
      <c r="I25" s="9" t="str">
        <f t="shared" si="5"/>
        <v>$</v>
      </c>
      <c r="J25" s="2"/>
      <c r="K25" s="83"/>
      <c r="L25" s="83"/>
      <c r="M25" s="83"/>
      <c r="N25" s="83"/>
      <c r="O25" s="83"/>
      <c r="P25" s="2"/>
      <c r="Q25" s="5">
        <f t="shared" si="0"/>
        <v>0</v>
      </c>
      <c r="R25" s="5">
        <f t="shared" si="1"/>
        <v>0</v>
      </c>
      <c r="S25" s="5">
        <f t="shared" si="2"/>
        <v>0</v>
      </c>
      <c r="T25" s="5">
        <f t="shared" si="3"/>
        <v>0</v>
      </c>
      <c r="U25" s="5">
        <f t="shared" si="4"/>
        <v>0</v>
      </c>
      <c r="Z25"/>
    </row>
    <row r="26" spans="1:26" ht="12.75" customHeight="1" x14ac:dyDescent="0.25">
      <c r="A26" s="4"/>
      <c r="C26" s="81"/>
      <c r="D26" s="82"/>
      <c r="E26" s="82"/>
      <c r="F26" s="80"/>
      <c r="G26" s="2"/>
      <c r="H26" s="64">
        <f>IF($E26="Labour",Assumptions!$B$14,)</f>
        <v>0</v>
      </c>
      <c r="I26" s="9" t="str">
        <f t="shared" si="5"/>
        <v>$</v>
      </c>
      <c r="J26" s="2"/>
      <c r="K26" s="83"/>
      <c r="L26" s="83"/>
      <c r="M26" s="83"/>
      <c r="N26" s="83"/>
      <c r="O26" s="83"/>
      <c r="P26" s="2"/>
      <c r="Q26" s="5">
        <f t="shared" si="0"/>
        <v>0</v>
      </c>
      <c r="R26" s="5">
        <f t="shared" si="1"/>
        <v>0</v>
      </c>
      <c r="S26" s="5">
        <f t="shared" si="2"/>
        <v>0</v>
      </c>
      <c r="T26" s="5">
        <f t="shared" si="3"/>
        <v>0</v>
      </c>
      <c r="U26" s="5">
        <f t="shared" si="4"/>
        <v>0</v>
      </c>
      <c r="Z26"/>
    </row>
    <row r="27" spans="1:26" ht="12.75" customHeight="1" x14ac:dyDescent="0.25">
      <c r="A27" s="4"/>
      <c r="C27" s="81"/>
      <c r="D27" s="82"/>
      <c r="E27" s="82"/>
      <c r="F27" s="80"/>
      <c r="G27" s="2"/>
      <c r="H27" s="64">
        <f>IF($E27="Labour",Assumptions!$B$14,)</f>
        <v>0</v>
      </c>
      <c r="I27" s="9" t="str">
        <f t="shared" si="5"/>
        <v>$</v>
      </c>
      <c r="J27" s="2"/>
      <c r="K27" s="83"/>
      <c r="L27" s="83"/>
      <c r="M27" s="83"/>
      <c r="N27" s="83"/>
      <c r="O27" s="83"/>
      <c r="P27" s="2"/>
      <c r="Q27" s="5">
        <f t="shared" si="0"/>
        <v>0</v>
      </c>
      <c r="R27" s="5">
        <f t="shared" si="1"/>
        <v>0</v>
      </c>
      <c r="S27" s="5">
        <f t="shared" si="2"/>
        <v>0</v>
      </c>
      <c r="T27" s="5">
        <f t="shared" si="3"/>
        <v>0</v>
      </c>
      <c r="U27" s="5">
        <f t="shared" si="4"/>
        <v>0</v>
      </c>
      <c r="Z27"/>
    </row>
    <row r="28" spans="1:26" ht="12.75" customHeight="1" x14ac:dyDescent="0.25">
      <c r="A28" s="4"/>
      <c r="C28" s="81"/>
      <c r="D28" s="82"/>
      <c r="E28" s="82"/>
      <c r="F28" s="80"/>
      <c r="G28" s="2"/>
      <c r="H28" s="64">
        <f>IF($E28="Labour",Assumptions!$B$14,)</f>
        <v>0</v>
      </c>
      <c r="I28" s="9" t="str">
        <f t="shared" si="5"/>
        <v>$</v>
      </c>
      <c r="J28" s="2"/>
      <c r="K28" s="83"/>
      <c r="L28" s="83"/>
      <c r="M28" s="83"/>
      <c r="N28" s="83"/>
      <c r="O28" s="83"/>
      <c r="P28" s="2"/>
      <c r="Q28" s="5">
        <f t="shared" si="0"/>
        <v>0</v>
      </c>
      <c r="R28" s="5">
        <f t="shared" si="1"/>
        <v>0</v>
      </c>
      <c r="S28" s="5">
        <f t="shared" si="2"/>
        <v>0</v>
      </c>
      <c r="T28" s="5">
        <f t="shared" si="3"/>
        <v>0</v>
      </c>
      <c r="U28" s="5">
        <f t="shared" si="4"/>
        <v>0</v>
      </c>
      <c r="Z28"/>
    </row>
    <row r="29" spans="1:26" ht="12.75" customHeight="1" x14ac:dyDescent="0.25">
      <c r="A29" s="4"/>
      <c r="C29" s="81"/>
      <c r="D29" s="82"/>
      <c r="E29" s="82"/>
      <c r="F29" s="80"/>
      <c r="G29" s="2"/>
      <c r="H29" s="64">
        <f>IF($E29="Labour",Assumptions!$B$14,)</f>
        <v>0</v>
      </c>
      <c r="I29" s="9" t="str">
        <f t="shared" si="5"/>
        <v>$</v>
      </c>
      <c r="J29" s="2"/>
      <c r="K29" s="83"/>
      <c r="L29" s="83"/>
      <c r="M29" s="83"/>
      <c r="N29" s="83"/>
      <c r="O29" s="83"/>
      <c r="P29" s="2"/>
      <c r="Q29" s="5">
        <f t="shared" si="0"/>
        <v>0</v>
      </c>
      <c r="R29" s="5">
        <f t="shared" si="1"/>
        <v>0</v>
      </c>
      <c r="S29" s="5">
        <f t="shared" si="2"/>
        <v>0</v>
      </c>
      <c r="T29" s="5">
        <f t="shared" si="3"/>
        <v>0</v>
      </c>
      <c r="U29" s="5">
        <f t="shared" si="4"/>
        <v>0</v>
      </c>
      <c r="Z29"/>
    </row>
    <row r="30" spans="1:26" ht="12.75" customHeight="1" x14ac:dyDescent="0.25">
      <c r="A30" s="4"/>
      <c r="C30" s="81"/>
      <c r="D30" s="82"/>
      <c r="E30" s="82"/>
      <c r="F30" s="80"/>
      <c r="G30" s="2"/>
      <c r="H30" s="64">
        <f>IF($E30="Labour",Assumptions!$B$14,)</f>
        <v>0</v>
      </c>
      <c r="I30" s="9" t="str">
        <f t="shared" si="5"/>
        <v>$</v>
      </c>
      <c r="J30" s="2"/>
      <c r="K30" s="83"/>
      <c r="L30" s="83"/>
      <c r="M30" s="83"/>
      <c r="N30" s="83"/>
      <c r="O30" s="83"/>
      <c r="P30" s="2"/>
      <c r="Q30" s="5">
        <f t="shared" si="0"/>
        <v>0</v>
      </c>
      <c r="R30" s="5">
        <f t="shared" si="1"/>
        <v>0</v>
      </c>
      <c r="S30" s="5">
        <f t="shared" si="2"/>
        <v>0</v>
      </c>
      <c r="T30" s="5">
        <f t="shared" si="3"/>
        <v>0</v>
      </c>
      <c r="U30" s="5">
        <f t="shared" si="4"/>
        <v>0</v>
      </c>
      <c r="Z30"/>
    </row>
    <row r="31" spans="1:26" ht="12.75" customHeight="1" x14ac:dyDescent="0.25">
      <c r="A31" s="4"/>
      <c r="C31" s="81"/>
      <c r="D31" s="82"/>
      <c r="E31" s="82"/>
      <c r="F31" s="80"/>
      <c r="G31" s="2"/>
      <c r="H31" s="64">
        <f>IF($E31="Labour",Assumptions!$B$14,)</f>
        <v>0</v>
      </c>
      <c r="I31" s="9" t="str">
        <f t="shared" si="5"/>
        <v>$</v>
      </c>
      <c r="J31" s="2"/>
      <c r="K31" s="83"/>
      <c r="L31" s="83"/>
      <c r="M31" s="83"/>
      <c r="N31" s="83"/>
      <c r="O31" s="83"/>
      <c r="P31" s="2"/>
      <c r="Q31" s="5">
        <f t="shared" si="0"/>
        <v>0</v>
      </c>
      <c r="R31" s="5">
        <f t="shared" si="1"/>
        <v>0</v>
      </c>
      <c r="S31" s="5">
        <f t="shared" si="2"/>
        <v>0</v>
      </c>
      <c r="T31" s="5">
        <f t="shared" si="3"/>
        <v>0</v>
      </c>
      <c r="U31" s="5">
        <f t="shared" si="4"/>
        <v>0</v>
      </c>
      <c r="Z31"/>
    </row>
    <row r="32" spans="1:26" ht="12.75" customHeight="1" x14ac:dyDescent="0.25">
      <c r="A32" s="4"/>
      <c r="C32" s="81"/>
      <c r="D32" s="82"/>
      <c r="E32" s="82"/>
      <c r="F32" s="80"/>
      <c r="G32" s="2"/>
      <c r="H32" s="64">
        <f>IF($E32="Labour",Assumptions!$B$14,)</f>
        <v>0</v>
      </c>
      <c r="I32" s="9" t="str">
        <f t="shared" si="5"/>
        <v>$</v>
      </c>
      <c r="J32" s="2"/>
      <c r="K32" s="83"/>
      <c r="L32" s="83"/>
      <c r="M32" s="83"/>
      <c r="N32" s="83"/>
      <c r="O32" s="83"/>
      <c r="P32" s="2"/>
      <c r="Q32" s="5">
        <f t="shared" si="0"/>
        <v>0</v>
      </c>
      <c r="R32" s="5">
        <f t="shared" si="1"/>
        <v>0</v>
      </c>
      <c r="S32" s="5">
        <f t="shared" si="2"/>
        <v>0</v>
      </c>
      <c r="T32" s="5">
        <f t="shared" si="3"/>
        <v>0</v>
      </c>
      <c r="U32" s="5">
        <f t="shared" si="4"/>
        <v>0</v>
      </c>
      <c r="Z32"/>
    </row>
    <row r="33" spans="1:26" ht="12.75" customHeight="1" x14ac:dyDescent="0.25">
      <c r="A33" s="4"/>
      <c r="C33" s="81"/>
      <c r="D33" s="82"/>
      <c r="E33" s="82"/>
      <c r="F33" s="80"/>
      <c r="G33" s="2"/>
      <c r="H33" s="64">
        <f>IF($E33="Labour",Assumptions!$B$14,)</f>
        <v>0</v>
      </c>
      <c r="I33" s="9" t="str">
        <f t="shared" si="5"/>
        <v>$</v>
      </c>
      <c r="J33" s="2"/>
      <c r="K33" s="83"/>
      <c r="L33" s="83"/>
      <c r="M33" s="83"/>
      <c r="N33" s="83"/>
      <c r="O33" s="83"/>
      <c r="P33" s="2"/>
      <c r="Q33" s="5">
        <f t="shared" si="0"/>
        <v>0</v>
      </c>
      <c r="R33" s="5">
        <f t="shared" si="1"/>
        <v>0</v>
      </c>
      <c r="S33" s="5">
        <f t="shared" si="2"/>
        <v>0</v>
      </c>
      <c r="T33" s="5">
        <f t="shared" si="3"/>
        <v>0</v>
      </c>
      <c r="U33" s="5">
        <f t="shared" si="4"/>
        <v>0</v>
      </c>
      <c r="Z33"/>
    </row>
    <row r="34" spans="1:26" ht="12.75" customHeight="1" x14ac:dyDescent="0.25">
      <c r="A34" s="4"/>
      <c r="C34" s="81"/>
      <c r="D34" s="82"/>
      <c r="E34" s="82"/>
      <c r="F34" s="80"/>
      <c r="G34" s="2"/>
      <c r="H34" s="64">
        <f>IF($E34="Labour",Assumptions!$B$14,)</f>
        <v>0</v>
      </c>
      <c r="I34" s="9" t="str">
        <f t="shared" si="5"/>
        <v>$</v>
      </c>
      <c r="J34" s="2"/>
      <c r="K34" s="83"/>
      <c r="L34" s="83"/>
      <c r="M34" s="83"/>
      <c r="N34" s="83"/>
      <c r="O34" s="83"/>
      <c r="P34" s="2"/>
      <c r="Q34" s="5">
        <f t="shared" si="0"/>
        <v>0</v>
      </c>
      <c r="R34" s="5">
        <f t="shared" si="1"/>
        <v>0</v>
      </c>
      <c r="S34" s="5">
        <f t="shared" si="2"/>
        <v>0</v>
      </c>
      <c r="T34" s="5">
        <f t="shared" si="3"/>
        <v>0</v>
      </c>
      <c r="U34" s="5">
        <f t="shared" si="4"/>
        <v>0</v>
      </c>
      <c r="Z34"/>
    </row>
    <row r="35" spans="1:26" ht="12.75" customHeight="1" x14ac:dyDescent="0.25">
      <c r="A35" s="4"/>
      <c r="C35" s="81"/>
      <c r="D35" s="82"/>
      <c r="E35" s="82"/>
      <c r="F35" s="80"/>
      <c r="G35" s="2"/>
      <c r="H35" s="64">
        <f>IF($E35="Labour",Assumptions!$B$14,)</f>
        <v>0</v>
      </c>
      <c r="I35" s="9" t="str">
        <f t="shared" si="5"/>
        <v>$</v>
      </c>
      <c r="J35" s="2"/>
      <c r="K35" s="83"/>
      <c r="L35" s="83"/>
      <c r="M35" s="83"/>
      <c r="N35" s="83"/>
      <c r="O35" s="83"/>
      <c r="P35" s="2"/>
      <c r="Q35" s="5">
        <f t="shared" si="0"/>
        <v>0</v>
      </c>
      <c r="R35" s="5">
        <f t="shared" si="1"/>
        <v>0</v>
      </c>
      <c r="S35" s="5">
        <f t="shared" si="2"/>
        <v>0</v>
      </c>
      <c r="T35" s="5">
        <f t="shared" si="3"/>
        <v>0</v>
      </c>
      <c r="U35" s="5">
        <f t="shared" si="4"/>
        <v>0</v>
      </c>
      <c r="Z35"/>
    </row>
    <row r="36" spans="1:26" ht="12.75" customHeight="1" x14ac:dyDescent="0.25">
      <c r="A36" s="4"/>
      <c r="C36" s="81"/>
      <c r="D36" s="82"/>
      <c r="E36" s="82"/>
      <c r="F36" s="80"/>
      <c r="G36" s="2"/>
      <c r="H36" s="64">
        <f>IF($E36="Labour",Assumptions!$B$14,)</f>
        <v>0</v>
      </c>
      <c r="I36" s="9" t="str">
        <f t="shared" si="5"/>
        <v>$</v>
      </c>
      <c r="J36" s="2"/>
      <c r="K36" s="83"/>
      <c r="L36" s="83"/>
      <c r="M36" s="83"/>
      <c r="N36" s="83"/>
      <c r="O36" s="83"/>
      <c r="P36" s="2"/>
      <c r="Q36" s="5">
        <f t="shared" si="0"/>
        <v>0</v>
      </c>
      <c r="R36" s="5">
        <f t="shared" si="1"/>
        <v>0</v>
      </c>
      <c r="S36" s="5">
        <f t="shared" si="2"/>
        <v>0</v>
      </c>
      <c r="T36" s="5">
        <f t="shared" si="3"/>
        <v>0</v>
      </c>
      <c r="U36" s="5">
        <f t="shared" si="4"/>
        <v>0</v>
      </c>
      <c r="Z36"/>
    </row>
    <row r="37" spans="1:26" ht="12.75" customHeight="1" x14ac:dyDescent="0.25">
      <c r="A37" s="4"/>
      <c r="C37" s="81"/>
      <c r="D37" s="82"/>
      <c r="E37" s="82"/>
      <c r="F37" s="80"/>
      <c r="G37" s="2"/>
      <c r="H37" s="64">
        <f>IF($E37="Labour",Assumptions!$B$14,)</f>
        <v>0</v>
      </c>
      <c r="I37" s="9" t="str">
        <f t="shared" si="5"/>
        <v>$</v>
      </c>
      <c r="J37" s="2"/>
      <c r="K37" s="83"/>
      <c r="L37" s="83"/>
      <c r="M37" s="83"/>
      <c r="N37" s="83"/>
      <c r="O37" s="83"/>
      <c r="P37" s="2"/>
      <c r="Q37" s="5">
        <f t="shared" si="0"/>
        <v>0</v>
      </c>
      <c r="R37" s="5">
        <f t="shared" si="1"/>
        <v>0</v>
      </c>
      <c r="S37" s="5">
        <f t="shared" si="2"/>
        <v>0</v>
      </c>
      <c r="T37" s="5">
        <f t="shared" si="3"/>
        <v>0</v>
      </c>
      <c r="U37" s="5">
        <f t="shared" si="4"/>
        <v>0</v>
      </c>
      <c r="Z37"/>
    </row>
    <row r="38" spans="1:26" ht="12.75" customHeight="1" x14ac:dyDescent="0.25">
      <c r="A38" s="4"/>
      <c r="C38" s="81"/>
      <c r="D38" s="82"/>
      <c r="E38" s="82"/>
      <c r="F38" s="80"/>
      <c r="G38" s="2"/>
      <c r="H38" s="64">
        <f>IF($E38="Labour",Assumptions!$B$14,)</f>
        <v>0</v>
      </c>
      <c r="I38" s="9" t="str">
        <f t="shared" si="5"/>
        <v>$</v>
      </c>
      <c r="J38" s="2"/>
      <c r="K38" s="83"/>
      <c r="L38" s="83"/>
      <c r="M38" s="83"/>
      <c r="N38" s="83"/>
      <c r="O38" s="83"/>
      <c r="P38" s="2"/>
      <c r="Q38" s="5">
        <f t="shared" si="0"/>
        <v>0</v>
      </c>
      <c r="R38" s="5">
        <f t="shared" si="1"/>
        <v>0</v>
      </c>
      <c r="S38" s="5">
        <f t="shared" si="2"/>
        <v>0</v>
      </c>
      <c r="T38" s="5">
        <f t="shared" si="3"/>
        <v>0</v>
      </c>
      <c r="U38" s="5">
        <f t="shared" si="4"/>
        <v>0</v>
      </c>
      <c r="Z38"/>
    </row>
    <row r="39" spans="1:26" ht="12.75" customHeight="1" x14ac:dyDescent="0.25">
      <c r="A39" s="4"/>
      <c r="C39" s="81"/>
      <c r="D39" s="82"/>
      <c r="E39" s="82"/>
      <c r="F39" s="80"/>
      <c r="G39" s="2"/>
      <c r="H39" s="64">
        <f>IF($E39="Labour",Assumptions!$B$14,)</f>
        <v>0</v>
      </c>
      <c r="I39" s="9" t="str">
        <f t="shared" si="5"/>
        <v>$</v>
      </c>
      <c r="J39" s="2"/>
      <c r="K39" s="83"/>
      <c r="L39" s="83"/>
      <c r="M39" s="83"/>
      <c r="N39" s="83"/>
      <c r="O39" s="83"/>
      <c r="P39" s="2"/>
      <c r="Q39" s="5">
        <f t="shared" si="0"/>
        <v>0</v>
      </c>
      <c r="R39" s="5">
        <f t="shared" si="1"/>
        <v>0</v>
      </c>
      <c r="S39" s="5">
        <f t="shared" si="2"/>
        <v>0</v>
      </c>
      <c r="T39" s="5">
        <f t="shared" si="3"/>
        <v>0</v>
      </c>
      <c r="U39" s="5">
        <f t="shared" si="4"/>
        <v>0</v>
      </c>
      <c r="Z39"/>
    </row>
    <row r="40" spans="1:26" ht="12.75" customHeight="1" x14ac:dyDescent="0.2">
      <c r="A40" s="4"/>
      <c r="C40" s="81"/>
      <c r="D40" s="82"/>
      <c r="E40" s="82"/>
      <c r="F40" s="80"/>
      <c r="H40" s="64">
        <f>IF($E40="Labour",Assumptions!$B$14,)</f>
        <v>0</v>
      </c>
      <c r="I40" s="9" t="str">
        <f t="shared" si="5"/>
        <v>$</v>
      </c>
      <c r="K40" s="83"/>
      <c r="L40" s="83"/>
      <c r="M40" s="83"/>
      <c r="N40" s="83"/>
      <c r="O40" s="83"/>
      <c r="Q40" s="5">
        <f t="shared" si="0"/>
        <v>0</v>
      </c>
      <c r="R40" s="5">
        <f t="shared" si="1"/>
        <v>0</v>
      </c>
      <c r="S40" s="5">
        <f t="shared" si="2"/>
        <v>0</v>
      </c>
      <c r="T40" s="5">
        <f t="shared" si="3"/>
        <v>0</v>
      </c>
      <c r="U40" s="5">
        <f t="shared" si="4"/>
        <v>0</v>
      </c>
    </row>
    <row r="41" spans="1:26" ht="12.75" customHeight="1" x14ac:dyDescent="0.2">
      <c r="A41" s="4"/>
      <c r="C41" s="81"/>
      <c r="D41" s="82"/>
      <c r="E41" s="82"/>
      <c r="F41" s="80"/>
      <c r="H41" s="64">
        <f>IF($E41="Labour",Assumptions!$B$14,)</f>
        <v>0</v>
      </c>
      <c r="I41" s="9" t="str">
        <f t="shared" si="5"/>
        <v>$</v>
      </c>
      <c r="K41" s="83"/>
      <c r="L41" s="83"/>
      <c r="M41" s="83"/>
      <c r="N41" s="83"/>
      <c r="O41" s="83"/>
      <c r="Q41" s="5">
        <f t="shared" si="0"/>
        <v>0</v>
      </c>
      <c r="R41" s="5">
        <f t="shared" si="1"/>
        <v>0</v>
      </c>
      <c r="S41" s="5">
        <f t="shared" si="2"/>
        <v>0</v>
      </c>
      <c r="T41" s="5">
        <f t="shared" si="3"/>
        <v>0</v>
      </c>
      <c r="U41" s="5">
        <f t="shared" si="4"/>
        <v>0</v>
      </c>
    </row>
    <row r="42" spans="1:26" ht="12.75" customHeight="1" x14ac:dyDescent="0.2">
      <c r="A42" s="4"/>
      <c r="C42" s="81"/>
      <c r="D42" s="82"/>
      <c r="E42" s="82"/>
      <c r="F42" s="80"/>
      <c r="H42" s="64">
        <f>IF($E42="Labour",Assumptions!$B$14,)</f>
        <v>0</v>
      </c>
      <c r="I42" s="9" t="str">
        <f t="shared" si="5"/>
        <v>$</v>
      </c>
      <c r="K42" s="83"/>
      <c r="L42" s="83"/>
      <c r="M42" s="83"/>
      <c r="N42" s="83"/>
      <c r="O42" s="83"/>
      <c r="Q42" s="5">
        <f t="shared" ref="Q42:Q64" si="6">IF($E42="Labour",$H42*K42,K42)</f>
        <v>0</v>
      </c>
      <c r="R42" s="5">
        <f t="shared" ref="R42:R64" si="7">IF($E42="Labour",$H42*L42,L42)</f>
        <v>0</v>
      </c>
      <c r="S42" s="5">
        <f t="shared" ref="S42:S64" si="8">IF($E42="Labour",$H42*M42,M42)</f>
        <v>0</v>
      </c>
      <c r="T42" s="5">
        <f t="shared" ref="T42:T64" si="9">IF($E42="Labour",$H42*N42,N42)</f>
        <v>0</v>
      </c>
      <c r="U42" s="5">
        <f t="shared" ref="U42:U64" si="10">IF($E42="Labour",$H42*O42,O42)</f>
        <v>0</v>
      </c>
    </row>
    <row r="43" spans="1:26" ht="12.75" customHeight="1" x14ac:dyDescent="0.2">
      <c r="A43" s="4"/>
      <c r="C43" s="81"/>
      <c r="D43" s="82"/>
      <c r="E43" s="82"/>
      <c r="F43" s="80"/>
      <c r="H43" s="64">
        <f>IF($E43="Labour",Assumptions!$B$14,)</f>
        <v>0</v>
      </c>
      <c r="I43" s="9" t="str">
        <f t="shared" si="5"/>
        <v>$</v>
      </c>
      <c r="K43" s="83"/>
      <c r="L43" s="83"/>
      <c r="M43" s="83"/>
      <c r="N43" s="83"/>
      <c r="O43" s="83"/>
      <c r="Q43" s="5">
        <f t="shared" si="6"/>
        <v>0</v>
      </c>
      <c r="R43" s="5">
        <f t="shared" si="7"/>
        <v>0</v>
      </c>
      <c r="S43" s="5">
        <f t="shared" si="8"/>
        <v>0</v>
      </c>
      <c r="T43" s="5">
        <f t="shared" si="9"/>
        <v>0</v>
      </c>
      <c r="U43" s="5">
        <f t="shared" si="10"/>
        <v>0</v>
      </c>
    </row>
    <row r="44" spans="1:26" ht="12.75" customHeight="1" x14ac:dyDescent="0.2">
      <c r="A44" s="4"/>
      <c r="C44" s="81"/>
      <c r="D44" s="82"/>
      <c r="E44" s="82"/>
      <c r="F44" s="80"/>
      <c r="H44" s="64">
        <f>IF($E44="Labour",Assumptions!$B$14,)</f>
        <v>0</v>
      </c>
      <c r="I44" s="9" t="str">
        <f t="shared" si="5"/>
        <v>$</v>
      </c>
      <c r="K44" s="83"/>
      <c r="L44" s="83"/>
      <c r="M44" s="83"/>
      <c r="N44" s="83"/>
      <c r="O44" s="83"/>
      <c r="Q44" s="5">
        <f t="shared" si="6"/>
        <v>0</v>
      </c>
      <c r="R44" s="5">
        <f t="shared" si="7"/>
        <v>0</v>
      </c>
      <c r="S44" s="5">
        <f t="shared" si="8"/>
        <v>0</v>
      </c>
      <c r="T44" s="5">
        <f t="shared" si="9"/>
        <v>0</v>
      </c>
      <c r="U44" s="5">
        <f t="shared" si="10"/>
        <v>0</v>
      </c>
    </row>
    <row r="45" spans="1:26" ht="12.75" customHeight="1" x14ac:dyDescent="0.2">
      <c r="A45" s="4"/>
      <c r="C45" s="81"/>
      <c r="D45" s="82"/>
      <c r="E45" s="82"/>
      <c r="F45" s="80"/>
      <c r="H45" s="64">
        <f>IF($E45="Labour",Assumptions!$B$14,)</f>
        <v>0</v>
      </c>
      <c r="I45" s="9" t="str">
        <f t="shared" si="5"/>
        <v>$</v>
      </c>
      <c r="K45" s="83"/>
      <c r="L45" s="83"/>
      <c r="M45" s="83"/>
      <c r="N45" s="83"/>
      <c r="O45" s="83"/>
      <c r="Q45" s="5">
        <f t="shared" si="6"/>
        <v>0</v>
      </c>
      <c r="R45" s="5">
        <f t="shared" si="7"/>
        <v>0</v>
      </c>
      <c r="S45" s="5">
        <f t="shared" si="8"/>
        <v>0</v>
      </c>
      <c r="T45" s="5">
        <f t="shared" si="9"/>
        <v>0</v>
      </c>
      <c r="U45" s="5">
        <f t="shared" si="10"/>
        <v>0</v>
      </c>
    </row>
    <row r="46" spans="1:26" ht="12.75" customHeight="1" x14ac:dyDescent="0.2">
      <c r="A46" s="4"/>
      <c r="C46" s="81"/>
      <c r="D46" s="82"/>
      <c r="E46" s="82"/>
      <c r="F46" s="80"/>
      <c r="H46" s="64">
        <f>IF($E46="Labour",Assumptions!$B$14,)</f>
        <v>0</v>
      </c>
      <c r="I46" s="9" t="str">
        <f t="shared" si="5"/>
        <v>$</v>
      </c>
      <c r="K46" s="83"/>
      <c r="L46" s="83"/>
      <c r="M46" s="83"/>
      <c r="N46" s="83"/>
      <c r="O46" s="83"/>
      <c r="Q46" s="5">
        <f t="shared" si="6"/>
        <v>0</v>
      </c>
      <c r="R46" s="5">
        <f t="shared" si="7"/>
        <v>0</v>
      </c>
      <c r="S46" s="5">
        <f t="shared" si="8"/>
        <v>0</v>
      </c>
      <c r="T46" s="5">
        <f t="shared" si="9"/>
        <v>0</v>
      </c>
      <c r="U46" s="5">
        <f t="shared" si="10"/>
        <v>0</v>
      </c>
    </row>
    <row r="47" spans="1:26" ht="12.75" customHeight="1" x14ac:dyDescent="0.2">
      <c r="A47" s="4"/>
      <c r="C47" s="81"/>
      <c r="D47" s="82"/>
      <c r="E47" s="82"/>
      <c r="F47" s="80"/>
      <c r="H47" s="64">
        <f>IF($E47="Labour",Assumptions!$B$14,)</f>
        <v>0</v>
      </c>
      <c r="I47" s="9" t="str">
        <f t="shared" si="5"/>
        <v>$</v>
      </c>
      <c r="K47" s="83"/>
      <c r="L47" s="83"/>
      <c r="M47" s="83"/>
      <c r="N47" s="83"/>
      <c r="O47" s="83"/>
      <c r="Q47" s="5">
        <f t="shared" si="6"/>
        <v>0</v>
      </c>
      <c r="R47" s="5">
        <f t="shared" si="7"/>
        <v>0</v>
      </c>
      <c r="S47" s="5">
        <f t="shared" si="8"/>
        <v>0</v>
      </c>
      <c r="T47" s="5">
        <f t="shared" si="9"/>
        <v>0</v>
      </c>
      <c r="U47" s="5">
        <f t="shared" si="10"/>
        <v>0</v>
      </c>
    </row>
    <row r="48" spans="1:26" ht="12.75" customHeight="1" x14ac:dyDescent="0.2">
      <c r="A48" s="4"/>
      <c r="C48" s="81"/>
      <c r="D48" s="82"/>
      <c r="E48" s="82"/>
      <c r="F48" s="80"/>
      <c r="H48" s="64">
        <f>IF($E48="Labour",Assumptions!$B$14,)</f>
        <v>0</v>
      </c>
      <c r="I48" s="9" t="str">
        <f t="shared" si="5"/>
        <v>$</v>
      </c>
      <c r="K48" s="83"/>
      <c r="L48" s="83"/>
      <c r="M48" s="83"/>
      <c r="N48" s="83"/>
      <c r="O48" s="83"/>
      <c r="Q48" s="5">
        <f t="shared" si="6"/>
        <v>0</v>
      </c>
      <c r="R48" s="5">
        <f t="shared" si="7"/>
        <v>0</v>
      </c>
      <c r="S48" s="5">
        <f t="shared" si="8"/>
        <v>0</v>
      </c>
      <c r="T48" s="5">
        <f t="shared" si="9"/>
        <v>0</v>
      </c>
      <c r="U48" s="5">
        <f t="shared" si="10"/>
        <v>0</v>
      </c>
    </row>
    <row r="49" spans="1:22" ht="12.75" customHeight="1" x14ac:dyDescent="0.2">
      <c r="A49" s="4"/>
      <c r="C49" s="81"/>
      <c r="D49" s="82"/>
      <c r="E49" s="82"/>
      <c r="F49" s="80"/>
      <c r="H49" s="64">
        <f>IF($E49="Labour",Assumptions!$B$14,)</f>
        <v>0</v>
      </c>
      <c r="I49" s="9" t="str">
        <f t="shared" si="5"/>
        <v>$</v>
      </c>
      <c r="K49" s="83"/>
      <c r="L49" s="83"/>
      <c r="M49" s="83"/>
      <c r="N49" s="83"/>
      <c r="O49" s="83"/>
      <c r="Q49" s="5">
        <f t="shared" si="6"/>
        <v>0</v>
      </c>
      <c r="R49" s="5">
        <f t="shared" si="7"/>
        <v>0</v>
      </c>
      <c r="S49" s="5">
        <f t="shared" si="8"/>
        <v>0</v>
      </c>
      <c r="T49" s="5">
        <f t="shared" si="9"/>
        <v>0</v>
      </c>
      <c r="U49" s="5">
        <f t="shared" si="10"/>
        <v>0</v>
      </c>
    </row>
    <row r="50" spans="1:22" ht="12.75" customHeight="1" x14ac:dyDescent="0.2">
      <c r="A50" s="4"/>
      <c r="C50" s="81"/>
      <c r="D50" s="82"/>
      <c r="E50" s="82"/>
      <c r="F50" s="80"/>
      <c r="H50" s="64">
        <f>IF($E50="Labour",Assumptions!$B$14,)</f>
        <v>0</v>
      </c>
      <c r="I50" s="9" t="str">
        <f t="shared" si="5"/>
        <v>$</v>
      </c>
      <c r="K50" s="83"/>
      <c r="L50" s="83"/>
      <c r="M50" s="83"/>
      <c r="N50" s="83"/>
      <c r="O50" s="83"/>
      <c r="Q50" s="5">
        <f t="shared" si="6"/>
        <v>0</v>
      </c>
      <c r="R50" s="5">
        <f t="shared" si="7"/>
        <v>0</v>
      </c>
      <c r="S50" s="5">
        <f t="shared" si="8"/>
        <v>0</v>
      </c>
      <c r="T50" s="5">
        <f t="shared" si="9"/>
        <v>0</v>
      </c>
      <c r="U50" s="5">
        <f t="shared" si="10"/>
        <v>0</v>
      </c>
    </row>
    <row r="51" spans="1:22" ht="12.75" customHeight="1" x14ac:dyDescent="0.2">
      <c r="A51" s="4"/>
      <c r="C51" s="81"/>
      <c r="D51" s="82"/>
      <c r="E51" s="82"/>
      <c r="F51" s="80"/>
      <c r="H51" s="64">
        <f>IF($E51="Labour",Assumptions!$B$14,)</f>
        <v>0</v>
      </c>
      <c r="I51" s="9" t="str">
        <f t="shared" si="5"/>
        <v>$</v>
      </c>
      <c r="K51" s="83"/>
      <c r="L51" s="83"/>
      <c r="M51" s="83"/>
      <c r="N51" s="83"/>
      <c r="O51" s="83"/>
      <c r="Q51" s="5">
        <f t="shared" si="6"/>
        <v>0</v>
      </c>
      <c r="R51" s="5">
        <f t="shared" si="7"/>
        <v>0</v>
      </c>
      <c r="S51" s="5">
        <f t="shared" si="8"/>
        <v>0</v>
      </c>
      <c r="T51" s="5">
        <f t="shared" si="9"/>
        <v>0</v>
      </c>
      <c r="U51" s="5">
        <f t="shared" si="10"/>
        <v>0</v>
      </c>
    </row>
    <row r="52" spans="1:22" ht="12.75" customHeight="1" x14ac:dyDescent="0.2">
      <c r="A52" s="4"/>
      <c r="C52" s="81"/>
      <c r="D52" s="82"/>
      <c r="E52" s="82"/>
      <c r="F52" s="80"/>
      <c r="H52" s="64">
        <f>IF($E52="Labour",Assumptions!$B$14,)</f>
        <v>0</v>
      </c>
      <c r="I52" s="9" t="str">
        <f t="shared" si="5"/>
        <v>$</v>
      </c>
      <c r="K52" s="83"/>
      <c r="L52" s="83"/>
      <c r="M52" s="83"/>
      <c r="N52" s="83"/>
      <c r="O52" s="83"/>
      <c r="Q52" s="5">
        <f t="shared" si="6"/>
        <v>0</v>
      </c>
      <c r="R52" s="5">
        <f t="shared" si="7"/>
        <v>0</v>
      </c>
      <c r="S52" s="5">
        <f t="shared" si="8"/>
        <v>0</v>
      </c>
      <c r="T52" s="5">
        <f t="shared" si="9"/>
        <v>0</v>
      </c>
      <c r="U52" s="5">
        <f t="shared" si="10"/>
        <v>0</v>
      </c>
    </row>
    <row r="53" spans="1:22" ht="12.75" customHeight="1" x14ac:dyDescent="0.2">
      <c r="A53" s="4"/>
      <c r="C53" s="81"/>
      <c r="D53" s="82"/>
      <c r="E53" s="82"/>
      <c r="F53" s="80"/>
      <c r="H53" s="64">
        <f>IF($E53="Labour",Assumptions!$B$14,)</f>
        <v>0</v>
      </c>
      <c r="I53" s="9" t="str">
        <f t="shared" si="5"/>
        <v>$</v>
      </c>
      <c r="K53" s="83"/>
      <c r="L53" s="83"/>
      <c r="M53" s="83"/>
      <c r="N53" s="83"/>
      <c r="O53" s="83"/>
      <c r="Q53" s="5">
        <f t="shared" si="6"/>
        <v>0</v>
      </c>
      <c r="R53" s="5">
        <f t="shared" si="7"/>
        <v>0</v>
      </c>
      <c r="S53" s="5">
        <f t="shared" si="8"/>
        <v>0</v>
      </c>
      <c r="T53" s="5">
        <f t="shared" si="9"/>
        <v>0</v>
      </c>
      <c r="U53" s="5">
        <f t="shared" si="10"/>
        <v>0</v>
      </c>
    </row>
    <row r="54" spans="1:22" ht="12.75" customHeight="1" x14ac:dyDescent="0.2">
      <c r="A54" s="4"/>
      <c r="C54" s="81"/>
      <c r="D54" s="82"/>
      <c r="E54" s="82"/>
      <c r="F54" s="80"/>
      <c r="H54" s="64">
        <f>IF($E54="Labour",Assumptions!$B$14,)</f>
        <v>0</v>
      </c>
      <c r="I54" s="9" t="str">
        <f t="shared" si="5"/>
        <v>$</v>
      </c>
      <c r="K54" s="83"/>
      <c r="L54" s="83"/>
      <c r="M54" s="83"/>
      <c r="N54" s="83"/>
      <c r="O54" s="83"/>
      <c r="Q54" s="5">
        <f t="shared" si="6"/>
        <v>0</v>
      </c>
      <c r="R54" s="5">
        <f t="shared" si="7"/>
        <v>0</v>
      </c>
      <c r="S54" s="5">
        <f t="shared" si="8"/>
        <v>0</v>
      </c>
      <c r="T54" s="5">
        <f t="shared" si="9"/>
        <v>0</v>
      </c>
      <c r="U54" s="5">
        <f t="shared" si="10"/>
        <v>0</v>
      </c>
    </row>
    <row r="55" spans="1:22" ht="12.75" customHeight="1" x14ac:dyDescent="0.2">
      <c r="A55" s="4"/>
      <c r="C55" s="81"/>
      <c r="D55" s="82"/>
      <c r="E55" s="82"/>
      <c r="F55" s="80"/>
      <c r="H55" s="64">
        <f>IF($E55="Labour",Assumptions!$B$14,)</f>
        <v>0</v>
      </c>
      <c r="I55" s="9" t="str">
        <f t="shared" si="5"/>
        <v>$</v>
      </c>
      <c r="K55" s="83"/>
      <c r="L55" s="83"/>
      <c r="M55" s="83"/>
      <c r="N55" s="83"/>
      <c r="O55" s="83"/>
      <c r="Q55" s="5">
        <f t="shared" si="6"/>
        <v>0</v>
      </c>
      <c r="R55" s="5">
        <f t="shared" si="7"/>
        <v>0</v>
      </c>
      <c r="S55" s="5">
        <f t="shared" si="8"/>
        <v>0</v>
      </c>
      <c r="T55" s="5">
        <f t="shared" si="9"/>
        <v>0</v>
      </c>
      <c r="U55" s="5">
        <f t="shared" si="10"/>
        <v>0</v>
      </c>
    </row>
    <row r="56" spans="1:22" ht="12.75" customHeight="1" x14ac:dyDescent="0.2">
      <c r="A56" s="4"/>
      <c r="C56" s="81"/>
      <c r="D56" s="82"/>
      <c r="E56" s="82"/>
      <c r="F56" s="80"/>
      <c r="H56" s="64">
        <f>IF($E56="Labour",Assumptions!$B$14,)</f>
        <v>0</v>
      </c>
      <c r="I56" s="9" t="str">
        <f t="shared" si="5"/>
        <v>$</v>
      </c>
      <c r="K56" s="83"/>
      <c r="L56" s="83"/>
      <c r="M56" s="83"/>
      <c r="N56" s="83"/>
      <c r="O56" s="83"/>
      <c r="Q56" s="5">
        <f t="shared" si="6"/>
        <v>0</v>
      </c>
      <c r="R56" s="5">
        <f t="shared" si="7"/>
        <v>0</v>
      </c>
      <c r="S56" s="5">
        <f t="shared" si="8"/>
        <v>0</v>
      </c>
      <c r="T56" s="5">
        <f t="shared" si="9"/>
        <v>0</v>
      </c>
      <c r="U56" s="5">
        <f t="shared" si="10"/>
        <v>0</v>
      </c>
    </row>
    <row r="57" spans="1:22" ht="12.75" customHeight="1" x14ac:dyDescent="0.2">
      <c r="A57" s="4"/>
      <c r="C57" s="81"/>
      <c r="D57" s="82"/>
      <c r="E57" s="82"/>
      <c r="F57" s="80"/>
      <c r="H57" s="64">
        <f>IF($E57="Labour",Assumptions!$B$14,)</f>
        <v>0</v>
      </c>
      <c r="I57" s="9" t="str">
        <f t="shared" si="5"/>
        <v>$</v>
      </c>
      <c r="K57" s="83"/>
      <c r="L57" s="83"/>
      <c r="M57" s="83"/>
      <c r="N57" s="83"/>
      <c r="O57" s="83"/>
      <c r="Q57" s="5">
        <f t="shared" si="6"/>
        <v>0</v>
      </c>
      <c r="R57" s="5">
        <f t="shared" si="7"/>
        <v>0</v>
      </c>
      <c r="S57" s="5">
        <f t="shared" si="8"/>
        <v>0</v>
      </c>
      <c r="T57" s="5">
        <f t="shared" si="9"/>
        <v>0</v>
      </c>
      <c r="U57" s="5">
        <f t="shared" si="10"/>
        <v>0</v>
      </c>
    </row>
    <row r="58" spans="1:22" ht="12.75" customHeight="1" x14ac:dyDescent="0.2">
      <c r="A58" s="4"/>
      <c r="C58" s="81"/>
      <c r="D58" s="82"/>
      <c r="E58" s="82"/>
      <c r="F58" s="80"/>
      <c r="H58" s="64">
        <f>IF($E58="Labour",Assumptions!$B$14,)</f>
        <v>0</v>
      </c>
      <c r="I58" s="9" t="str">
        <f t="shared" si="5"/>
        <v>$</v>
      </c>
      <c r="K58" s="83"/>
      <c r="L58" s="83"/>
      <c r="M58" s="83"/>
      <c r="N58" s="83"/>
      <c r="O58" s="83"/>
      <c r="Q58" s="5">
        <f t="shared" si="6"/>
        <v>0</v>
      </c>
      <c r="R58" s="5">
        <f t="shared" si="7"/>
        <v>0</v>
      </c>
      <c r="S58" s="5">
        <f t="shared" si="8"/>
        <v>0</v>
      </c>
      <c r="T58" s="5">
        <f t="shared" si="9"/>
        <v>0</v>
      </c>
      <c r="U58" s="5">
        <f t="shared" si="10"/>
        <v>0</v>
      </c>
    </row>
    <row r="59" spans="1:22" ht="12.75" customHeight="1" x14ac:dyDescent="0.2">
      <c r="A59" s="4"/>
      <c r="C59" s="81"/>
      <c r="D59" s="82"/>
      <c r="E59" s="82"/>
      <c r="F59" s="80"/>
      <c r="H59" s="64">
        <f>IF($E59="Labour",Assumptions!$B$14,)</f>
        <v>0</v>
      </c>
      <c r="I59" s="9" t="str">
        <f t="shared" si="5"/>
        <v>$</v>
      </c>
      <c r="K59" s="83"/>
      <c r="L59" s="83"/>
      <c r="M59" s="83"/>
      <c r="N59" s="83"/>
      <c r="O59" s="83"/>
      <c r="Q59" s="5">
        <f t="shared" si="6"/>
        <v>0</v>
      </c>
      <c r="R59" s="5">
        <f t="shared" si="7"/>
        <v>0</v>
      </c>
      <c r="S59" s="5">
        <f t="shared" si="8"/>
        <v>0</v>
      </c>
      <c r="T59" s="5">
        <f t="shared" si="9"/>
        <v>0</v>
      </c>
      <c r="U59" s="5">
        <f t="shared" si="10"/>
        <v>0</v>
      </c>
    </row>
    <row r="60" spans="1:22" ht="12.75" customHeight="1" x14ac:dyDescent="0.2">
      <c r="A60" s="4"/>
      <c r="C60" s="81"/>
      <c r="D60" s="82"/>
      <c r="E60" s="82"/>
      <c r="F60" s="80"/>
      <c r="H60" s="64">
        <f>IF($E60="Labour",Assumptions!$B$14,)</f>
        <v>0</v>
      </c>
      <c r="I60" s="9" t="str">
        <f t="shared" si="5"/>
        <v>$</v>
      </c>
      <c r="K60" s="83"/>
      <c r="L60" s="83"/>
      <c r="M60" s="83"/>
      <c r="N60" s="83"/>
      <c r="O60" s="83"/>
      <c r="Q60" s="5">
        <f t="shared" si="6"/>
        <v>0</v>
      </c>
      <c r="R60" s="5">
        <f t="shared" si="7"/>
        <v>0</v>
      </c>
      <c r="S60" s="5">
        <f t="shared" si="8"/>
        <v>0</v>
      </c>
      <c r="T60" s="5">
        <f t="shared" si="9"/>
        <v>0</v>
      </c>
      <c r="U60" s="5">
        <f t="shared" si="10"/>
        <v>0</v>
      </c>
    </row>
    <row r="61" spans="1:22" ht="12.75" customHeight="1" x14ac:dyDescent="0.2">
      <c r="A61" s="4"/>
      <c r="C61" s="81"/>
      <c r="D61" s="82"/>
      <c r="E61" s="82"/>
      <c r="F61" s="80"/>
      <c r="H61" s="64">
        <f>IF($E61="Labour",Assumptions!$B$14,)</f>
        <v>0</v>
      </c>
      <c r="I61" s="9" t="str">
        <f t="shared" si="5"/>
        <v>$</v>
      </c>
      <c r="K61" s="83"/>
      <c r="L61" s="83"/>
      <c r="M61" s="83"/>
      <c r="N61" s="83"/>
      <c r="O61" s="83"/>
      <c r="Q61" s="5">
        <f t="shared" si="6"/>
        <v>0</v>
      </c>
      <c r="R61" s="5">
        <f t="shared" si="7"/>
        <v>0</v>
      </c>
      <c r="S61" s="5">
        <f t="shared" si="8"/>
        <v>0</v>
      </c>
      <c r="T61" s="5">
        <f t="shared" si="9"/>
        <v>0</v>
      </c>
      <c r="U61" s="5">
        <f t="shared" si="10"/>
        <v>0</v>
      </c>
    </row>
    <row r="62" spans="1:22" ht="12.75" customHeight="1" x14ac:dyDescent="0.2">
      <c r="A62" s="4"/>
      <c r="C62" s="81"/>
      <c r="D62" s="82"/>
      <c r="E62" s="82"/>
      <c r="F62" s="80"/>
      <c r="H62" s="64">
        <f>IF($E62="Labour",Assumptions!$B$14,)</f>
        <v>0</v>
      </c>
      <c r="I62" s="9" t="str">
        <f t="shared" si="5"/>
        <v>$</v>
      </c>
      <c r="K62" s="83"/>
      <c r="L62" s="83"/>
      <c r="M62" s="83"/>
      <c r="N62" s="83"/>
      <c r="O62" s="83"/>
      <c r="Q62" s="5">
        <f t="shared" si="6"/>
        <v>0</v>
      </c>
      <c r="R62" s="5">
        <f t="shared" si="7"/>
        <v>0</v>
      </c>
      <c r="S62" s="5">
        <f t="shared" si="8"/>
        <v>0</v>
      </c>
      <c r="T62" s="5">
        <f t="shared" si="9"/>
        <v>0</v>
      </c>
      <c r="U62" s="5">
        <f t="shared" si="10"/>
        <v>0</v>
      </c>
    </row>
    <row r="63" spans="1:22" ht="12.75" customHeight="1" x14ac:dyDescent="0.2">
      <c r="A63" s="4"/>
      <c r="C63" s="81"/>
      <c r="D63" s="82"/>
      <c r="E63" s="82"/>
      <c r="F63" s="80"/>
      <c r="H63" s="64">
        <f>IF($E63="Labour",Assumptions!$B$14,)</f>
        <v>0</v>
      </c>
      <c r="I63" s="9" t="str">
        <f t="shared" si="5"/>
        <v>$</v>
      </c>
      <c r="K63" s="83"/>
      <c r="L63" s="83"/>
      <c r="M63" s="83"/>
      <c r="N63" s="83"/>
      <c r="O63" s="83"/>
      <c r="Q63" s="5">
        <f t="shared" si="6"/>
        <v>0</v>
      </c>
      <c r="R63" s="5">
        <f t="shared" si="7"/>
        <v>0</v>
      </c>
      <c r="S63" s="5">
        <f t="shared" si="8"/>
        <v>0</v>
      </c>
      <c r="T63" s="5">
        <f t="shared" si="9"/>
        <v>0</v>
      </c>
      <c r="U63" s="5">
        <f t="shared" si="10"/>
        <v>0</v>
      </c>
    </row>
    <row r="64" spans="1:22" ht="12.75" customHeight="1" x14ac:dyDescent="0.2">
      <c r="A64" s="4"/>
      <c r="C64" s="81"/>
      <c r="D64" s="82"/>
      <c r="E64" s="82"/>
      <c r="F64" s="80"/>
      <c r="H64" s="64">
        <f>IF($E64="Labour",Assumptions!$B$14,)</f>
        <v>0</v>
      </c>
      <c r="I64" s="9" t="str">
        <f t="shared" si="5"/>
        <v>$</v>
      </c>
      <c r="K64" s="83"/>
      <c r="L64" s="83"/>
      <c r="M64" s="83"/>
      <c r="N64" s="83"/>
      <c r="O64" s="83"/>
      <c r="Q64" s="5">
        <f t="shared" si="6"/>
        <v>0</v>
      </c>
      <c r="R64" s="5">
        <f t="shared" si="7"/>
        <v>0</v>
      </c>
      <c r="S64" s="5">
        <f t="shared" si="8"/>
        <v>0</v>
      </c>
      <c r="T64" s="5">
        <f t="shared" si="9"/>
        <v>0</v>
      </c>
      <c r="U64" s="5">
        <f t="shared" si="10"/>
        <v>0</v>
      </c>
      <c r="V64" s="107"/>
    </row>
    <row r="65" spans="3:26" ht="12.75" customHeight="1" x14ac:dyDescent="0.25">
      <c r="G65" s="2"/>
      <c r="J65" s="2"/>
      <c r="P65" s="2"/>
      <c r="Z65"/>
    </row>
    <row r="66" spans="3:26" ht="12.75" customHeight="1" x14ac:dyDescent="0.25">
      <c r="G66" s="2"/>
      <c r="J66" s="2"/>
      <c r="P66" s="2"/>
      <c r="Z66"/>
    </row>
    <row r="67" spans="3:26" ht="12.75" customHeight="1" x14ac:dyDescent="0.25">
      <c r="C67" s="3" t="s">
        <v>68</v>
      </c>
      <c r="G67" s="2"/>
      <c r="J67" s="2"/>
      <c r="P67" s="2"/>
      <c r="Q67" s="69" t="s">
        <v>6</v>
      </c>
      <c r="R67" s="69" t="s">
        <v>7</v>
      </c>
      <c r="S67" s="69" t="s">
        <v>8</v>
      </c>
      <c r="T67" s="69" t="s">
        <v>9</v>
      </c>
      <c r="U67" s="69" t="s">
        <v>10</v>
      </c>
      <c r="V67" s="69" t="s">
        <v>0</v>
      </c>
      <c r="Z67"/>
    </row>
    <row r="68" spans="3:26" ht="12.75" customHeight="1" x14ac:dyDescent="0.2">
      <c r="C68" s="24" t="s">
        <v>11</v>
      </c>
      <c r="D68" s="24" t="s">
        <v>49</v>
      </c>
      <c r="E68" s="24"/>
      <c r="F68" s="24" t="s">
        <v>50</v>
      </c>
      <c r="G68" s="2"/>
      <c r="H68" s="66"/>
      <c r="I68" s="67"/>
      <c r="J68" s="2"/>
      <c r="K68" s="24"/>
      <c r="L68" s="24"/>
      <c r="M68" s="24"/>
      <c r="N68" s="24"/>
      <c r="O68" s="24"/>
      <c r="P68" s="2"/>
      <c r="Q68" s="25">
        <f t="shared" ref="Q68:U73" si="11">SUMIFS(Q$10:Q$64,$E$10:$E$64,$C68,$D$10:$D$64,$D68,$F$10:$F$64,$F68)</f>
        <v>0</v>
      </c>
      <c r="R68" s="25">
        <f t="shared" si="11"/>
        <v>0</v>
      </c>
      <c r="S68" s="25">
        <f t="shared" si="11"/>
        <v>0</v>
      </c>
      <c r="T68" s="25">
        <f t="shared" si="11"/>
        <v>0</v>
      </c>
      <c r="U68" s="25">
        <f t="shared" si="11"/>
        <v>0</v>
      </c>
      <c r="V68" s="71">
        <f>SUM(Q68:U68)</f>
        <v>0</v>
      </c>
    </row>
    <row r="69" spans="3:26" ht="12.75" customHeight="1" x14ac:dyDescent="0.2">
      <c r="C69" s="1" t="s">
        <v>13</v>
      </c>
      <c r="D69" s="1" t="s">
        <v>49</v>
      </c>
      <c r="F69" s="1" t="s">
        <v>50</v>
      </c>
      <c r="G69" s="2"/>
      <c r="H69" s="68"/>
      <c r="J69" s="2"/>
      <c r="P69" s="2"/>
      <c r="Q69" s="6">
        <f t="shared" si="11"/>
        <v>0</v>
      </c>
      <c r="R69" s="6">
        <f t="shared" si="11"/>
        <v>0</v>
      </c>
      <c r="S69" s="6">
        <f t="shared" si="11"/>
        <v>0</v>
      </c>
      <c r="T69" s="6">
        <f t="shared" si="11"/>
        <v>0</v>
      </c>
      <c r="U69" s="6">
        <f t="shared" si="11"/>
        <v>0</v>
      </c>
      <c r="V69" s="72">
        <f t="shared" ref="V69:V83" si="12">SUM(Q69:U69)</f>
        <v>0</v>
      </c>
    </row>
    <row r="70" spans="3:26" ht="12.75" customHeight="1" x14ac:dyDescent="0.2">
      <c r="C70" s="1" t="s">
        <v>14</v>
      </c>
      <c r="D70" s="1" t="s">
        <v>49</v>
      </c>
      <c r="F70" s="1" t="s">
        <v>50</v>
      </c>
      <c r="G70" s="2"/>
      <c r="H70" s="68"/>
      <c r="J70" s="2"/>
      <c r="P70" s="2"/>
      <c r="Q70" s="6">
        <f t="shared" si="11"/>
        <v>0</v>
      </c>
      <c r="R70" s="6">
        <f t="shared" si="11"/>
        <v>0</v>
      </c>
      <c r="S70" s="6">
        <f t="shared" si="11"/>
        <v>0</v>
      </c>
      <c r="T70" s="6">
        <f t="shared" si="11"/>
        <v>0</v>
      </c>
      <c r="U70" s="6">
        <f t="shared" si="11"/>
        <v>0</v>
      </c>
      <c r="V70" s="72">
        <f t="shared" si="12"/>
        <v>0</v>
      </c>
    </row>
    <row r="71" spans="3:26" ht="12.75" customHeight="1" x14ac:dyDescent="0.2">
      <c r="C71" s="1" t="s">
        <v>11</v>
      </c>
      <c r="D71" s="1" t="s">
        <v>49</v>
      </c>
      <c r="F71" s="1" t="s">
        <v>46</v>
      </c>
      <c r="G71" s="2"/>
      <c r="H71" s="68"/>
      <c r="J71" s="2"/>
      <c r="P71" s="2"/>
      <c r="Q71" s="6">
        <f t="shared" si="11"/>
        <v>0</v>
      </c>
      <c r="R71" s="6">
        <f t="shared" si="11"/>
        <v>0</v>
      </c>
      <c r="S71" s="6">
        <f t="shared" si="11"/>
        <v>0</v>
      </c>
      <c r="T71" s="6">
        <f t="shared" si="11"/>
        <v>0</v>
      </c>
      <c r="U71" s="6">
        <f t="shared" si="11"/>
        <v>0</v>
      </c>
      <c r="V71" s="72">
        <f t="shared" ref="V71:V73" si="13">SUM(Q71:U71)</f>
        <v>0</v>
      </c>
    </row>
    <row r="72" spans="3:26" ht="12.75" customHeight="1" x14ac:dyDescent="0.2">
      <c r="C72" s="1" t="s">
        <v>13</v>
      </c>
      <c r="D72" s="1" t="s">
        <v>49</v>
      </c>
      <c r="F72" s="1" t="s">
        <v>46</v>
      </c>
      <c r="G72" s="2"/>
      <c r="H72" s="68"/>
      <c r="J72" s="2"/>
      <c r="P72" s="2"/>
      <c r="Q72" s="6">
        <f t="shared" si="11"/>
        <v>0</v>
      </c>
      <c r="R72" s="6">
        <f t="shared" si="11"/>
        <v>0</v>
      </c>
      <c r="S72" s="6">
        <f t="shared" si="11"/>
        <v>0</v>
      </c>
      <c r="T72" s="6">
        <f t="shared" si="11"/>
        <v>0</v>
      </c>
      <c r="U72" s="6">
        <f t="shared" si="11"/>
        <v>0</v>
      </c>
      <c r="V72" s="72">
        <f t="shared" si="13"/>
        <v>0</v>
      </c>
    </row>
    <row r="73" spans="3:26" ht="12.75" customHeight="1" x14ac:dyDescent="0.2">
      <c r="C73" s="1" t="s">
        <v>14</v>
      </c>
      <c r="D73" s="1" t="s">
        <v>49</v>
      </c>
      <c r="F73" s="1" t="s">
        <v>46</v>
      </c>
      <c r="G73" s="2"/>
      <c r="H73" s="68"/>
      <c r="J73" s="2"/>
      <c r="P73" s="2"/>
      <c r="Q73" s="6">
        <f t="shared" si="11"/>
        <v>0</v>
      </c>
      <c r="R73" s="6">
        <f t="shared" si="11"/>
        <v>0</v>
      </c>
      <c r="S73" s="6">
        <f t="shared" si="11"/>
        <v>0</v>
      </c>
      <c r="T73" s="6">
        <f t="shared" si="11"/>
        <v>0</v>
      </c>
      <c r="U73" s="6">
        <f t="shared" si="11"/>
        <v>0</v>
      </c>
      <c r="V73" s="72">
        <f t="shared" si="13"/>
        <v>0</v>
      </c>
    </row>
    <row r="74" spans="3:26" ht="12.75" customHeight="1" x14ac:dyDescent="0.2">
      <c r="C74" s="21" t="s">
        <v>15</v>
      </c>
      <c r="D74" s="21" t="s">
        <v>49</v>
      </c>
      <c r="E74" s="102"/>
      <c r="F74" s="103"/>
      <c r="G74" s="2"/>
      <c r="H74" s="103"/>
      <c r="I74" s="105"/>
      <c r="J74" s="104"/>
      <c r="K74" s="102"/>
      <c r="L74" s="102"/>
      <c r="M74" s="102"/>
      <c r="N74" s="102"/>
      <c r="O74" s="102"/>
      <c r="P74" s="2"/>
      <c r="Q74" s="22">
        <f>SUM(Q68:Q73)</f>
        <v>0</v>
      </c>
      <c r="R74" s="22">
        <f t="shared" ref="R74:U74" si="14">SUM(R68:R73)</f>
        <v>0</v>
      </c>
      <c r="S74" s="22">
        <f t="shared" si="14"/>
        <v>0</v>
      </c>
      <c r="T74" s="22">
        <f t="shared" si="14"/>
        <v>0</v>
      </c>
      <c r="U74" s="22">
        <f t="shared" si="14"/>
        <v>0</v>
      </c>
      <c r="V74" s="22">
        <f>SUM(V68:V73)</f>
        <v>0</v>
      </c>
    </row>
    <row r="75" spans="3:26" ht="12.75" customHeight="1" x14ac:dyDescent="0.2">
      <c r="C75" s="1" t="s">
        <v>11</v>
      </c>
      <c r="D75" s="1" t="s">
        <v>45</v>
      </c>
      <c r="F75" s="1" t="s">
        <v>50</v>
      </c>
      <c r="G75" s="2"/>
      <c r="H75" s="68"/>
      <c r="J75" s="2"/>
      <c r="P75" s="2"/>
      <c r="Q75" s="6">
        <f t="shared" ref="Q75:U80" si="15">SUMIFS(Q$10:Q$64,$E$10:$E$64,$C75,$D$10:$D$64,$D75,$F$10:$F$64,$F75)</f>
        <v>0</v>
      </c>
      <c r="R75" s="6">
        <f t="shared" si="15"/>
        <v>0</v>
      </c>
      <c r="S75" s="6">
        <f t="shared" si="15"/>
        <v>0</v>
      </c>
      <c r="T75" s="6">
        <f t="shared" si="15"/>
        <v>0</v>
      </c>
      <c r="U75" s="6">
        <f t="shared" si="15"/>
        <v>0</v>
      </c>
      <c r="V75" s="72">
        <f t="shared" si="12"/>
        <v>0</v>
      </c>
    </row>
    <row r="76" spans="3:26" ht="12.75" customHeight="1" x14ac:dyDescent="0.2">
      <c r="C76" s="1" t="s">
        <v>13</v>
      </c>
      <c r="D76" s="1" t="s">
        <v>45</v>
      </c>
      <c r="F76" s="1" t="s">
        <v>50</v>
      </c>
      <c r="G76" s="2"/>
      <c r="H76" s="68"/>
      <c r="J76" s="2"/>
      <c r="P76" s="2"/>
      <c r="Q76" s="6">
        <f t="shared" si="15"/>
        <v>0</v>
      </c>
      <c r="R76" s="6">
        <f t="shared" si="15"/>
        <v>0</v>
      </c>
      <c r="S76" s="6">
        <f t="shared" si="15"/>
        <v>0</v>
      </c>
      <c r="T76" s="6">
        <f t="shared" si="15"/>
        <v>0</v>
      </c>
      <c r="U76" s="6">
        <f t="shared" si="15"/>
        <v>0</v>
      </c>
      <c r="V76" s="72">
        <f t="shared" si="12"/>
        <v>0</v>
      </c>
    </row>
    <row r="77" spans="3:26" ht="12.75" customHeight="1" x14ac:dyDescent="0.2">
      <c r="C77" s="1" t="s">
        <v>14</v>
      </c>
      <c r="D77" s="1" t="s">
        <v>45</v>
      </c>
      <c r="F77" s="1" t="s">
        <v>50</v>
      </c>
      <c r="G77" s="2"/>
      <c r="H77" s="68"/>
      <c r="J77" s="2"/>
      <c r="P77" s="2"/>
      <c r="Q77" s="6">
        <f t="shared" si="15"/>
        <v>0</v>
      </c>
      <c r="R77" s="6">
        <f t="shared" si="15"/>
        <v>0</v>
      </c>
      <c r="S77" s="6">
        <f t="shared" si="15"/>
        <v>0</v>
      </c>
      <c r="T77" s="6">
        <f t="shared" si="15"/>
        <v>0</v>
      </c>
      <c r="U77" s="6">
        <f t="shared" si="15"/>
        <v>0</v>
      </c>
      <c r="V77" s="72">
        <f t="shared" si="12"/>
        <v>0</v>
      </c>
    </row>
    <row r="78" spans="3:26" ht="12.75" customHeight="1" x14ac:dyDescent="0.2">
      <c r="C78" s="1" t="s">
        <v>11</v>
      </c>
      <c r="D78" s="1" t="s">
        <v>45</v>
      </c>
      <c r="F78" s="1" t="s">
        <v>46</v>
      </c>
      <c r="G78" s="2"/>
      <c r="H78" s="68"/>
      <c r="J78" s="2"/>
      <c r="P78" s="2"/>
      <c r="Q78" s="6">
        <f t="shared" si="15"/>
        <v>0</v>
      </c>
      <c r="R78" s="6">
        <f t="shared" si="15"/>
        <v>0</v>
      </c>
      <c r="S78" s="6">
        <f t="shared" si="15"/>
        <v>0</v>
      </c>
      <c r="T78" s="6">
        <f t="shared" si="15"/>
        <v>0</v>
      </c>
      <c r="U78" s="6">
        <f t="shared" si="15"/>
        <v>0</v>
      </c>
      <c r="V78" s="72">
        <f t="shared" ref="V78:V79" si="16">SUM(Q78:U78)</f>
        <v>0</v>
      </c>
    </row>
    <row r="79" spans="3:26" ht="12.75" customHeight="1" x14ac:dyDescent="0.2">
      <c r="C79" s="1" t="s">
        <v>13</v>
      </c>
      <c r="D79" s="1" t="s">
        <v>45</v>
      </c>
      <c r="F79" s="1" t="s">
        <v>46</v>
      </c>
      <c r="G79" s="2"/>
      <c r="H79" s="68"/>
      <c r="J79" s="2"/>
      <c r="P79" s="2"/>
      <c r="Q79" s="6">
        <f t="shared" si="15"/>
        <v>0</v>
      </c>
      <c r="R79" s="6">
        <f t="shared" si="15"/>
        <v>0</v>
      </c>
      <c r="S79" s="6">
        <f t="shared" si="15"/>
        <v>0</v>
      </c>
      <c r="T79" s="6">
        <f t="shared" si="15"/>
        <v>0</v>
      </c>
      <c r="U79" s="6">
        <f t="shared" si="15"/>
        <v>0</v>
      </c>
      <c r="V79" s="72">
        <f t="shared" si="16"/>
        <v>0</v>
      </c>
    </row>
    <row r="80" spans="3:26" ht="12.75" customHeight="1" x14ac:dyDescent="0.2">
      <c r="C80" s="1" t="s">
        <v>14</v>
      </c>
      <c r="D80" s="1" t="s">
        <v>45</v>
      </c>
      <c r="F80" s="1" t="s">
        <v>46</v>
      </c>
      <c r="G80" s="2"/>
      <c r="H80" s="68"/>
      <c r="J80" s="2"/>
      <c r="P80" s="2"/>
      <c r="Q80" s="6">
        <f t="shared" si="15"/>
        <v>0</v>
      </c>
      <c r="R80" s="6">
        <f t="shared" si="15"/>
        <v>0</v>
      </c>
      <c r="S80" s="6">
        <f t="shared" si="15"/>
        <v>0</v>
      </c>
      <c r="T80" s="6">
        <f t="shared" si="15"/>
        <v>0</v>
      </c>
      <c r="U80" s="6">
        <f t="shared" si="15"/>
        <v>0</v>
      </c>
      <c r="V80" s="72">
        <f t="shared" ref="V80" si="17">SUM(Q80:U80)</f>
        <v>0</v>
      </c>
    </row>
    <row r="81" spans="3:23" ht="12.75" customHeight="1" x14ac:dyDescent="0.2">
      <c r="C81" s="21" t="s">
        <v>17</v>
      </c>
      <c r="D81" s="21" t="s">
        <v>45</v>
      </c>
      <c r="E81" s="102"/>
      <c r="F81" s="103"/>
      <c r="G81" s="2"/>
      <c r="H81" s="103"/>
      <c r="I81" s="105"/>
      <c r="J81" s="104"/>
      <c r="K81" s="102"/>
      <c r="L81" s="102"/>
      <c r="M81" s="102"/>
      <c r="N81" s="102"/>
      <c r="O81" s="102"/>
      <c r="P81" s="2"/>
      <c r="Q81" s="22">
        <f>SUM(Q75:Q80)</f>
        <v>0</v>
      </c>
      <c r="R81" s="22">
        <f t="shared" ref="R81:U81" si="18">SUM(R75:R80)</f>
        <v>0</v>
      </c>
      <c r="S81" s="22">
        <f t="shared" si="18"/>
        <v>0</v>
      </c>
      <c r="T81" s="22">
        <f t="shared" si="18"/>
        <v>0</v>
      </c>
      <c r="U81" s="22">
        <f t="shared" si="18"/>
        <v>0</v>
      </c>
      <c r="V81" s="22">
        <f>SUM(V75:V80)</f>
        <v>0</v>
      </c>
    </row>
    <row r="82" spans="3:23" ht="12.75" customHeight="1" x14ac:dyDescent="0.2">
      <c r="F82" s="68"/>
      <c r="G82" s="2"/>
      <c r="H82" s="68"/>
      <c r="J82" s="2"/>
      <c r="P82" s="2"/>
      <c r="Q82" s="6"/>
      <c r="R82" s="6"/>
      <c r="S82" s="6"/>
      <c r="T82" s="6"/>
      <c r="U82" s="6"/>
      <c r="V82" s="72"/>
    </row>
    <row r="83" spans="3:23" ht="12.75" customHeight="1" x14ac:dyDescent="0.2">
      <c r="C83" s="7" t="str">
        <f>"Total Expenditure ($ "&amp;Assumptions!$B$12&amp;")"</f>
        <v>Total Expenditure ($ June 2024)</v>
      </c>
      <c r="D83" s="7"/>
      <c r="E83" s="7"/>
      <c r="F83" s="7"/>
      <c r="G83" s="2"/>
      <c r="H83" s="7"/>
      <c r="I83" s="10"/>
      <c r="J83" s="2"/>
      <c r="K83" s="7"/>
      <c r="L83" s="7"/>
      <c r="M83" s="7"/>
      <c r="N83" s="7"/>
      <c r="O83" s="7"/>
      <c r="P83" s="2"/>
      <c r="Q83" s="8">
        <f>Q74+Q81</f>
        <v>0</v>
      </c>
      <c r="R83" s="8">
        <f t="shared" ref="R83:U83" si="19">R74+R81</f>
        <v>0</v>
      </c>
      <c r="S83" s="8">
        <f t="shared" si="19"/>
        <v>0</v>
      </c>
      <c r="T83" s="8">
        <f t="shared" si="19"/>
        <v>0</v>
      </c>
      <c r="U83" s="8">
        <f t="shared" si="19"/>
        <v>0</v>
      </c>
      <c r="V83" s="73">
        <f t="shared" si="12"/>
        <v>0</v>
      </c>
    </row>
    <row r="84" spans="3:23" ht="12.75" customHeight="1" x14ac:dyDescent="0.2">
      <c r="C84" s="45" t="s">
        <v>69</v>
      </c>
      <c r="D84" s="45"/>
      <c r="E84" s="45"/>
      <c r="F84" s="45"/>
      <c r="G84" s="2"/>
      <c r="H84" s="45"/>
      <c r="I84" s="45"/>
      <c r="J84" s="2"/>
      <c r="K84" s="45"/>
      <c r="L84" s="45"/>
      <c r="M84" s="45"/>
      <c r="N84" s="45"/>
      <c r="O84" s="45"/>
      <c r="P84" s="2"/>
      <c r="Q84" s="46">
        <f>Q83-SUM(Q$10:Q$64)</f>
        <v>0</v>
      </c>
      <c r="R84" s="46">
        <f t="shared" ref="R84:U84" si="20">R83-SUM(R$10:R$64)</f>
        <v>0</v>
      </c>
      <c r="S84" s="46">
        <f t="shared" si="20"/>
        <v>0</v>
      </c>
      <c r="T84" s="46">
        <f t="shared" si="20"/>
        <v>0</v>
      </c>
      <c r="U84" s="46">
        <f t="shared" si="20"/>
        <v>0</v>
      </c>
      <c r="V84" s="46">
        <f>V83-SUM(Q$10:U$64)</f>
        <v>0</v>
      </c>
      <c r="W84" s="46">
        <f>SUM(Q84:V84)</f>
        <v>0</v>
      </c>
    </row>
    <row r="85" spans="3:23" ht="12.75" customHeight="1" x14ac:dyDescent="0.2">
      <c r="G85" s="2"/>
      <c r="J85" s="2"/>
      <c r="P85" s="2"/>
    </row>
    <row r="86" spans="3:23" ht="12.75" customHeight="1" x14ac:dyDescent="0.2">
      <c r="C86" s="55" t="str">
        <f>"NPV ($ "&amp;Assumptions!$B$12&amp;")"</f>
        <v>NPV ($ June 2024)</v>
      </c>
      <c r="D86" s="56">
        <f>NPV(Real_Discount_rate,Q83:U83)</f>
        <v>0</v>
      </c>
      <c r="G86" s="2"/>
      <c r="J86" s="2"/>
      <c r="P86" s="2"/>
    </row>
    <row r="87" spans="3:23" ht="12.75" customHeight="1" x14ac:dyDescent="0.2">
      <c r="G87" s="2"/>
      <c r="J87" s="2"/>
      <c r="P87" s="2"/>
    </row>
    <row r="88" spans="3:23" ht="12.75" customHeight="1" x14ac:dyDescent="0.2">
      <c r="G88" s="2"/>
      <c r="J88" s="2"/>
      <c r="P88" s="2"/>
    </row>
    <row r="89" spans="3:23" ht="12.75" customHeight="1" x14ac:dyDescent="0.2">
      <c r="C89" s="4" t="s">
        <v>68</v>
      </c>
      <c r="F89" s="3"/>
      <c r="G89" s="2"/>
      <c r="J89" s="2"/>
      <c r="P89" s="2"/>
      <c r="Q89" s="69" t="s">
        <v>6</v>
      </c>
      <c r="R89" s="69" t="s">
        <v>7</v>
      </c>
      <c r="S89" s="69" t="s">
        <v>8</v>
      </c>
      <c r="T89" s="69" t="s">
        <v>9</v>
      </c>
      <c r="U89" s="69" t="s">
        <v>10</v>
      </c>
      <c r="V89" s="113" t="s">
        <v>0</v>
      </c>
    </row>
    <row r="90" spans="3:23" ht="12.75" customHeight="1" x14ac:dyDescent="0.2">
      <c r="C90" s="24"/>
      <c r="D90" s="24" t="s">
        <v>49</v>
      </c>
      <c r="E90" s="24"/>
      <c r="F90" s="24" t="s">
        <v>50</v>
      </c>
      <c r="G90" s="2"/>
      <c r="H90" s="66"/>
      <c r="I90" s="67"/>
      <c r="J90" s="2"/>
      <c r="K90" s="24"/>
      <c r="L90" s="24"/>
      <c r="M90" s="24"/>
      <c r="N90" s="24"/>
      <c r="O90" s="24"/>
      <c r="P90" s="2"/>
      <c r="Q90" s="25">
        <f t="shared" ref="Q90:U91" si="21">SUMIFS(Q$10:Q$64,$D$10:$D$64,$D90,$F$10:$F$64,$F90)</f>
        <v>0</v>
      </c>
      <c r="R90" s="25">
        <f t="shared" si="21"/>
        <v>0</v>
      </c>
      <c r="S90" s="25">
        <f t="shared" si="21"/>
        <v>0</v>
      </c>
      <c r="T90" s="25">
        <f t="shared" si="21"/>
        <v>0</v>
      </c>
      <c r="U90" s="25">
        <f t="shared" si="21"/>
        <v>0</v>
      </c>
      <c r="V90" s="72">
        <f t="shared" ref="V90:V91" si="22">SUM(Q90:U90)</f>
        <v>0</v>
      </c>
    </row>
    <row r="91" spans="3:23" ht="12.75" customHeight="1" x14ac:dyDescent="0.2">
      <c r="D91" s="1" t="s">
        <v>45</v>
      </c>
      <c r="F91" s="1" t="s">
        <v>50</v>
      </c>
      <c r="G91" s="2"/>
      <c r="J91" s="2"/>
      <c r="P91" s="2"/>
      <c r="Q91" s="112">
        <f t="shared" si="21"/>
        <v>0</v>
      </c>
      <c r="R91" s="112">
        <f t="shared" si="21"/>
        <v>0</v>
      </c>
      <c r="S91" s="112">
        <f t="shared" si="21"/>
        <v>0</v>
      </c>
      <c r="T91" s="112">
        <f t="shared" si="21"/>
        <v>0</v>
      </c>
      <c r="U91" s="112">
        <f t="shared" si="21"/>
        <v>0</v>
      </c>
      <c r="V91" s="72">
        <f t="shared" si="22"/>
        <v>0</v>
      </c>
    </row>
    <row r="92" spans="3:23" ht="12.75" customHeight="1" x14ac:dyDescent="0.2">
      <c r="C92" s="21" t="s">
        <v>70</v>
      </c>
      <c r="D92" s="21"/>
      <c r="E92" s="102"/>
      <c r="F92" s="103"/>
      <c r="G92" s="2"/>
      <c r="H92" s="103"/>
      <c r="I92" s="105"/>
      <c r="J92" s="104"/>
      <c r="K92" s="102"/>
      <c r="L92" s="102"/>
      <c r="M92" s="102"/>
      <c r="N92" s="102"/>
      <c r="O92" s="102"/>
      <c r="P92" s="2"/>
      <c r="Q92" s="22">
        <f>SUM(Q90:Q91)</f>
        <v>0</v>
      </c>
      <c r="R92" s="22">
        <f t="shared" ref="R92:V92" si="23">SUM(R90:R91)</f>
        <v>0</v>
      </c>
      <c r="S92" s="22">
        <f t="shared" si="23"/>
        <v>0</v>
      </c>
      <c r="T92" s="22">
        <f t="shared" si="23"/>
        <v>0</v>
      </c>
      <c r="U92" s="22">
        <f t="shared" si="23"/>
        <v>0</v>
      </c>
      <c r="V92" s="22">
        <f t="shared" si="23"/>
        <v>0</v>
      </c>
    </row>
    <row r="93" spans="3:23" ht="12.75" customHeight="1" x14ac:dyDescent="0.2">
      <c r="C93" s="4"/>
      <c r="D93" s="1" t="s">
        <v>49</v>
      </c>
      <c r="F93" s="1" t="s">
        <v>46</v>
      </c>
      <c r="G93" s="2"/>
      <c r="H93" s="68"/>
      <c r="J93" s="2"/>
      <c r="P93" s="2"/>
      <c r="Q93" s="6">
        <f t="shared" ref="Q93:U94" si="24">SUMIFS(Q$10:Q$64,$D$10:$D$64,$D93,$F$10:$F$64,$F93)</f>
        <v>0</v>
      </c>
      <c r="R93" s="6">
        <f t="shared" si="24"/>
        <v>0</v>
      </c>
      <c r="S93" s="6">
        <f t="shared" si="24"/>
        <v>0</v>
      </c>
      <c r="T93" s="6">
        <f t="shared" si="24"/>
        <v>0</v>
      </c>
      <c r="U93" s="6">
        <f t="shared" si="24"/>
        <v>0</v>
      </c>
      <c r="V93" s="72">
        <f t="shared" ref="V93:V94" si="25">SUM(Q93:U93)</f>
        <v>0</v>
      </c>
    </row>
    <row r="94" spans="3:23" ht="12.75" customHeight="1" x14ac:dyDescent="0.2">
      <c r="C94" s="4"/>
      <c r="D94" s="1" t="s">
        <v>45</v>
      </c>
      <c r="F94" s="1" t="s">
        <v>46</v>
      </c>
      <c r="G94" s="2"/>
      <c r="H94" s="68"/>
      <c r="J94" s="2"/>
      <c r="P94" s="2"/>
      <c r="Q94" s="6">
        <f t="shared" si="24"/>
        <v>0</v>
      </c>
      <c r="R94" s="6">
        <f t="shared" si="24"/>
        <v>0</v>
      </c>
      <c r="S94" s="6">
        <f t="shared" si="24"/>
        <v>0</v>
      </c>
      <c r="T94" s="6">
        <f t="shared" si="24"/>
        <v>0</v>
      </c>
      <c r="U94" s="6">
        <f t="shared" si="24"/>
        <v>0</v>
      </c>
      <c r="V94" s="72">
        <f t="shared" si="25"/>
        <v>0</v>
      </c>
    </row>
    <row r="95" spans="3:23" ht="12.75" customHeight="1" x14ac:dyDescent="0.2">
      <c r="C95" s="21" t="s">
        <v>71</v>
      </c>
      <c r="D95" s="21"/>
      <c r="E95" s="102"/>
      <c r="F95" s="103"/>
      <c r="G95" s="2"/>
      <c r="H95" s="103"/>
      <c r="I95" s="105"/>
      <c r="J95" s="104"/>
      <c r="K95" s="102"/>
      <c r="L95" s="102"/>
      <c r="M95" s="102"/>
      <c r="N95" s="102"/>
      <c r="O95" s="102"/>
      <c r="P95" s="2"/>
      <c r="Q95" s="22">
        <f>SUM(Q93:Q94)</f>
        <v>0</v>
      </c>
      <c r="R95" s="22">
        <f t="shared" ref="R95:U95" si="26">SUM(R93:R94)</f>
        <v>0</v>
      </c>
      <c r="S95" s="22">
        <f t="shared" si="26"/>
        <v>0</v>
      </c>
      <c r="T95" s="22">
        <f t="shared" si="26"/>
        <v>0</v>
      </c>
      <c r="U95" s="22">
        <f t="shared" si="26"/>
        <v>0</v>
      </c>
      <c r="V95" s="22">
        <f t="shared" ref="V95" si="27">SUM(V93:V94)</f>
        <v>0</v>
      </c>
    </row>
    <row r="96" spans="3:23" ht="12.75" customHeight="1" x14ac:dyDescent="0.2">
      <c r="C96" s="4"/>
      <c r="D96" s="4"/>
      <c r="F96" s="68"/>
      <c r="G96" s="2"/>
      <c r="H96" s="68"/>
      <c r="J96" s="2"/>
      <c r="P96" s="2"/>
      <c r="Q96" s="23"/>
      <c r="R96" s="23"/>
      <c r="S96" s="23"/>
      <c r="T96" s="23"/>
      <c r="U96" s="23"/>
      <c r="V96" s="23"/>
    </row>
    <row r="97" spans="3:23" ht="12.75" customHeight="1" x14ac:dyDescent="0.2">
      <c r="C97" s="7" t="str">
        <f>"Total Expenditure ($ "&amp;Assumptions!$B$12&amp;")"</f>
        <v>Total Expenditure ($ June 2024)</v>
      </c>
      <c r="D97" s="7"/>
      <c r="E97" s="7"/>
      <c r="F97" s="7"/>
      <c r="G97" s="2"/>
      <c r="H97" s="7"/>
      <c r="I97" s="10"/>
      <c r="J97" s="2"/>
      <c r="K97" s="7"/>
      <c r="L97" s="7"/>
      <c r="M97" s="7"/>
      <c r="N97" s="7"/>
      <c r="O97" s="7"/>
      <c r="P97" s="2"/>
      <c r="Q97" s="8">
        <f>Q92+Q95</f>
        <v>0</v>
      </c>
      <c r="R97" s="8">
        <f t="shared" ref="R97:U97" si="28">R92+R95</f>
        <v>0</v>
      </c>
      <c r="S97" s="8">
        <f t="shared" si="28"/>
        <v>0</v>
      </c>
      <c r="T97" s="8">
        <f t="shared" si="28"/>
        <v>0</v>
      </c>
      <c r="U97" s="8">
        <f t="shared" si="28"/>
        <v>0</v>
      </c>
      <c r="V97" s="73">
        <f t="shared" ref="V97" si="29">SUM(Q97:U97)</f>
        <v>0</v>
      </c>
    </row>
    <row r="98" spans="3:23" ht="12.75" customHeight="1" x14ac:dyDescent="0.2">
      <c r="C98" s="45" t="s">
        <v>69</v>
      </c>
      <c r="D98" s="45"/>
      <c r="E98" s="45"/>
      <c r="F98" s="45"/>
      <c r="G98" s="2"/>
      <c r="H98" s="45"/>
      <c r="I98" s="45"/>
      <c r="J98" s="2"/>
      <c r="K98" s="45"/>
      <c r="L98" s="45"/>
      <c r="M98" s="45"/>
      <c r="N98" s="45"/>
      <c r="O98" s="45"/>
      <c r="P98" s="2"/>
      <c r="Q98" s="46">
        <f>Q97-SUM(Q$10:Q$64)</f>
        <v>0</v>
      </c>
      <c r="R98" s="46">
        <f t="shared" ref="R98:U98" si="30">R97-SUM(R$10:R$64)</f>
        <v>0</v>
      </c>
      <c r="S98" s="46">
        <f t="shared" si="30"/>
        <v>0</v>
      </c>
      <c r="T98" s="46">
        <f t="shared" si="30"/>
        <v>0</v>
      </c>
      <c r="U98" s="46">
        <f t="shared" si="30"/>
        <v>0</v>
      </c>
      <c r="V98" s="46">
        <f>V97-SUM(Q$10:U$64)</f>
        <v>0</v>
      </c>
      <c r="W98" s="46">
        <f>SUM(Q98:V98)</f>
        <v>0</v>
      </c>
    </row>
    <row r="99" spans="3:23" ht="12.75" customHeight="1" x14ac:dyDescent="0.2">
      <c r="C99" s="115"/>
      <c r="D99" s="115"/>
      <c r="E99" s="115"/>
      <c r="F99" s="115"/>
      <c r="G99" s="2"/>
      <c r="H99" s="115"/>
      <c r="I99" s="115"/>
      <c r="J99" s="2"/>
      <c r="K99" s="115"/>
      <c r="L99" s="115"/>
      <c r="M99" s="115"/>
      <c r="N99" s="115"/>
      <c r="O99" s="115"/>
      <c r="P99" s="2"/>
      <c r="Q99" s="116"/>
      <c r="R99" s="116"/>
      <c r="S99" s="116"/>
      <c r="T99" s="116"/>
      <c r="U99" s="116"/>
      <c r="V99" s="116"/>
      <c r="W99" s="116"/>
    </row>
    <row r="100" spans="3:23" ht="12.75" customHeight="1" x14ac:dyDescent="0.2">
      <c r="C100" s="115"/>
      <c r="D100" s="115"/>
      <c r="E100" s="115"/>
      <c r="F100" s="115"/>
      <c r="G100" s="2"/>
      <c r="H100" s="115"/>
      <c r="I100" s="115"/>
      <c r="J100" s="2"/>
      <c r="K100" s="115"/>
      <c r="L100" s="115"/>
      <c r="M100" s="115"/>
      <c r="N100" s="115"/>
      <c r="O100" s="115"/>
      <c r="P100" s="2"/>
      <c r="Q100" s="116"/>
      <c r="R100" s="116"/>
      <c r="S100" s="116"/>
      <c r="T100" s="116"/>
      <c r="U100" s="116"/>
      <c r="V100" s="116"/>
      <c r="W100" s="116"/>
    </row>
    <row r="101" spans="3:23" ht="12.75" customHeight="1" x14ac:dyDescent="0.2">
      <c r="C101" s="115"/>
      <c r="D101" s="115"/>
      <c r="E101" s="115"/>
      <c r="F101" s="115"/>
      <c r="G101" s="2"/>
      <c r="H101" s="115"/>
      <c r="I101" s="115"/>
      <c r="J101" s="2"/>
      <c r="K101" s="115"/>
      <c r="L101" s="115"/>
      <c r="M101" s="115"/>
      <c r="N101" s="115"/>
      <c r="O101" s="115"/>
      <c r="P101" s="2"/>
      <c r="Q101" s="116"/>
      <c r="R101" s="116"/>
      <c r="S101" s="116"/>
      <c r="T101" s="116"/>
      <c r="U101" s="116"/>
      <c r="V101" s="116"/>
      <c r="W101" s="116"/>
    </row>
    <row r="102" spans="3:23" ht="12.75" customHeight="1" x14ac:dyDescent="0.2">
      <c r="C102" s="76" t="s">
        <v>72</v>
      </c>
      <c r="G102" s="2"/>
      <c r="J102" s="2"/>
      <c r="P102" s="2"/>
      <c r="Q102" s="69" t="s">
        <v>6</v>
      </c>
      <c r="R102" s="69" t="s">
        <v>7</v>
      </c>
      <c r="S102" s="69" t="s">
        <v>8</v>
      </c>
      <c r="T102" s="69" t="s">
        <v>9</v>
      </c>
      <c r="U102" s="69" t="s">
        <v>10</v>
      </c>
      <c r="V102" s="69" t="s">
        <v>0</v>
      </c>
    </row>
    <row r="103" spans="3:23" ht="12.75" customHeight="1" x14ac:dyDescent="0.2">
      <c r="C103" s="24" t="s">
        <v>11</v>
      </c>
      <c r="D103" s="24" t="s">
        <v>49</v>
      </c>
      <c r="E103" s="24"/>
      <c r="F103" s="24" t="s">
        <v>50</v>
      </c>
      <c r="G103" s="2"/>
      <c r="H103" s="66"/>
      <c r="I103" s="67"/>
      <c r="J103" s="2"/>
      <c r="K103" s="24"/>
      <c r="L103" s="24"/>
      <c r="M103" s="24"/>
      <c r="N103" s="24"/>
      <c r="O103" s="24"/>
      <c r="P103" s="2"/>
      <c r="Q103" s="34">
        <f t="shared" ref="Q103:U108" si="31">Q68*business_case_dollars</f>
        <v>0</v>
      </c>
      <c r="R103" s="34">
        <f t="shared" si="31"/>
        <v>0</v>
      </c>
      <c r="S103" s="34">
        <f t="shared" si="31"/>
        <v>0</v>
      </c>
      <c r="T103" s="34">
        <f t="shared" si="31"/>
        <v>0</v>
      </c>
      <c r="U103" s="34">
        <f t="shared" si="31"/>
        <v>0</v>
      </c>
      <c r="V103" s="71">
        <f>SUM(Q103:U103)</f>
        <v>0</v>
      </c>
    </row>
    <row r="104" spans="3:23" ht="12.75" customHeight="1" x14ac:dyDescent="0.2">
      <c r="C104" s="1" t="s">
        <v>13</v>
      </c>
      <c r="D104" s="1" t="s">
        <v>49</v>
      </c>
      <c r="F104" s="1" t="s">
        <v>50</v>
      </c>
      <c r="G104" s="2"/>
      <c r="H104" s="68"/>
      <c r="J104" s="2"/>
      <c r="P104" s="2"/>
      <c r="Q104" s="6">
        <f t="shared" si="31"/>
        <v>0</v>
      </c>
      <c r="R104" s="6">
        <f t="shared" si="31"/>
        <v>0</v>
      </c>
      <c r="S104" s="6">
        <f t="shared" si="31"/>
        <v>0</v>
      </c>
      <c r="T104" s="6">
        <f t="shared" si="31"/>
        <v>0</v>
      </c>
      <c r="U104" s="6">
        <f t="shared" si="31"/>
        <v>0</v>
      </c>
      <c r="V104" s="72">
        <f t="shared" ref="V104:V118" si="32">SUM(Q104:U104)</f>
        <v>0</v>
      </c>
    </row>
    <row r="105" spans="3:23" ht="12.75" customHeight="1" x14ac:dyDescent="0.2">
      <c r="C105" s="1" t="s">
        <v>14</v>
      </c>
      <c r="D105" s="1" t="s">
        <v>49</v>
      </c>
      <c r="F105" s="1" t="s">
        <v>50</v>
      </c>
      <c r="G105" s="2"/>
      <c r="H105" s="68"/>
      <c r="J105" s="2"/>
      <c r="P105" s="2"/>
      <c r="Q105" s="6">
        <f t="shared" si="31"/>
        <v>0</v>
      </c>
      <c r="R105" s="6">
        <f t="shared" si="31"/>
        <v>0</v>
      </c>
      <c r="S105" s="6">
        <f t="shared" si="31"/>
        <v>0</v>
      </c>
      <c r="T105" s="6">
        <f t="shared" si="31"/>
        <v>0</v>
      </c>
      <c r="U105" s="6">
        <f t="shared" si="31"/>
        <v>0</v>
      </c>
      <c r="V105" s="72">
        <f t="shared" si="32"/>
        <v>0</v>
      </c>
    </row>
    <row r="106" spans="3:23" ht="12.75" customHeight="1" x14ac:dyDescent="0.2">
      <c r="C106" s="1" t="s">
        <v>11</v>
      </c>
      <c r="D106" s="1" t="s">
        <v>49</v>
      </c>
      <c r="F106" s="1" t="s">
        <v>46</v>
      </c>
      <c r="G106" s="2"/>
      <c r="H106" s="68"/>
      <c r="J106" s="2"/>
      <c r="P106" s="2"/>
      <c r="Q106" s="6">
        <f t="shared" si="31"/>
        <v>0</v>
      </c>
      <c r="R106" s="6">
        <f t="shared" si="31"/>
        <v>0</v>
      </c>
      <c r="S106" s="6">
        <f t="shared" si="31"/>
        <v>0</v>
      </c>
      <c r="T106" s="6">
        <f t="shared" si="31"/>
        <v>0</v>
      </c>
      <c r="U106" s="6">
        <f t="shared" si="31"/>
        <v>0</v>
      </c>
      <c r="V106" s="6">
        <f t="shared" si="32"/>
        <v>0</v>
      </c>
    </row>
    <row r="107" spans="3:23" ht="12.75" customHeight="1" x14ac:dyDescent="0.2">
      <c r="C107" s="1" t="s">
        <v>13</v>
      </c>
      <c r="D107" s="1" t="s">
        <v>49</v>
      </c>
      <c r="F107" s="1" t="s">
        <v>46</v>
      </c>
      <c r="G107" s="2"/>
      <c r="H107" s="68"/>
      <c r="J107" s="2"/>
      <c r="P107" s="2"/>
      <c r="Q107" s="6">
        <f t="shared" si="31"/>
        <v>0</v>
      </c>
      <c r="R107" s="6">
        <f t="shared" si="31"/>
        <v>0</v>
      </c>
      <c r="S107" s="6">
        <f t="shared" si="31"/>
        <v>0</v>
      </c>
      <c r="T107" s="6">
        <f t="shared" si="31"/>
        <v>0</v>
      </c>
      <c r="U107" s="6">
        <f t="shared" si="31"/>
        <v>0</v>
      </c>
      <c r="V107" s="6">
        <f t="shared" si="32"/>
        <v>0</v>
      </c>
    </row>
    <row r="108" spans="3:23" ht="12.75" customHeight="1" x14ac:dyDescent="0.2">
      <c r="C108" s="1" t="s">
        <v>14</v>
      </c>
      <c r="D108" s="1" t="s">
        <v>49</v>
      </c>
      <c r="F108" s="1" t="s">
        <v>46</v>
      </c>
      <c r="G108" s="2"/>
      <c r="H108" s="68"/>
      <c r="J108" s="2"/>
      <c r="P108" s="2"/>
      <c r="Q108" s="6">
        <f t="shared" si="31"/>
        <v>0</v>
      </c>
      <c r="R108" s="6">
        <f t="shared" si="31"/>
        <v>0</v>
      </c>
      <c r="S108" s="6">
        <f t="shared" si="31"/>
        <v>0</v>
      </c>
      <c r="T108" s="6">
        <f t="shared" si="31"/>
        <v>0</v>
      </c>
      <c r="U108" s="6">
        <f t="shared" si="31"/>
        <v>0</v>
      </c>
      <c r="V108" s="6">
        <f t="shared" si="32"/>
        <v>0</v>
      </c>
    </row>
    <row r="109" spans="3:23" ht="12.75" customHeight="1" x14ac:dyDescent="0.2">
      <c r="C109" s="21" t="s">
        <v>15</v>
      </c>
      <c r="D109" s="21" t="s">
        <v>49</v>
      </c>
      <c r="E109" s="102"/>
      <c r="F109" s="103"/>
      <c r="G109" s="104"/>
      <c r="H109" s="103"/>
      <c r="I109" s="105"/>
      <c r="J109" s="104"/>
      <c r="K109" s="102"/>
      <c r="L109" s="102"/>
      <c r="M109" s="102"/>
      <c r="N109" s="102"/>
      <c r="O109" s="102"/>
      <c r="P109" s="104"/>
      <c r="Q109" s="22">
        <f>SUM(Q103:Q108)</f>
        <v>0</v>
      </c>
      <c r="R109" s="22">
        <f t="shared" ref="R109:U109" si="33">SUM(R103:R108)</f>
        <v>0</v>
      </c>
      <c r="S109" s="22">
        <f t="shared" si="33"/>
        <v>0</v>
      </c>
      <c r="T109" s="22">
        <f t="shared" si="33"/>
        <v>0</v>
      </c>
      <c r="U109" s="22">
        <f t="shared" si="33"/>
        <v>0</v>
      </c>
      <c r="V109" s="22">
        <f>SUM(V103:V108)</f>
        <v>0</v>
      </c>
    </row>
    <row r="110" spans="3:23" ht="12.75" customHeight="1" x14ac:dyDescent="0.2">
      <c r="C110" s="1" t="s">
        <v>11</v>
      </c>
      <c r="D110" s="1" t="s">
        <v>45</v>
      </c>
      <c r="F110" s="1" t="s">
        <v>50</v>
      </c>
      <c r="G110" s="2"/>
      <c r="H110" s="68"/>
      <c r="J110" s="2"/>
      <c r="P110" s="2"/>
      <c r="Q110" s="117">
        <f t="shared" ref="Q110:U115" si="34">Q75*business_case_dollars</f>
        <v>0</v>
      </c>
      <c r="R110" s="117">
        <f t="shared" si="34"/>
        <v>0</v>
      </c>
      <c r="S110" s="117">
        <f t="shared" si="34"/>
        <v>0</v>
      </c>
      <c r="T110" s="117">
        <f t="shared" si="34"/>
        <v>0</v>
      </c>
      <c r="U110" s="117">
        <f t="shared" si="34"/>
        <v>0</v>
      </c>
      <c r="V110" s="72">
        <f>SUM(Q110:U110)</f>
        <v>0</v>
      </c>
    </row>
    <row r="111" spans="3:23" ht="12.75" customHeight="1" x14ac:dyDescent="0.2">
      <c r="C111" s="1" t="s">
        <v>13</v>
      </c>
      <c r="D111" s="1" t="s">
        <v>45</v>
      </c>
      <c r="F111" s="1" t="s">
        <v>50</v>
      </c>
      <c r="G111" s="2"/>
      <c r="H111" s="68"/>
      <c r="J111" s="2"/>
      <c r="P111" s="2"/>
      <c r="Q111" s="6">
        <f t="shared" si="34"/>
        <v>0</v>
      </c>
      <c r="R111" s="6">
        <f t="shared" si="34"/>
        <v>0</v>
      </c>
      <c r="S111" s="6">
        <f t="shared" si="34"/>
        <v>0</v>
      </c>
      <c r="T111" s="6">
        <f t="shared" si="34"/>
        <v>0</v>
      </c>
      <c r="U111" s="6">
        <f t="shared" si="34"/>
        <v>0</v>
      </c>
      <c r="V111" s="72">
        <f t="shared" ref="V111:V115" si="35">SUM(Q111:U111)</f>
        <v>0</v>
      </c>
    </row>
    <row r="112" spans="3:23" ht="12.75" customHeight="1" x14ac:dyDescent="0.2">
      <c r="C112" s="1" t="s">
        <v>14</v>
      </c>
      <c r="D112" s="1" t="s">
        <v>45</v>
      </c>
      <c r="F112" s="1" t="s">
        <v>50</v>
      </c>
      <c r="G112" s="2"/>
      <c r="H112" s="68"/>
      <c r="J112" s="2"/>
      <c r="P112" s="2"/>
      <c r="Q112" s="6">
        <f t="shared" si="34"/>
        <v>0</v>
      </c>
      <c r="R112" s="6">
        <f t="shared" si="34"/>
        <v>0</v>
      </c>
      <c r="S112" s="6">
        <f t="shared" si="34"/>
        <v>0</v>
      </c>
      <c r="T112" s="6">
        <f t="shared" si="34"/>
        <v>0</v>
      </c>
      <c r="U112" s="6">
        <f t="shared" si="34"/>
        <v>0</v>
      </c>
      <c r="V112" s="72">
        <f t="shared" si="35"/>
        <v>0</v>
      </c>
    </row>
    <row r="113" spans="3:23" ht="12.75" customHeight="1" x14ac:dyDescent="0.2">
      <c r="C113" s="1" t="s">
        <v>11</v>
      </c>
      <c r="D113" s="1" t="s">
        <v>45</v>
      </c>
      <c r="F113" s="1" t="s">
        <v>46</v>
      </c>
      <c r="G113" s="2"/>
      <c r="H113" s="68"/>
      <c r="J113" s="2"/>
      <c r="P113" s="2"/>
      <c r="Q113" s="6">
        <f t="shared" si="34"/>
        <v>0</v>
      </c>
      <c r="R113" s="6">
        <f t="shared" si="34"/>
        <v>0</v>
      </c>
      <c r="S113" s="6">
        <f t="shared" si="34"/>
        <v>0</v>
      </c>
      <c r="T113" s="6">
        <f t="shared" si="34"/>
        <v>0</v>
      </c>
      <c r="U113" s="6">
        <f t="shared" si="34"/>
        <v>0</v>
      </c>
      <c r="V113" s="6">
        <f t="shared" si="35"/>
        <v>0</v>
      </c>
    </row>
    <row r="114" spans="3:23" ht="12.75" customHeight="1" x14ac:dyDescent="0.2">
      <c r="C114" s="1" t="s">
        <v>13</v>
      </c>
      <c r="D114" s="1" t="s">
        <v>45</v>
      </c>
      <c r="F114" s="1" t="s">
        <v>46</v>
      </c>
      <c r="G114" s="2"/>
      <c r="H114" s="68"/>
      <c r="J114" s="2"/>
      <c r="P114" s="2"/>
      <c r="Q114" s="6">
        <f t="shared" si="34"/>
        <v>0</v>
      </c>
      <c r="R114" s="6">
        <f t="shared" si="34"/>
        <v>0</v>
      </c>
      <c r="S114" s="6">
        <f t="shared" si="34"/>
        <v>0</v>
      </c>
      <c r="T114" s="6">
        <f t="shared" si="34"/>
        <v>0</v>
      </c>
      <c r="U114" s="6">
        <f t="shared" si="34"/>
        <v>0</v>
      </c>
      <c r="V114" s="6">
        <f t="shared" si="35"/>
        <v>0</v>
      </c>
    </row>
    <row r="115" spans="3:23" ht="12.75" customHeight="1" x14ac:dyDescent="0.2">
      <c r="C115" s="1" t="s">
        <v>14</v>
      </c>
      <c r="D115" s="1" t="s">
        <v>45</v>
      </c>
      <c r="F115" s="1" t="s">
        <v>46</v>
      </c>
      <c r="G115" s="2"/>
      <c r="H115" s="68"/>
      <c r="J115" s="2"/>
      <c r="P115" s="2"/>
      <c r="Q115" s="6">
        <f t="shared" si="34"/>
        <v>0</v>
      </c>
      <c r="R115" s="6">
        <f t="shared" si="34"/>
        <v>0</v>
      </c>
      <c r="S115" s="6">
        <f t="shared" si="34"/>
        <v>0</v>
      </c>
      <c r="T115" s="6">
        <f t="shared" si="34"/>
        <v>0</v>
      </c>
      <c r="U115" s="6">
        <f t="shared" si="34"/>
        <v>0</v>
      </c>
      <c r="V115" s="6">
        <f t="shared" si="35"/>
        <v>0</v>
      </c>
    </row>
    <row r="116" spans="3:23" ht="12.75" customHeight="1" x14ac:dyDescent="0.2">
      <c r="C116" s="21" t="s">
        <v>17</v>
      </c>
      <c r="D116" s="21" t="s">
        <v>45</v>
      </c>
      <c r="E116" s="102"/>
      <c r="F116" s="103"/>
      <c r="G116" s="104"/>
      <c r="H116" s="103"/>
      <c r="I116" s="105"/>
      <c r="J116" s="104"/>
      <c r="K116" s="102"/>
      <c r="L116" s="102"/>
      <c r="M116" s="102"/>
      <c r="N116" s="102"/>
      <c r="O116" s="102"/>
      <c r="P116" s="104"/>
      <c r="Q116" s="22">
        <f>SUM(Q110:Q115)</f>
        <v>0</v>
      </c>
      <c r="R116" s="22">
        <f t="shared" ref="R116:V116" si="36">SUM(R110:R115)</f>
        <v>0</v>
      </c>
      <c r="S116" s="22">
        <f t="shared" si="36"/>
        <v>0</v>
      </c>
      <c r="T116" s="22">
        <f t="shared" si="36"/>
        <v>0</v>
      </c>
      <c r="U116" s="22">
        <f t="shared" si="36"/>
        <v>0</v>
      </c>
      <c r="V116" s="22">
        <f t="shared" si="36"/>
        <v>0</v>
      </c>
    </row>
    <row r="117" spans="3:23" ht="12.75" customHeight="1" x14ac:dyDescent="0.2">
      <c r="G117" s="2"/>
      <c r="H117" s="68"/>
      <c r="J117" s="2"/>
      <c r="P117" s="2"/>
      <c r="Q117" s="6"/>
      <c r="R117" s="6"/>
      <c r="S117" s="6"/>
      <c r="T117" s="6"/>
      <c r="U117" s="6"/>
      <c r="V117" s="72"/>
    </row>
    <row r="118" spans="3:23" x14ac:dyDescent="0.2">
      <c r="C118" s="7" t="str">
        <f>"Total Expenditure ($ "&amp;Assumptions!$C$35&amp;")"</f>
        <v>Total Expenditure ($ June 2026)</v>
      </c>
      <c r="D118" s="7" t="s">
        <v>73</v>
      </c>
      <c r="E118" s="7"/>
      <c r="F118" s="7"/>
      <c r="G118" s="2"/>
      <c r="H118" s="7"/>
      <c r="I118" s="10"/>
      <c r="J118" s="2"/>
      <c r="K118" s="7"/>
      <c r="L118" s="7"/>
      <c r="M118" s="7"/>
      <c r="N118" s="7"/>
      <c r="O118" s="7"/>
      <c r="P118" s="2"/>
      <c r="Q118" s="8">
        <f>Q109+Q116</f>
        <v>0</v>
      </c>
      <c r="R118" s="8">
        <f t="shared" ref="R118:U118" si="37">R109+R116</f>
        <v>0</v>
      </c>
      <c r="S118" s="8">
        <f t="shared" si="37"/>
        <v>0</v>
      </c>
      <c r="T118" s="8">
        <f t="shared" si="37"/>
        <v>0</v>
      </c>
      <c r="U118" s="8">
        <f t="shared" si="37"/>
        <v>0</v>
      </c>
      <c r="V118" s="73">
        <f t="shared" si="32"/>
        <v>0</v>
      </c>
    </row>
    <row r="119" spans="3:23" x14ac:dyDescent="0.2">
      <c r="G119" s="2"/>
      <c r="J119" s="2"/>
      <c r="P119" s="2"/>
      <c r="Q119" s="46">
        <f>SUM(Q10:Q64)*business_case_dollars-Q118</f>
        <v>0</v>
      </c>
      <c r="R119" s="46">
        <f>SUM(R10:R64)*business_case_dollars-R118</f>
        <v>0</v>
      </c>
      <c r="S119" s="46">
        <f>SUM(S10:S64)*business_case_dollars-S118</f>
        <v>0</v>
      </c>
      <c r="T119" s="46">
        <f>SUM(T10:T64)*business_case_dollars-T118</f>
        <v>0</v>
      </c>
      <c r="U119" s="46">
        <f>SUM(U10:U64)*business_case_dollars-U118</f>
        <v>0</v>
      </c>
      <c r="V119" s="46">
        <f>SUM(Q10:U64)*business_case_dollars-V118</f>
        <v>0</v>
      </c>
      <c r="W119" s="46">
        <f>SUM(Q119:V119)</f>
        <v>0</v>
      </c>
    </row>
    <row r="120" spans="3:23" x14ac:dyDescent="0.2">
      <c r="C120" s="55" t="str">
        <f>"NPV ($ "&amp;Assumptions!$C$35&amp;")"</f>
        <v>NPV ($ June 2026)</v>
      </c>
      <c r="D120" s="56">
        <f>NPV(Real_Discount_rate,Q118:U118)</f>
        <v>0</v>
      </c>
      <c r="G120" s="2"/>
      <c r="J120" s="2"/>
      <c r="P120" s="2"/>
      <c r="Q120" s="52"/>
      <c r="R120" s="52"/>
      <c r="S120" s="52"/>
      <c r="T120" s="52"/>
      <c r="U120" s="52"/>
    </row>
    <row r="123" spans="3:23" x14ac:dyDescent="0.2">
      <c r="C123" s="4" t="s">
        <v>68</v>
      </c>
      <c r="F123" s="3"/>
      <c r="G123" s="2"/>
      <c r="J123" s="2"/>
      <c r="P123" s="2"/>
      <c r="Q123" s="69" t="s">
        <v>6</v>
      </c>
      <c r="R123" s="69" t="s">
        <v>7</v>
      </c>
      <c r="S123" s="69" t="s">
        <v>8</v>
      </c>
      <c r="T123" s="69" t="s">
        <v>9</v>
      </c>
      <c r="U123" s="69" t="s">
        <v>10</v>
      </c>
      <c r="V123" s="113" t="s">
        <v>0</v>
      </c>
    </row>
    <row r="124" spans="3:23" x14ac:dyDescent="0.2">
      <c r="C124" s="24"/>
      <c r="D124" s="24" t="s">
        <v>49</v>
      </c>
      <c r="E124" s="24"/>
      <c r="F124" s="24" t="s">
        <v>50</v>
      </c>
      <c r="G124" s="2"/>
      <c r="H124" s="66"/>
      <c r="I124" s="67"/>
      <c r="J124" s="2"/>
      <c r="K124" s="24"/>
      <c r="L124" s="24"/>
      <c r="M124" s="24"/>
      <c r="N124" s="24"/>
      <c r="O124" s="24"/>
      <c r="P124" s="2"/>
      <c r="Q124" s="25">
        <f t="shared" ref="Q124:U125" si="38">Q90*business_case_dollars</f>
        <v>0</v>
      </c>
      <c r="R124" s="25">
        <f t="shared" si="38"/>
        <v>0</v>
      </c>
      <c r="S124" s="25">
        <f t="shared" si="38"/>
        <v>0</v>
      </c>
      <c r="T124" s="25">
        <f t="shared" si="38"/>
        <v>0</v>
      </c>
      <c r="U124" s="25">
        <f t="shared" si="38"/>
        <v>0</v>
      </c>
      <c r="V124" s="72">
        <f t="shared" ref="V124:V125" si="39">SUM(Q124:U124)</f>
        <v>0</v>
      </c>
    </row>
    <row r="125" spans="3:23" x14ac:dyDescent="0.2">
      <c r="D125" s="1" t="s">
        <v>45</v>
      </c>
      <c r="F125" s="1" t="s">
        <v>50</v>
      </c>
      <c r="G125" s="2"/>
      <c r="J125" s="2"/>
      <c r="P125" s="2"/>
      <c r="Q125" s="112">
        <f t="shared" si="38"/>
        <v>0</v>
      </c>
      <c r="R125" s="112">
        <f t="shared" si="38"/>
        <v>0</v>
      </c>
      <c r="S125" s="112">
        <f t="shared" si="38"/>
        <v>0</v>
      </c>
      <c r="T125" s="112">
        <f t="shared" si="38"/>
        <v>0</v>
      </c>
      <c r="U125" s="112">
        <f t="shared" si="38"/>
        <v>0</v>
      </c>
      <c r="V125" s="72">
        <f t="shared" si="39"/>
        <v>0</v>
      </c>
    </row>
    <row r="126" spans="3:23" x14ac:dyDescent="0.2">
      <c r="C126" s="21" t="s">
        <v>70</v>
      </c>
      <c r="D126" s="21"/>
      <c r="E126" s="102"/>
      <c r="F126" s="103"/>
      <c r="G126" s="2"/>
      <c r="H126" s="103"/>
      <c r="I126" s="105"/>
      <c r="J126" s="104"/>
      <c r="K126" s="102"/>
      <c r="L126" s="102"/>
      <c r="M126" s="102"/>
      <c r="N126" s="102"/>
      <c r="O126" s="102"/>
      <c r="P126" s="2"/>
      <c r="Q126" s="22">
        <f>SUM(Q124:Q125)</f>
        <v>0</v>
      </c>
      <c r="R126" s="22">
        <f t="shared" ref="R126:V126" si="40">SUM(R124:R125)</f>
        <v>0</v>
      </c>
      <c r="S126" s="22">
        <f t="shared" si="40"/>
        <v>0</v>
      </c>
      <c r="T126" s="22">
        <f t="shared" si="40"/>
        <v>0</v>
      </c>
      <c r="U126" s="22">
        <f t="shared" si="40"/>
        <v>0</v>
      </c>
      <c r="V126" s="22">
        <f t="shared" si="40"/>
        <v>0</v>
      </c>
    </row>
    <row r="127" spans="3:23" x14ac:dyDescent="0.2">
      <c r="C127" s="4"/>
      <c r="D127" s="1" t="s">
        <v>49</v>
      </c>
      <c r="F127" s="1" t="s">
        <v>46</v>
      </c>
      <c r="G127" s="2"/>
      <c r="H127" s="68"/>
      <c r="J127" s="2"/>
      <c r="P127" s="2"/>
      <c r="Q127" s="6">
        <f t="shared" ref="Q127:U128" si="41">Q93*business_case_dollars</f>
        <v>0</v>
      </c>
      <c r="R127" s="6">
        <f t="shared" si="41"/>
        <v>0</v>
      </c>
      <c r="S127" s="6">
        <f t="shared" si="41"/>
        <v>0</v>
      </c>
      <c r="T127" s="6">
        <f t="shared" si="41"/>
        <v>0</v>
      </c>
      <c r="U127" s="6">
        <f t="shared" si="41"/>
        <v>0</v>
      </c>
      <c r="V127" s="72">
        <f t="shared" ref="V127:V128" si="42">SUM(Q127:U127)</f>
        <v>0</v>
      </c>
    </row>
    <row r="128" spans="3:23" x14ac:dyDescent="0.2">
      <c r="C128" s="4"/>
      <c r="D128" s="1" t="s">
        <v>45</v>
      </c>
      <c r="F128" s="1" t="s">
        <v>46</v>
      </c>
      <c r="G128" s="2"/>
      <c r="H128" s="68"/>
      <c r="J128" s="2"/>
      <c r="P128" s="2"/>
      <c r="Q128" s="6">
        <f t="shared" si="41"/>
        <v>0</v>
      </c>
      <c r="R128" s="6">
        <f t="shared" si="41"/>
        <v>0</v>
      </c>
      <c r="S128" s="6">
        <f t="shared" si="41"/>
        <v>0</v>
      </c>
      <c r="T128" s="6">
        <f t="shared" si="41"/>
        <v>0</v>
      </c>
      <c r="U128" s="6">
        <f t="shared" si="41"/>
        <v>0</v>
      </c>
      <c r="V128" s="72">
        <f t="shared" si="42"/>
        <v>0</v>
      </c>
    </row>
    <row r="129" spans="3:23" x14ac:dyDescent="0.2">
      <c r="C129" s="21" t="s">
        <v>71</v>
      </c>
      <c r="D129" s="21"/>
      <c r="E129" s="102"/>
      <c r="F129" s="103"/>
      <c r="G129" s="2"/>
      <c r="H129" s="103"/>
      <c r="I129" s="105"/>
      <c r="J129" s="104"/>
      <c r="K129" s="102"/>
      <c r="L129" s="102"/>
      <c r="M129" s="102"/>
      <c r="N129" s="102"/>
      <c r="O129" s="102"/>
      <c r="P129" s="2"/>
      <c r="Q129" s="22">
        <f>SUM(Q127:Q128)</f>
        <v>0</v>
      </c>
      <c r="R129" s="22">
        <f t="shared" ref="R129:V129" si="43">SUM(R127:R128)</f>
        <v>0</v>
      </c>
      <c r="S129" s="22">
        <f t="shared" si="43"/>
        <v>0</v>
      </c>
      <c r="T129" s="22">
        <f t="shared" si="43"/>
        <v>0</v>
      </c>
      <c r="U129" s="22">
        <f t="shared" si="43"/>
        <v>0</v>
      </c>
      <c r="V129" s="22">
        <f t="shared" si="43"/>
        <v>0</v>
      </c>
    </row>
    <row r="130" spans="3:23" x14ac:dyDescent="0.2">
      <c r="C130" s="4"/>
      <c r="D130" s="4"/>
      <c r="F130" s="68"/>
      <c r="G130" s="2"/>
      <c r="H130" s="68"/>
      <c r="J130" s="2"/>
      <c r="P130" s="2"/>
      <c r="Q130" s="23"/>
      <c r="R130" s="23"/>
      <c r="S130" s="23"/>
      <c r="T130" s="23"/>
      <c r="U130" s="23"/>
      <c r="V130" s="23"/>
    </row>
    <row r="131" spans="3:23" x14ac:dyDescent="0.2">
      <c r="C131" s="7" t="str">
        <f>"Total Expenditure ($ "&amp;Assumptions!$C$35&amp;")"</f>
        <v>Total Expenditure ($ June 2026)</v>
      </c>
      <c r="D131" s="7"/>
      <c r="E131" s="7"/>
      <c r="F131" s="7"/>
      <c r="G131" s="2"/>
      <c r="H131" s="7"/>
      <c r="I131" s="10"/>
      <c r="J131" s="2"/>
      <c r="K131" s="7"/>
      <c r="L131" s="7"/>
      <c r="M131" s="7"/>
      <c r="N131" s="7"/>
      <c r="O131" s="7"/>
      <c r="P131" s="2"/>
      <c r="Q131" s="8">
        <f>Q126+Q129</f>
        <v>0</v>
      </c>
      <c r="R131" s="8">
        <f t="shared" ref="R131:U131" si="44">R126+R129</f>
        <v>0</v>
      </c>
      <c r="S131" s="8">
        <f t="shared" si="44"/>
        <v>0</v>
      </c>
      <c r="T131" s="8">
        <f t="shared" si="44"/>
        <v>0</v>
      </c>
      <c r="U131" s="8">
        <f t="shared" si="44"/>
        <v>0</v>
      </c>
      <c r="V131" s="73">
        <f t="shared" ref="V131" si="45">SUM(Q131:U131)</f>
        <v>0</v>
      </c>
    </row>
    <row r="132" spans="3:23" x14ac:dyDescent="0.2">
      <c r="C132" s="45" t="s">
        <v>69</v>
      </c>
      <c r="D132" s="45"/>
      <c r="E132" s="45"/>
      <c r="F132" s="45"/>
      <c r="G132" s="2"/>
      <c r="H132" s="45"/>
      <c r="I132" s="45"/>
      <c r="J132" s="2"/>
      <c r="K132" s="45"/>
      <c r="L132" s="45"/>
      <c r="M132" s="45"/>
      <c r="N132" s="45"/>
      <c r="O132" s="45"/>
      <c r="P132" s="2"/>
      <c r="Q132" s="46">
        <f>Q131-SUM(Q$10:Q$64)*business_case_dollars</f>
        <v>0</v>
      </c>
      <c r="R132" s="46">
        <f>R131-SUM(R$10:R$64)*business_case_dollars</f>
        <v>0</v>
      </c>
      <c r="S132" s="46">
        <f>S131-SUM(S$10:S$64)*business_case_dollars</f>
        <v>0</v>
      </c>
      <c r="T132" s="46">
        <f>T131-SUM(T$10:T$64)*business_case_dollars</f>
        <v>0</v>
      </c>
      <c r="U132" s="46">
        <f>U131-SUM(U$10:U$64)*business_case_dollars</f>
        <v>0</v>
      </c>
      <c r="V132" s="46">
        <f>V131-SUM(Q$10:U$64)*business_case_dollars</f>
        <v>0</v>
      </c>
      <c r="W132" s="46">
        <f>SUM(Q132:V132)</f>
        <v>0</v>
      </c>
    </row>
  </sheetData>
  <conditionalFormatting sqref="H10:H64">
    <cfRule type="expression" dxfId="32" priority="14">
      <formula>$E10="Contracts"</formula>
    </cfRule>
    <cfRule type="expression" dxfId="31" priority="15">
      <formula>$E10="Materials"</formula>
    </cfRule>
    <cfRule type="expression" dxfId="30" priority="16">
      <formula>$E10="Labour"</formula>
    </cfRule>
  </conditionalFormatting>
  <conditionalFormatting sqref="Q84:V84">
    <cfRule type="expression" dxfId="29" priority="7">
      <formula>ABS(Q84)&gt;0.001</formula>
    </cfRule>
  </conditionalFormatting>
  <conditionalFormatting sqref="Q98:V101">
    <cfRule type="expression" dxfId="28" priority="4">
      <formula>ABS(Q98)&gt;0.001</formula>
    </cfRule>
  </conditionalFormatting>
  <conditionalFormatting sqref="Q119:V119">
    <cfRule type="expression" dxfId="27" priority="8">
      <formula>ABS(Q119)&gt;0.001</formula>
    </cfRule>
  </conditionalFormatting>
  <conditionalFormatting sqref="Q132:V132">
    <cfRule type="expression" dxfId="26" priority="1">
      <formula>ABS(Q132)&gt;0.001</formula>
    </cfRule>
  </conditionalFormatting>
  <conditionalFormatting sqref="W84">
    <cfRule type="expression" dxfId="25" priority="20">
      <formula>ABS(W84)&gt;0.001</formula>
    </cfRule>
  </conditionalFormatting>
  <conditionalFormatting sqref="W98:W101">
    <cfRule type="expression" dxfId="24" priority="5">
      <formula>ABS(W98)&gt;0.001</formula>
    </cfRule>
  </conditionalFormatting>
  <conditionalFormatting sqref="W119">
    <cfRule type="expression" dxfId="23" priority="10">
      <formula>ABS(W119)&gt;0.001</formula>
    </cfRule>
  </conditionalFormatting>
  <conditionalFormatting sqref="W132">
    <cfRule type="expression" dxfId="22" priority="2">
      <formula>ABS(W132)&gt;0.001</formula>
    </cfRule>
  </conditionalFormatting>
  <dataValidations count="3">
    <dataValidation type="list" allowBlank="1" showInputMessage="1" showErrorMessage="1" sqref="E10:E64" xr:uid="{B0E8B852-301B-4563-9163-FFDB1711704F}">
      <formula1>"Labour, Materials, Contracts"</formula1>
    </dataValidation>
    <dataValidation type="list" allowBlank="1" showInputMessage="1" showErrorMessage="1" sqref="D10:D64" xr:uid="{056126DF-837A-45EA-97BA-3AA3767E7A6C}">
      <formula1>"Capex, Opex"</formula1>
    </dataValidation>
    <dataValidation type="list" allowBlank="1" showInputMessage="1" showErrorMessage="1" sqref="F10:F64" xr:uid="{A87B8CA9-9117-400F-B444-E498C5629FFA}">
      <formula1>"Recurrent, Non recurrent"</formula1>
    </dataValidation>
  </dataValidations>
  <pageMargins left="0.7" right="0.7" top="0.75" bottom="0.75" header="0.3" footer="0.3"/>
  <pageSetup paperSize="9" orientation="portrait" r:id="rId1"/>
  <ignoredErrors>
    <ignoredError sqref="Q74:V74 Q92:U92 Q109:V10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FB3C-4E4B-4F0D-B5CA-250C86D70AF7}">
  <dimension ref="A1:Z132"/>
  <sheetViews>
    <sheetView showGridLines="0" zoomScale="80" zoomScaleNormal="80" workbookViewId="0">
      <pane ySplit="9" topLeftCell="A10" activePane="bottomLeft" state="frozen"/>
      <selection activeCell="C14" sqref="C14"/>
      <selection pane="bottomLeft" activeCell="C14" sqref="C14"/>
    </sheetView>
  </sheetViews>
  <sheetFormatPr defaultColWidth="9.140625" defaultRowHeight="12.75" x14ac:dyDescent="0.2"/>
  <cols>
    <col min="1" max="1" width="2.42578125" style="1" customWidth="1"/>
    <col min="2" max="2" width="1.5703125" style="1" customWidth="1"/>
    <col min="3" max="3" width="67.5703125" style="1" customWidth="1"/>
    <col min="4" max="4" width="12.570312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570312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3" style="1" customWidth="1"/>
    <col min="23" max="16384" width="9.140625" style="1"/>
  </cols>
  <sheetData>
    <row r="1" spans="1:26" ht="21" x14ac:dyDescent="0.35">
      <c r="A1" s="62" t="str">
        <f>Project_name</f>
        <v>Customer enablement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9" t="str">
        <f>Business</f>
        <v>CP &amp; PAL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2" customFormat="1" ht="15.75" x14ac:dyDescent="0.25">
      <c r="A3" s="30" t="s">
        <v>3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1"/>
      <c r="T3" s="11"/>
      <c r="U3" s="11"/>
      <c r="W3" s="48" t="b">
        <f>SUM(W7:W65)=0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50" t="s">
        <v>38</v>
      </c>
      <c r="D7" s="65" t="s">
        <v>39</v>
      </c>
      <c r="E7" s="65" t="s">
        <v>40</v>
      </c>
      <c r="F7" s="111" t="s">
        <v>41</v>
      </c>
      <c r="G7" s="16"/>
      <c r="H7" s="19" t="s">
        <v>11</v>
      </c>
      <c r="I7" s="19" t="s">
        <v>42</v>
      </c>
      <c r="K7" s="19" t="s">
        <v>43</v>
      </c>
      <c r="L7" s="20"/>
      <c r="M7" s="20"/>
      <c r="N7" s="20"/>
      <c r="O7" s="20"/>
      <c r="Q7" s="19" t="s">
        <v>44</v>
      </c>
      <c r="R7" s="20"/>
      <c r="S7" s="20"/>
      <c r="T7" s="20"/>
      <c r="U7" s="20"/>
    </row>
    <row r="8" spans="1:26" ht="12.75" customHeight="1" x14ac:dyDescent="0.2">
      <c r="A8" s="4"/>
      <c r="B8" s="4"/>
      <c r="C8" s="100"/>
      <c r="D8" s="100" t="s">
        <v>45</v>
      </c>
      <c r="E8" s="100"/>
      <c r="F8" s="100" t="s">
        <v>46</v>
      </c>
      <c r="G8" s="16"/>
      <c r="H8" s="110" t="s">
        <v>47</v>
      </c>
      <c r="I8" s="100"/>
      <c r="K8" s="51" t="s">
        <v>6</v>
      </c>
      <c r="L8" s="51" t="s">
        <v>7</v>
      </c>
      <c r="M8" s="51" t="s">
        <v>8</v>
      </c>
      <c r="N8" s="51" t="s">
        <v>9</v>
      </c>
      <c r="O8" s="51" t="s">
        <v>10</v>
      </c>
      <c r="Q8" s="51" t="s">
        <v>6</v>
      </c>
      <c r="R8" s="51" t="s">
        <v>7</v>
      </c>
      <c r="S8" s="51" t="s">
        <v>8</v>
      </c>
      <c r="T8" s="51" t="s">
        <v>9</v>
      </c>
      <c r="U8" s="51" t="s">
        <v>10</v>
      </c>
    </row>
    <row r="9" spans="1:26" ht="12.75" customHeight="1" x14ac:dyDescent="0.2">
      <c r="G9" s="16"/>
    </row>
    <row r="10" spans="1:26" ht="12.75" customHeight="1" x14ac:dyDescent="0.2">
      <c r="A10" s="4"/>
      <c r="C10" s="81" t="s">
        <v>48</v>
      </c>
      <c r="D10" s="82" t="s">
        <v>49</v>
      </c>
      <c r="E10" s="82" t="s">
        <v>11</v>
      </c>
      <c r="F10" s="80" t="s">
        <v>50</v>
      </c>
      <c r="G10" s="2"/>
      <c r="H10" s="64">
        <f>IF($E10="Labour",Assumptions!$B$14,)</f>
        <v>145.77740895836223</v>
      </c>
      <c r="I10" s="9" t="str">
        <f>IF($E10="Labour","Hours","$")</f>
        <v>Hours</v>
      </c>
      <c r="J10" s="2"/>
      <c r="K10" s="83"/>
      <c r="L10" s="83"/>
      <c r="M10" s="83">
        <f>900000/H10</f>
        <v>6173.7961075783905</v>
      </c>
      <c r="N10" s="83"/>
      <c r="O10" s="83"/>
      <c r="P10" s="2"/>
      <c r="Q10" s="5">
        <f t="shared" ref="Q10:Q41" si="0">IF($E10="Labour",$H10*K10,K10)</f>
        <v>0</v>
      </c>
      <c r="R10" s="5">
        <f t="shared" ref="R10:R41" si="1">IF($E10="Labour",$H10*L10,L10)</f>
        <v>0</v>
      </c>
      <c r="S10" s="5">
        <f t="shared" ref="S10:S41" si="2">IF($E10="Labour",$H10*M10,M10)</f>
        <v>899999.99999999988</v>
      </c>
      <c r="T10" s="5">
        <f t="shared" ref="T10:T41" si="3">IF($E10="Labour",$H10*N10,N10)</f>
        <v>0</v>
      </c>
      <c r="U10" s="5">
        <f t="shared" ref="U10:U41" si="4">IF($E10="Labour",$H10*O10,O10)</f>
        <v>0</v>
      </c>
    </row>
    <row r="11" spans="1:26" ht="12.75" customHeight="1" x14ac:dyDescent="0.2">
      <c r="A11" s="4"/>
      <c r="C11" s="81" t="s">
        <v>51</v>
      </c>
      <c r="D11" s="82" t="s">
        <v>49</v>
      </c>
      <c r="E11" s="82" t="s">
        <v>11</v>
      </c>
      <c r="F11" s="80" t="s">
        <v>50</v>
      </c>
      <c r="G11" s="2"/>
      <c r="H11" s="64">
        <f>IF($E11="Labour",Assumptions!$B$14,)</f>
        <v>145.77740895836223</v>
      </c>
      <c r="I11" s="9" t="str">
        <f t="shared" ref="I11:I64" si="5">IF($E11="Labour","Hours","$")</f>
        <v>Hours</v>
      </c>
      <c r="J11" s="2"/>
      <c r="K11" s="83"/>
      <c r="L11" s="83"/>
      <c r="M11" s="83">
        <f>1800000/H11</f>
        <v>12347.592215156781</v>
      </c>
      <c r="N11" s="83"/>
      <c r="O11" s="83"/>
      <c r="P11" s="2"/>
      <c r="Q11" s="5">
        <f t="shared" si="0"/>
        <v>0</v>
      </c>
      <c r="R11" s="5">
        <f t="shared" si="1"/>
        <v>0</v>
      </c>
      <c r="S11" s="5">
        <f t="shared" si="2"/>
        <v>1799999.9999999998</v>
      </c>
      <c r="T11" s="5">
        <f t="shared" si="3"/>
        <v>0</v>
      </c>
      <c r="U11" s="5">
        <f t="shared" si="4"/>
        <v>0</v>
      </c>
    </row>
    <row r="12" spans="1:26" ht="12.75" customHeight="1" x14ac:dyDescent="0.2">
      <c r="A12" s="4"/>
      <c r="C12" s="81" t="s">
        <v>52</v>
      </c>
      <c r="D12" s="82" t="s">
        <v>49</v>
      </c>
      <c r="E12" s="82" t="s">
        <v>11</v>
      </c>
      <c r="F12" s="80" t="s">
        <v>50</v>
      </c>
      <c r="G12" s="2"/>
      <c r="H12" s="64">
        <f>IF($E12="Labour",Assumptions!$B$14,)</f>
        <v>145.77740895836223</v>
      </c>
      <c r="I12" s="9" t="str">
        <f t="shared" si="5"/>
        <v>Hours</v>
      </c>
      <c r="J12" s="2"/>
      <c r="K12" s="83"/>
      <c r="L12" s="83"/>
      <c r="M12" s="83">
        <f>3500000/H12</f>
        <v>24009.207085027076</v>
      </c>
      <c r="N12" s="83"/>
      <c r="O12" s="83"/>
      <c r="P12" s="2"/>
      <c r="Q12" s="5">
        <f t="shared" si="0"/>
        <v>0</v>
      </c>
      <c r="R12" s="5">
        <f t="shared" si="1"/>
        <v>0</v>
      </c>
      <c r="S12" s="5">
        <f t="shared" si="2"/>
        <v>3500000</v>
      </c>
      <c r="T12" s="5">
        <f t="shared" si="3"/>
        <v>0</v>
      </c>
      <c r="U12" s="5">
        <f t="shared" si="4"/>
        <v>0</v>
      </c>
    </row>
    <row r="13" spans="1:26" ht="12.75" customHeight="1" x14ac:dyDescent="0.25">
      <c r="A13" s="4"/>
      <c r="C13" s="81" t="s">
        <v>53</v>
      </c>
      <c r="D13" s="82" t="s">
        <v>49</v>
      </c>
      <c r="E13" s="82" t="s">
        <v>11</v>
      </c>
      <c r="F13" s="80" t="s">
        <v>50</v>
      </c>
      <c r="G13" s="2"/>
      <c r="H13" s="64">
        <f>IF($E13="Labour",Assumptions!$B$14,)</f>
        <v>145.77740895836223</v>
      </c>
      <c r="I13" s="9" t="str">
        <f t="shared" si="5"/>
        <v>Hours</v>
      </c>
      <c r="J13" s="2"/>
      <c r="K13" s="83"/>
      <c r="L13" s="83"/>
      <c r="M13" s="83">
        <f>2200000/H13</f>
        <v>15091.501596302733</v>
      </c>
      <c r="N13" s="83"/>
      <c r="O13" s="83"/>
      <c r="P13" s="2"/>
      <c r="Q13" s="5">
        <f t="shared" si="0"/>
        <v>0</v>
      </c>
      <c r="R13" s="5">
        <f t="shared" si="1"/>
        <v>0</v>
      </c>
      <c r="S13" s="5">
        <f t="shared" si="2"/>
        <v>2200000</v>
      </c>
      <c r="T13" s="5">
        <f t="shared" si="3"/>
        <v>0</v>
      </c>
      <c r="U13" s="5">
        <f t="shared" si="4"/>
        <v>0</v>
      </c>
      <c r="Z13"/>
    </row>
    <row r="14" spans="1:26" ht="12.75" customHeight="1" x14ac:dyDescent="0.25">
      <c r="A14" s="4"/>
      <c r="C14" s="81" t="s">
        <v>54</v>
      </c>
      <c r="D14" s="82" t="s">
        <v>49</v>
      </c>
      <c r="E14" s="82" t="s">
        <v>11</v>
      </c>
      <c r="F14" s="80" t="s">
        <v>50</v>
      </c>
      <c r="G14" s="2"/>
      <c r="H14" s="64">
        <f>IF($E14="Labour",Assumptions!$B$14,)</f>
        <v>145.77740895836223</v>
      </c>
      <c r="I14" s="9" t="str">
        <f t="shared" si="5"/>
        <v>Hours</v>
      </c>
      <c r="J14" s="2"/>
      <c r="K14" s="83"/>
      <c r="L14" s="83"/>
      <c r="M14" s="83">
        <f>800000/H14</f>
        <v>5487.8187622919031</v>
      </c>
      <c r="N14" s="83"/>
      <c r="O14" s="83"/>
      <c r="P14" s="2"/>
      <c r="Q14" s="5">
        <f t="shared" si="0"/>
        <v>0</v>
      </c>
      <c r="R14" s="5">
        <f t="shared" si="1"/>
        <v>0</v>
      </c>
      <c r="S14" s="5">
        <f t="shared" si="2"/>
        <v>800000</v>
      </c>
      <c r="T14" s="5">
        <f t="shared" si="3"/>
        <v>0</v>
      </c>
      <c r="U14" s="5">
        <f t="shared" si="4"/>
        <v>0</v>
      </c>
      <c r="Z14"/>
    </row>
    <row r="15" spans="1:26" ht="12.75" customHeight="1" x14ac:dyDescent="0.25">
      <c r="A15" s="4"/>
      <c r="C15" s="81" t="s">
        <v>55</v>
      </c>
      <c r="D15" s="82" t="s">
        <v>49</v>
      </c>
      <c r="E15" s="82" t="s">
        <v>11</v>
      </c>
      <c r="F15" s="80" t="s">
        <v>50</v>
      </c>
      <c r="G15" s="2"/>
      <c r="H15" s="64">
        <f>IF($E15="Labour",Assumptions!$B$14,)</f>
        <v>145.77740895836223</v>
      </c>
      <c r="I15" s="9" t="str">
        <f t="shared" si="5"/>
        <v>Hours</v>
      </c>
      <c r="J15" s="2"/>
      <c r="K15" s="83"/>
      <c r="L15" s="83"/>
      <c r="M15" s="83">
        <f>800000/H15</f>
        <v>5487.8187622919031</v>
      </c>
      <c r="N15" s="83"/>
      <c r="O15" s="83"/>
      <c r="P15" s="2"/>
      <c r="Q15" s="5">
        <f t="shared" si="0"/>
        <v>0</v>
      </c>
      <c r="R15" s="5">
        <f t="shared" si="1"/>
        <v>0</v>
      </c>
      <c r="S15" s="5">
        <f t="shared" si="2"/>
        <v>800000</v>
      </c>
      <c r="T15" s="5">
        <f t="shared" si="3"/>
        <v>0</v>
      </c>
      <c r="U15" s="5">
        <f t="shared" si="4"/>
        <v>0</v>
      </c>
      <c r="Z15"/>
    </row>
    <row r="16" spans="1:26" ht="12.75" customHeight="1" x14ac:dyDescent="0.25">
      <c r="A16" s="4"/>
      <c r="C16" s="81" t="s">
        <v>56</v>
      </c>
      <c r="D16" s="82" t="s">
        <v>49</v>
      </c>
      <c r="E16" s="82" t="s">
        <v>11</v>
      </c>
      <c r="F16" s="80" t="s">
        <v>50</v>
      </c>
      <c r="G16" s="2"/>
      <c r="H16" s="64">
        <f>IF($E16="Labour",Assumptions!$B$14,)</f>
        <v>145.77740895836223</v>
      </c>
      <c r="I16" s="9" t="str">
        <f t="shared" si="5"/>
        <v>Hours</v>
      </c>
      <c r="J16" s="2"/>
      <c r="K16" s="83"/>
      <c r="L16" s="83"/>
      <c r="M16" s="83">
        <f>45000/H16</f>
        <v>308.68980537891957</v>
      </c>
      <c r="N16" s="83">
        <f>45000/H16</f>
        <v>308.68980537891957</v>
      </c>
      <c r="O16" s="83"/>
      <c r="P16" s="2"/>
      <c r="Q16" s="5">
        <f t="shared" si="0"/>
        <v>0</v>
      </c>
      <c r="R16" s="5">
        <f t="shared" si="1"/>
        <v>0</v>
      </c>
      <c r="S16" s="5">
        <f t="shared" si="2"/>
        <v>45000</v>
      </c>
      <c r="T16" s="5">
        <f t="shared" si="3"/>
        <v>45000</v>
      </c>
      <c r="U16" s="5">
        <f t="shared" si="4"/>
        <v>0</v>
      </c>
      <c r="Z16"/>
    </row>
    <row r="17" spans="1:26" ht="12.75" customHeight="1" x14ac:dyDescent="0.25">
      <c r="A17" s="4"/>
      <c r="C17" s="81" t="s">
        <v>57</v>
      </c>
      <c r="D17" s="82" t="s">
        <v>49</v>
      </c>
      <c r="E17" s="82" t="s">
        <v>11</v>
      </c>
      <c r="F17" s="80" t="s">
        <v>50</v>
      </c>
      <c r="G17" s="2"/>
      <c r="H17" s="64">
        <f>IF($E17="Labour",Assumptions!$B$14,)</f>
        <v>145.77740895836223</v>
      </c>
      <c r="I17" s="9" t="str">
        <f t="shared" si="5"/>
        <v>Hours</v>
      </c>
      <c r="J17" s="2"/>
      <c r="K17" s="83"/>
      <c r="L17" s="83"/>
      <c r="M17" s="83">
        <f>90000/H17</f>
        <v>617.37961075783915</v>
      </c>
      <c r="N17" s="83">
        <f>90000/H17</f>
        <v>617.37961075783915</v>
      </c>
      <c r="O17" s="83"/>
      <c r="P17" s="2"/>
      <c r="Q17" s="5">
        <f t="shared" si="0"/>
        <v>0</v>
      </c>
      <c r="R17" s="5">
        <f t="shared" si="1"/>
        <v>0</v>
      </c>
      <c r="S17" s="5">
        <f t="shared" si="2"/>
        <v>90000</v>
      </c>
      <c r="T17" s="5">
        <f t="shared" si="3"/>
        <v>90000</v>
      </c>
      <c r="U17" s="5">
        <f t="shared" si="4"/>
        <v>0</v>
      </c>
      <c r="Z17"/>
    </row>
    <row r="18" spans="1:26" ht="12.75" customHeight="1" x14ac:dyDescent="0.25">
      <c r="A18" s="4"/>
      <c r="C18" s="81" t="s">
        <v>58</v>
      </c>
      <c r="D18" s="82" t="s">
        <v>49</v>
      </c>
      <c r="E18" s="82" t="s">
        <v>11</v>
      </c>
      <c r="F18" s="80" t="s">
        <v>50</v>
      </c>
      <c r="G18" s="2"/>
      <c r="H18" s="64">
        <f>IF($E18="Labour",Assumptions!$B$14,)</f>
        <v>145.77740895836223</v>
      </c>
      <c r="I18" s="9" t="str">
        <f t="shared" si="5"/>
        <v>Hours</v>
      </c>
      <c r="J18" s="2"/>
      <c r="K18" s="83"/>
      <c r="L18" s="83"/>
      <c r="M18" s="83">
        <f>175000/H18</f>
        <v>1200.4603542513537</v>
      </c>
      <c r="N18" s="83">
        <f>175000/H18</f>
        <v>1200.4603542513537</v>
      </c>
      <c r="O18" s="83"/>
      <c r="P18" s="2"/>
      <c r="Q18" s="5">
        <f t="shared" si="0"/>
        <v>0</v>
      </c>
      <c r="R18" s="5">
        <f t="shared" si="1"/>
        <v>0</v>
      </c>
      <c r="S18" s="5">
        <f t="shared" si="2"/>
        <v>174999.99999999997</v>
      </c>
      <c r="T18" s="5">
        <f t="shared" si="3"/>
        <v>174999.99999999997</v>
      </c>
      <c r="U18" s="5">
        <f t="shared" si="4"/>
        <v>0</v>
      </c>
      <c r="Z18"/>
    </row>
    <row r="19" spans="1:26" ht="12.75" customHeight="1" x14ac:dyDescent="0.25">
      <c r="A19" s="4"/>
      <c r="C19" s="81" t="s">
        <v>59</v>
      </c>
      <c r="D19" s="82" t="s">
        <v>49</v>
      </c>
      <c r="E19" s="82" t="s">
        <v>11</v>
      </c>
      <c r="F19" s="80" t="s">
        <v>50</v>
      </c>
      <c r="G19" s="2"/>
      <c r="H19" s="64">
        <f>IF($E19="Labour",Assumptions!$B$14,)</f>
        <v>145.77740895836223</v>
      </c>
      <c r="I19" s="9" t="str">
        <f t="shared" si="5"/>
        <v>Hours</v>
      </c>
      <c r="J19" s="2"/>
      <c r="K19" s="83"/>
      <c r="L19" s="83"/>
      <c r="M19" s="83">
        <f>110000/H19</f>
        <v>754.57507981513663</v>
      </c>
      <c r="N19" s="83">
        <f>110000/H19</f>
        <v>754.57507981513663</v>
      </c>
      <c r="O19" s="83"/>
      <c r="P19" s="2"/>
      <c r="Q19" s="5">
        <f t="shared" si="0"/>
        <v>0</v>
      </c>
      <c r="R19" s="5">
        <f t="shared" si="1"/>
        <v>0</v>
      </c>
      <c r="S19" s="5">
        <f t="shared" si="2"/>
        <v>110000</v>
      </c>
      <c r="T19" s="5">
        <f t="shared" si="3"/>
        <v>110000</v>
      </c>
      <c r="U19" s="5">
        <f t="shared" si="4"/>
        <v>0</v>
      </c>
      <c r="Z19"/>
    </row>
    <row r="20" spans="1:26" ht="12.75" customHeight="1" x14ac:dyDescent="0.25">
      <c r="A20" s="4"/>
      <c r="C20" s="81" t="s">
        <v>60</v>
      </c>
      <c r="D20" s="82" t="s">
        <v>49</v>
      </c>
      <c r="E20" s="82" t="s">
        <v>11</v>
      </c>
      <c r="F20" s="80" t="s">
        <v>50</v>
      </c>
      <c r="G20" s="2"/>
      <c r="H20" s="64">
        <f>IF($E20="Labour",Assumptions!$B$14,)</f>
        <v>145.77740895836223</v>
      </c>
      <c r="I20" s="9" t="str">
        <f t="shared" si="5"/>
        <v>Hours</v>
      </c>
      <c r="J20" s="2"/>
      <c r="K20" s="83"/>
      <c r="L20" s="83"/>
      <c r="M20" s="83">
        <f>40000/H20</f>
        <v>274.39093811459514</v>
      </c>
      <c r="N20" s="83">
        <f>40000/H20</f>
        <v>274.39093811459514</v>
      </c>
      <c r="O20" s="83"/>
      <c r="P20" s="2"/>
      <c r="Q20" s="5">
        <f t="shared" si="0"/>
        <v>0</v>
      </c>
      <c r="R20" s="5">
        <f t="shared" si="1"/>
        <v>0</v>
      </c>
      <c r="S20" s="5">
        <f t="shared" si="2"/>
        <v>40000</v>
      </c>
      <c r="T20" s="5">
        <f t="shared" si="3"/>
        <v>40000</v>
      </c>
      <c r="U20" s="5">
        <f t="shared" si="4"/>
        <v>0</v>
      </c>
      <c r="Z20"/>
    </row>
    <row r="21" spans="1:26" ht="12.75" customHeight="1" x14ac:dyDescent="0.25">
      <c r="A21" s="4"/>
      <c r="C21" s="81" t="s">
        <v>61</v>
      </c>
      <c r="D21" s="82" t="s">
        <v>49</v>
      </c>
      <c r="E21" s="82" t="s">
        <v>11</v>
      </c>
      <c r="F21" s="80" t="s">
        <v>50</v>
      </c>
      <c r="G21" s="2"/>
      <c r="H21" s="64">
        <f>IF($E21="Labour",Assumptions!$B$14,)</f>
        <v>145.77740895836223</v>
      </c>
      <c r="I21" s="9" t="str">
        <f t="shared" si="5"/>
        <v>Hours</v>
      </c>
      <c r="J21" s="2"/>
      <c r="K21" s="83"/>
      <c r="L21" s="83"/>
      <c r="M21" s="83">
        <f>40000/H21</f>
        <v>274.39093811459514</v>
      </c>
      <c r="N21" s="83">
        <f>40000/H21</f>
        <v>274.39093811459514</v>
      </c>
      <c r="O21" s="83"/>
      <c r="P21" s="2"/>
      <c r="Q21" s="5">
        <f t="shared" si="0"/>
        <v>0</v>
      </c>
      <c r="R21" s="5">
        <f t="shared" si="1"/>
        <v>0</v>
      </c>
      <c r="S21" s="5">
        <f t="shared" si="2"/>
        <v>40000</v>
      </c>
      <c r="T21" s="5">
        <f t="shared" si="3"/>
        <v>40000</v>
      </c>
      <c r="U21" s="5">
        <f t="shared" si="4"/>
        <v>0</v>
      </c>
      <c r="Z21"/>
    </row>
    <row r="22" spans="1:26" ht="12.75" customHeight="1" x14ac:dyDescent="0.25">
      <c r="A22" s="4"/>
      <c r="C22" s="81" t="s">
        <v>62</v>
      </c>
      <c r="D22" s="82" t="s">
        <v>49</v>
      </c>
      <c r="E22" s="82" t="s">
        <v>11</v>
      </c>
      <c r="F22" s="80" t="s">
        <v>50</v>
      </c>
      <c r="G22" s="2"/>
      <c r="H22" s="64">
        <f>IF($E22="Labour",Assumptions!$B$14,)</f>
        <v>145.77740895836223</v>
      </c>
      <c r="I22" s="9" t="str">
        <f t="shared" si="5"/>
        <v>Hours</v>
      </c>
      <c r="J22" s="2"/>
      <c r="K22" s="83">
        <f>102384/H22</f>
        <v>702.33104519811775</v>
      </c>
      <c r="L22" s="83"/>
      <c r="M22" s="83"/>
      <c r="N22" s="83"/>
      <c r="O22" s="83"/>
      <c r="P22" s="2"/>
      <c r="Q22" s="5">
        <f t="shared" si="0"/>
        <v>102384</v>
      </c>
      <c r="R22" s="5">
        <f t="shared" si="1"/>
        <v>0</v>
      </c>
      <c r="S22" s="5">
        <f t="shared" si="2"/>
        <v>0</v>
      </c>
      <c r="T22" s="5">
        <f t="shared" si="3"/>
        <v>0</v>
      </c>
      <c r="U22" s="5">
        <f t="shared" si="4"/>
        <v>0</v>
      </c>
      <c r="Z22"/>
    </row>
    <row r="23" spans="1:26" ht="12.75" customHeight="1" x14ac:dyDescent="0.25">
      <c r="A23" s="4"/>
      <c r="C23" s="81" t="s">
        <v>63</v>
      </c>
      <c r="D23" s="82" t="s">
        <v>49</v>
      </c>
      <c r="E23" s="82" t="s">
        <v>11</v>
      </c>
      <c r="F23" s="80" t="s">
        <v>50</v>
      </c>
      <c r="G23" s="2"/>
      <c r="H23" s="64">
        <f>IF($E23="Labour",Assumptions!$B$14,)</f>
        <v>145.77740895836223</v>
      </c>
      <c r="I23" s="9" t="str">
        <f t="shared" si="5"/>
        <v>Hours</v>
      </c>
      <c r="J23" s="2"/>
      <c r="K23" s="83">
        <f>204768/H23</f>
        <v>1404.6620903962355</v>
      </c>
      <c r="L23" s="83"/>
      <c r="M23" s="83"/>
      <c r="N23" s="83"/>
      <c r="O23" s="83"/>
      <c r="P23" s="2"/>
      <c r="Q23" s="5">
        <f t="shared" si="0"/>
        <v>204768</v>
      </c>
      <c r="R23" s="5">
        <f t="shared" si="1"/>
        <v>0</v>
      </c>
      <c r="S23" s="5">
        <f t="shared" si="2"/>
        <v>0</v>
      </c>
      <c r="T23" s="5">
        <f t="shared" si="3"/>
        <v>0</v>
      </c>
      <c r="U23" s="5">
        <f t="shared" si="4"/>
        <v>0</v>
      </c>
      <c r="Z23"/>
    </row>
    <row r="24" spans="1:26" ht="12.75" customHeight="1" x14ac:dyDescent="0.25">
      <c r="A24" s="4"/>
      <c r="C24" s="81" t="s">
        <v>64</v>
      </c>
      <c r="D24" s="82" t="s">
        <v>49</v>
      </c>
      <c r="E24" s="82" t="s">
        <v>11</v>
      </c>
      <c r="F24" s="80" t="s">
        <v>50</v>
      </c>
      <c r="G24" s="2"/>
      <c r="H24" s="64">
        <f>IF($E24="Labour",Assumptions!$B$14,)</f>
        <v>145.77740895836223</v>
      </c>
      <c r="I24" s="9" t="str">
        <f t="shared" si="5"/>
        <v>Hours</v>
      </c>
      <c r="J24" s="2"/>
      <c r="K24" s="83">
        <f>398160/H24</f>
        <v>2731.2873979926803</v>
      </c>
      <c r="L24" s="83"/>
      <c r="M24" s="83"/>
      <c r="N24" s="83"/>
      <c r="O24" s="83"/>
      <c r="P24" s="2"/>
      <c r="Q24" s="5">
        <f t="shared" si="0"/>
        <v>398160</v>
      </c>
      <c r="R24" s="5">
        <f t="shared" si="1"/>
        <v>0</v>
      </c>
      <c r="S24" s="5">
        <f t="shared" si="2"/>
        <v>0</v>
      </c>
      <c r="T24" s="5">
        <f t="shared" si="3"/>
        <v>0</v>
      </c>
      <c r="U24" s="5">
        <f t="shared" si="4"/>
        <v>0</v>
      </c>
      <c r="Z24"/>
    </row>
    <row r="25" spans="1:26" ht="12.75" customHeight="1" x14ac:dyDescent="0.25">
      <c r="A25" s="4"/>
      <c r="C25" s="81" t="s">
        <v>65</v>
      </c>
      <c r="D25" s="82" t="s">
        <v>49</v>
      </c>
      <c r="E25" s="82" t="s">
        <v>11</v>
      </c>
      <c r="F25" s="80" t="s">
        <v>50</v>
      </c>
      <c r="G25" s="2"/>
      <c r="H25" s="64">
        <f>IF($E25="Labour",Assumptions!$B$14,)</f>
        <v>145.77740895836223</v>
      </c>
      <c r="I25" s="9" t="str">
        <f t="shared" si="5"/>
        <v>Hours</v>
      </c>
      <c r="J25" s="2"/>
      <c r="K25" s="83">
        <f>250772/H25</f>
        <v>1720.2391083218315</v>
      </c>
      <c r="L25" s="83"/>
      <c r="M25" s="83"/>
      <c r="N25" s="83"/>
      <c r="O25" s="83"/>
      <c r="P25" s="2"/>
      <c r="Q25" s="5">
        <f t="shared" si="0"/>
        <v>250772.00000000003</v>
      </c>
      <c r="R25" s="5">
        <f t="shared" si="1"/>
        <v>0</v>
      </c>
      <c r="S25" s="5">
        <f t="shared" si="2"/>
        <v>0</v>
      </c>
      <c r="T25" s="5">
        <f t="shared" si="3"/>
        <v>0</v>
      </c>
      <c r="U25" s="5">
        <f t="shared" si="4"/>
        <v>0</v>
      </c>
      <c r="Z25"/>
    </row>
    <row r="26" spans="1:26" ht="12.75" customHeight="1" x14ac:dyDescent="0.25">
      <c r="A26" s="4"/>
      <c r="C26" s="81" t="s">
        <v>66</v>
      </c>
      <c r="D26" s="82" t="s">
        <v>49</v>
      </c>
      <c r="E26" s="82" t="s">
        <v>11</v>
      </c>
      <c r="F26" s="80" t="s">
        <v>50</v>
      </c>
      <c r="G26" s="2"/>
      <c r="H26" s="64">
        <f>IF($E26="Labour",Assumptions!$B$14,)</f>
        <v>145.77740895836223</v>
      </c>
      <c r="I26" s="9" t="str">
        <f t="shared" si="5"/>
        <v>Hours</v>
      </c>
      <c r="J26" s="2"/>
      <c r="K26" s="83">
        <f>91008/H26</f>
        <v>624.29426239832685</v>
      </c>
      <c r="L26" s="83"/>
      <c r="M26" s="83"/>
      <c r="N26" s="83"/>
      <c r="O26" s="83"/>
      <c r="P26" s="2"/>
      <c r="Q26" s="5">
        <f t="shared" si="0"/>
        <v>91008</v>
      </c>
      <c r="R26" s="5">
        <f t="shared" si="1"/>
        <v>0</v>
      </c>
      <c r="S26" s="5">
        <f t="shared" si="2"/>
        <v>0</v>
      </c>
      <c r="T26" s="5">
        <f t="shared" si="3"/>
        <v>0</v>
      </c>
      <c r="U26" s="5">
        <f t="shared" si="4"/>
        <v>0</v>
      </c>
      <c r="Z26"/>
    </row>
    <row r="27" spans="1:26" ht="12.75" customHeight="1" x14ac:dyDescent="0.25">
      <c r="A27" s="4"/>
      <c r="C27" s="81" t="s">
        <v>67</v>
      </c>
      <c r="D27" s="82" t="s">
        <v>49</v>
      </c>
      <c r="E27" s="82" t="s">
        <v>11</v>
      </c>
      <c r="F27" s="80" t="s">
        <v>50</v>
      </c>
      <c r="G27" s="2"/>
      <c r="H27" s="64">
        <f>IF($E27="Labour",Assumptions!$B$14,)</f>
        <v>145.77740895836223</v>
      </c>
      <c r="I27" s="9" t="str">
        <f t="shared" si="5"/>
        <v>Hours</v>
      </c>
      <c r="J27" s="2"/>
      <c r="K27" s="83">
        <f>91008/H27</f>
        <v>624.29426239832685</v>
      </c>
      <c r="L27" s="83"/>
      <c r="M27" s="83"/>
      <c r="N27" s="83"/>
      <c r="O27" s="83"/>
      <c r="P27" s="2"/>
      <c r="Q27" s="5">
        <f t="shared" si="0"/>
        <v>91008</v>
      </c>
      <c r="R27" s="5">
        <f t="shared" si="1"/>
        <v>0</v>
      </c>
      <c r="S27" s="5">
        <f t="shared" si="2"/>
        <v>0</v>
      </c>
      <c r="T27" s="5">
        <f t="shared" si="3"/>
        <v>0</v>
      </c>
      <c r="U27" s="5">
        <f t="shared" si="4"/>
        <v>0</v>
      </c>
      <c r="Z27"/>
    </row>
    <row r="28" spans="1:26" ht="12.75" customHeight="1" x14ac:dyDescent="0.25">
      <c r="A28" s="4"/>
      <c r="C28" s="81" t="s">
        <v>74</v>
      </c>
      <c r="D28" s="82" t="s">
        <v>49</v>
      </c>
      <c r="E28" s="82" t="s">
        <v>11</v>
      </c>
      <c r="F28" s="80" t="s">
        <v>50</v>
      </c>
      <c r="G28" s="2"/>
      <c r="H28" s="64">
        <f>IF($E28="Labour",Assumptions!$B$14,)</f>
        <v>145.77740895836223</v>
      </c>
      <c r="I28" s="9" t="str">
        <f t="shared" si="5"/>
        <v>Hours</v>
      </c>
      <c r="J28" s="2"/>
      <c r="K28" s="83"/>
      <c r="L28" s="83">
        <f>36000/H28</f>
        <v>246.95184430313563</v>
      </c>
      <c r="M28" s="83"/>
      <c r="N28" s="83"/>
      <c r="O28" s="83"/>
      <c r="P28" s="2"/>
      <c r="Q28" s="5">
        <f t="shared" si="0"/>
        <v>0</v>
      </c>
      <c r="R28" s="5">
        <f t="shared" si="1"/>
        <v>36000</v>
      </c>
      <c r="S28" s="5">
        <f t="shared" si="2"/>
        <v>0</v>
      </c>
      <c r="T28" s="5">
        <f t="shared" si="3"/>
        <v>0</v>
      </c>
      <c r="U28" s="5">
        <f t="shared" si="4"/>
        <v>0</v>
      </c>
      <c r="Z28"/>
    </row>
    <row r="29" spans="1:26" ht="12.75" customHeight="1" x14ac:dyDescent="0.25">
      <c r="A29" s="4"/>
      <c r="C29" s="81" t="s">
        <v>75</v>
      </c>
      <c r="D29" s="82" t="s">
        <v>49</v>
      </c>
      <c r="E29" s="82" t="s">
        <v>11</v>
      </c>
      <c r="F29" s="80" t="s">
        <v>50</v>
      </c>
      <c r="G29" s="2"/>
      <c r="H29" s="64">
        <f>IF($E29="Labour",Assumptions!$B$14,)</f>
        <v>145.77740895836223</v>
      </c>
      <c r="I29" s="9" t="str">
        <f t="shared" si="5"/>
        <v>Hours</v>
      </c>
      <c r="J29" s="2"/>
      <c r="K29" s="83"/>
      <c r="L29" s="118">
        <f>72000/H29</f>
        <v>493.90368860627126</v>
      </c>
      <c r="M29" s="83"/>
      <c r="N29" s="83"/>
      <c r="O29" s="83"/>
      <c r="P29" s="2"/>
      <c r="Q29" s="5">
        <f t="shared" si="0"/>
        <v>0</v>
      </c>
      <c r="R29" s="5">
        <f t="shared" si="1"/>
        <v>72000</v>
      </c>
      <c r="S29" s="5">
        <f t="shared" si="2"/>
        <v>0</v>
      </c>
      <c r="T29" s="5">
        <f t="shared" si="3"/>
        <v>0</v>
      </c>
      <c r="U29" s="5">
        <f t="shared" si="4"/>
        <v>0</v>
      </c>
      <c r="Z29"/>
    </row>
    <row r="30" spans="1:26" ht="12.75" customHeight="1" x14ac:dyDescent="0.25">
      <c r="A30" s="4"/>
      <c r="C30" s="81" t="s">
        <v>76</v>
      </c>
      <c r="D30" s="82" t="s">
        <v>49</v>
      </c>
      <c r="E30" s="82" t="s">
        <v>11</v>
      </c>
      <c r="F30" s="80" t="s">
        <v>50</v>
      </c>
      <c r="G30" s="2"/>
      <c r="H30" s="64">
        <f>IF($E30="Labour",Assumptions!$B$14,)</f>
        <v>145.77740895836223</v>
      </c>
      <c r="I30" s="9" t="str">
        <f t="shared" si="5"/>
        <v>Hours</v>
      </c>
      <c r="J30" s="2"/>
      <c r="K30" s="83"/>
      <c r="L30" s="118">
        <f>140000/H30</f>
        <v>960.36828340108309</v>
      </c>
      <c r="M30" s="83"/>
      <c r="N30" s="83"/>
      <c r="O30" s="83"/>
      <c r="P30" s="2"/>
      <c r="Q30" s="5">
        <f t="shared" si="0"/>
        <v>0</v>
      </c>
      <c r="R30" s="5">
        <f t="shared" si="1"/>
        <v>140000</v>
      </c>
      <c r="S30" s="5">
        <f t="shared" si="2"/>
        <v>0</v>
      </c>
      <c r="T30" s="5">
        <f t="shared" si="3"/>
        <v>0</v>
      </c>
      <c r="U30" s="5">
        <f t="shared" si="4"/>
        <v>0</v>
      </c>
      <c r="Z30"/>
    </row>
    <row r="31" spans="1:26" ht="12.75" customHeight="1" x14ac:dyDescent="0.25">
      <c r="A31" s="4"/>
      <c r="C31" s="81" t="s">
        <v>77</v>
      </c>
      <c r="D31" s="82" t="s">
        <v>49</v>
      </c>
      <c r="E31" s="82" t="s">
        <v>11</v>
      </c>
      <c r="F31" s="80" t="s">
        <v>50</v>
      </c>
      <c r="G31" s="2"/>
      <c r="H31" s="64">
        <f>IF($E31="Labour",Assumptions!$B$14,)</f>
        <v>145.77740895836223</v>
      </c>
      <c r="I31" s="9" t="str">
        <f t="shared" si="5"/>
        <v>Hours</v>
      </c>
      <c r="J31" s="2"/>
      <c r="K31" s="83"/>
      <c r="L31" s="118">
        <f>88000/H31</f>
        <v>603.66006385210937</v>
      </c>
      <c r="M31" s="83"/>
      <c r="N31" s="83"/>
      <c r="O31" s="83"/>
      <c r="P31" s="2"/>
      <c r="Q31" s="5">
        <f t="shared" si="0"/>
        <v>0</v>
      </c>
      <c r="R31" s="5">
        <f t="shared" si="1"/>
        <v>88000</v>
      </c>
      <c r="S31" s="5">
        <f t="shared" si="2"/>
        <v>0</v>
      </c>
      <c r="T31" s="5">
        <f t="shared" si="3"/>
        <v>0</v>
      </c>
      <c r="U31" s="5">
        <f t="shared" si="4"/>
        <v>0</v>
      </c>
      <c r="Z31"/>
    </row>
    <row r="32" spans="1:26" ht="12.75" customHeight="1" x14ac:dyDescent="0.25">
      <c r="A32" s="4"/>
      <c r="C32" s="81" t="s">
        <v>78</v>
      </c>
      <c r="D32" s="82" t="s">
        <v>49</v>
      </c>
      <c r="E32" s="82" t="s">
        <v>11</v>
      </c>
      <c r="F32" s="80" t="s">
        <v>50</v>
      </c>
      <c r="G32" s="2"/>
      <c r="H32" s="64">
        <f>IF($E32="Labour",Assumptions!$B$14,)</f>
        <v>145.77740895836223</v>
      </c>
      <c r="I32" s="9" t="str">
        <f t="shared" si="5"/>
        <v>Hours</v>
      </c>
      <c r="J32" s="2"/>
      <c r="K32" s="83"/>
      <c r="L32" s="118">
        <f>32000/H32</f>
        <v>219.51275049167612</v>
      </c>
      <c r="M32" s="83"/>
      <c r="N32" s="83"/>
      <c r="O32" s="83"/>
      <c r="P32" s="2"/>
      <c r="Q32" s="5">
        <f t="shared" si="0"/>
        <v>0</v>
      </c>
      <c r="R32" s="5">
        <f t="shared" si="1"/>
        <v>32000</v>
      </c>
      <c r="S32" s="5">
        <f t="shared" si="2"/>
        <v>0</v>
      </c>
      <c r="T32" s="5">
        <f t="shared" si="3"/>
        <v>0</v>
      </c>
      <c r="U32" s="5">
        <f t="shared" si="4"/>
        <v>0</v>
      </c>
      <c r="Z32"/>
    </row>
    <row r="33" spans="1:26" ht="12.75" customHeight="1" x14ac:dyDescent="0.25">
      <c r="A33" s="4"/>
      <c r="C33" s="81" t="s">
        <v>79</v>
      </c>
      <c r="D33" s="82" t="s">
        <v>49</v>
      </c>
      <c r="E33" s="82" t="s">
        <v>11</v>
      </c>
      <c r="F33" s="80" t="s">
        <v>50</v>
      </c>
      <c r="G33" s="2"/>
      <c r="H33" s="64">
        <f>IF($E33="Labour",Assumptions!$B$14,)</f>
        <v>145.77740895836223</v>
      </c>
      <c r="I33" s="9" t="str">
        <f t="shared" si="5"/>
        <v>Hours</v>
      </c>
      <c r="J33" s="2"/>
      <c r="K33" s="83"/>
      <c r="L33" s="118">
        <f>32000/H33</f>
        <v>219.51275049167612</v>
      </c>
      <c r="M33" s="83"/>
      <c r="N33" s="83"/>
      <c r="O33" s="83"/>
      <c r="P33" s="2"/>
      <c r="Q33" s="5">
        <f t="shared" si="0"/>
        <v>0</v>
      </c>
      <c r="R33" s="5">
        <f t="shared" si="1"/>
        <v>32000</v>
      </c>
      <c r="S33" s="5">
        <f t="shared" si="2"/>
        <v>0</v>
      </c>
      <c r="T33" s="5">
        <f t="shared" si="3"/>
        <v>0</v>
      </c>
      <c r="U33" s="5">
        <f t="shared" si="4"/>
        <v>0</v>
      </c>
      <c r="Z33"/>
    </row>
    <row r="34" spans="1:26" ht="12.75" customHeight="1" x14ac:dyDescent="0.25">
      <c r="A34" s="4"/>
      <c r="C34" s="81" t="s">
        <v>80</v>
      </c>
      <c r="D34" s="82" t="s">
        <v>49</v>
      </c>
      <c r="E34" s="82" t="s">
        <v>11</v>
      </c>
      <c r="F34" s="80" t="s">
        <v>50</v>
      </c>
      <c r="G34" s="2"/>
      <c r="H34" s="64">
        <f>IF($E34="Labour",Assumptions!$B$14,)</f>
        <v>145.77740895836223</v>
      </c>
      <c r="I34" s="9" t="str">
        <f t="shared" si="5"/>
        <v>Hours</v>
      </c>
      <c r="J34" s="2"/>
      <c r="K34" s="83"/>
      <c r="L34" s="83">
        <f>17064/H34</f>
        <v>117.05517419968629</v>
      </c>
      <c r="M34" s="83"/>
      <c r="N34" s="83"/>
      <c r="O34" s="83"/>
      <c r="P34" s="2"/>
      <c r="Q34" s="5">
        <f t="shared" si="0"/>
        <v>0</v>
      </c>
      <c r="R34" s="5">
        <f t="shared" si="1"/>
        <v>17064</v>
      </c>
      <c r="S34" s="5">
        <f t="shared" si="2"/>
        <v>0</v>
      </c>
      <c r="T34" s="5">
        <f t="shared" si="3"/>
        <v>0</v>
      </c>
      <c r="U34" s="5">
        <f t="shared" si="4"/>
        <v>0</v>
      </c>
      <c r="Z34"/>
    </row>
    <row r="35" spans="1:26" ht="12.75" customHeight="1" x14ac:dyDescent="0.25">
      <c r="A35" s="4"/>
      <c r="C35" s="81" t="s">
        <v>81</v>
      </c>
      <c r="D35" s="82" t="s">
        <v>49</v>
      </c>
      <c r="E35" s="82" t="s">
        <v>11</v>
      </c>
      <c r="F35" s="80" t="s">
        <v>50</v>
      </c>
      <c r="G35" s="2"/>
      <c r="H35" s="64">
        <f>IF($E35="Labour",Assumptions!$B$14,)</f>
        <v>145.77740895836223</v>
      </c>
      <c r="I35" s="9" t="str">
        <f t="shared" si="5"/>
        <v>Hours</v>
      </c>
      <c r="J35" s="2"/>
      <c r="K35" s="83"/>
      <c r="L35" s="83">
        <f>34128/H35</f>
        <v>234.11034839937258</v>
      </c>
      <c r="M35" s="83"/>
      <c r="N35" s="83"/>
      <c r="O35" s="83"/>
      <c r="P35" s="2"/>
      <c r="Q35" s="5">
        <f t="shared" si="0"/>
        <v>0</v>
      </c>
      <c r="R35" s="5">
        <f t="shared" si="1"/>
        <v>34128</v>
      </c>
      <c r="S35" s="5">
        <f t="shared" si="2"/>
        <v>0</v>
      </c>
      <c r="T35" s="5">
        <f t="shared" si="3"/>
        <v>0</v>
      </c>
      <c r="U35" s="5">
        <f t="shared" si="4"/>
        <v>0</v>
      </c>
      <c r="Z35"/>
    </row>
    <row r="36" spans="1:26" ht="12.75" customHeight="1" x14ac:dyDescent="0.25">
      <c r="A36" s="4"/>
      <c r="C36" s="81" t="s">
        <v>82</v>
      </c>
      <c r="D36" s="82" t="s">
        <v>49</v>
      </c>
      <c r="E36" s="82" t="s">
        <v>11</v>
      </c>
      <c r="F36" s="80" t="s">
        <v>50</v>
      </c>
      <c r="G36" s="2"/>
      <c r="H36" s="64">
        <f>IF($E36="Labour",Assumptions!$B$14,)</f>
        <v>145.77740895836223</v>
      </c>
      <c r="I36" s="9" t="str">
        <f t="shared" si="5"/>
        <v>Hours</v>
      </c>
      <c r="J36" s="2"/>
      <c r="K36" s="83"/>
      <c r="L36" s="83">
        <f>66360/H36</f>
        <v>455.21456633211335</v>
      </c>
      <c r="M36" s="83"/>
      <c r="N36" s="83"/>
      <c r="O36" s="83"/>
      <c r="P36" s="2"/>
      <c r="Q36" s="5">
        <f t="shared" si="0"/>
        <v>0</v>
      </c>
      <c r="R36" s="5">
        <f t="shared" si="1"/>
        <v>66360</v>
      </c>
      <c r="S36" s="5">
        <f t="shared" si="2"/>
        <v>0</v>
      </c>
      <c r="T36" s="5">
        <f t="shared" si="3"/>
        <v>0</v>
      </c>
      <c r="U36" s="5">
        <f t="shared" si="4"/>
        <v>0</v>
      </c>
      <c r="Z36"/>
    </row>
    <row r="37" spans="1:26" ht="12.75" customHeight="1" x14ac:dyDescent="0.25">
      <c r="A37" s="4"/>
      <c r="C37" s="81" t="s">
        <v>83</v>
      </c>
      <c r="D37" s="82" t="s">
        <v>49</v>
      </c>
      <c r="E37" s="82" t="s">
        <v>11</v>
      </c>
      <c r="F37" s="80" t="s">
        <v>50</v>
      </c>
      <c r="G37" s="2"/>
      <c r="H37" s="64">
        <f>IF($E37="Labour",Assumptions!$B$14,)</f>
        <v>145.77740895836223</v>
      </c>
      <c r="I37" s="9" t="str">
        <f t="shared" si="5"/>
        <v>Hours</v>
      </c>
      <c r="J37" s="2"/>
      <c r="K37" s="83"/>
      <c r="L37" s="83">
        <f>41712/H37</f>
        <v>286.13487026589985</v>
      </c>
      <c r="M37" s="83"/>
      <c r="N37" s="83"/>
      <c r="O37" s="83"/>
      <c r="P37" s="2"/>
      <c r="Q37" s="5">
        <f t="shared" si="0"/>
        <v>0</v>
      </c>
      <c r="R37" s="5">
        <f t="shared" si="1"/>
        <v>41712</v>
      </c>
      <c r="S37" s="5">
        <f t="shared" si="2"/>
        <v>0</v>
      </c>
      <c r="T37" s="5">
        <f t="shared" si="3"/>
        <v>0</v>
      </c>
      <c r="U37" s="5">
        <f t="shared" si="4"/>
        <v>0</v>
      </c>
      <c r="Z37"/>
    </row>
    <row r="38" spans="1:26" ht="12.75" customHeight="1" x14ac:dyDescent="0.25">
      <c r="A38" s="4"/>
      <c r="C38" s="81" t="s">
        <v>84</v>
      </c>
      <c r="D38" s="82" t="s">
        <v>49</v>
      </c>
      <c r="E38" s="82" t="s">
        <v>11</v>
      </c>
      <c r="F38" s="80" t="s">
        <v>50</v>
      </c>
      <c r="G38" s="2"/>
      <c r="H38" s="64">
        <f>IF($E38="Labour",Assumptions!$B$14,)</f>
        <v>145.77740895836223</v>
      </c>
      <c r="I38" s="9" t="str">
        <f t="shared" si="5"/>
        <v>Hours</v>
      </c>
      <c r="J38" s="2"/>
      <c r="K38" s="83"/>
      <c r="L38" s="83">
        <f>15168/H38</f>
        <v>104.04904373305449</v>
      </c>
      <c r="M38" s="83"/>
      <c r="N38" s="83"/>
      <c r="O38" s="83"/>
      <c r="P38" s="2"/>
      <c r="Q38" s="5">
        <f t="shared" si="0"/>
        <v>0</v>
      </c>
      <c r="R38" s="5">
        <f t="shared" si="1"/>
        <v>15168.000000000002</v>
      </c>
      <c r="S38" s="5">
        <f t="shared" si="2"/>
        <v>0</v>
      </c>
      <c r="T38" s="5">
        <f t="shared" si="3"/>
        <v>0</v>
      </c>
      <c r="U38" s="5">
        <f t="shared" si="4"/>
        <v>0</v>
      </c>
      <c r="Z38"/>
    </row>
    <row r="39" spans="1:26" ht="12.75" customHeight="1" x14ac:dyDescent="0.25">
      <c r="A39" s="4"/>
      <c r="C39" s="81" t="s">
        <v>85</v>
      </c>
      <c r="D39" s="82" t="s">
        <v>49</v>
      </c>
      <c r="E39" s="82" t="s">
        <v>11</v>
      </c>
      <c r="F39" s="80" t="s">
        <v>50</v>
      </c>
      <c r="G39" s="2"/>
      <c r="H39" s="64">
        <f>IF($E39="Labour",Assumptions!$B$14,)</f>
        <v>145.77740895836223</v>
      </c>
      <c r="I39" s="9" t="str">
        <f t="shared" si="5"/>
        <v>Hours</v>
      </c>
      <c r="J39" s="2"/>
      <c r="K39" s="83"/>
      <c r="L39" s="83">
        <f>15168/H39</f>
        <v>104.04904373305449</v>
      </c>
      <c r="M39" s="83"/>
      <c r="N39" s="83"/>
      <c r="O39" s="83"/>
      <c r="P39" s="2"/>
      <c r="Q39" s="5">
        <f t="shared" si="0"/>
        <v>0</v>
      </c>
      <c r="R39" s="5">
        <f t="shared" si="1"/>
        <v>15168.000000000002</v>
      </c>
      <c r="S39" s="5">
        <f t="shared" si="2"/>
        <v>0</v>
      </c>
      <c r="T39" s="5">
        <f t="shared" si="3"/>
        <v>0</v>
      </c>
      <c r="U39" s="5">
        <f t="shared" si="4"/>
        <v>0</v>
      </c>
      <c r="Z39"/>
    </row>
    <row r="40" spans="1:26" ht="12.75" customHeight="1" x14ac:dyDescent="0.2">
      <c r="A40" s="4"/>
      <c r="C40" s="81"/>
      <c r="D40" s="82"/>
      <c r="E40" s="82"/>
      <c r="F40" s="80"/>
      <c r="H40" s="64">
        <f>IF($E40="Labour",Assumptions!$B$14,)</f>
        <v>0</v>
      </c>
      <c r="I40" s="9" t="str">
        <f t="shared" si="5"/>
        <v>$</v>
      </c>
      <c r="K40" s="83"/>
      <c r="L40" s="83"/>
      <c r="M40" s="83"/>
      <c r="N40" s="83"/>
      <c r="O40" s="83"/>
      <c r="Q40" s="5">
        <f t="shared" si="0"/>
        <v>0</v>
      </c>
      <c r="R40" s="5">
        <f t="shared" si="1"/>
        <v>0</v>
      </c>
      <c r="S40" s="5">
        <f t="shared" si="2"/>
        <v>0</v>
      </c>
      <c r="T40" s="5">
        <f t="shared" si="3"/>
        <v>0</v>
      </c>
      <c r="U40" s="5">
        <f t="shared" si="4"/>
        <v>0</v>
      </c>
    </row>
    <row r="41" spans="1:26" ht="12.75" customHeight="1" x14ac:dyDescent="0.2">
      <c r="A41" s="4"/>
      <c r="C41" s="81"/>
      <c r="D41" s="82"/>
      <c r="E41" s="82"/>
      <c r="F41" s="80"/>
      <c r="H41" s="64">
        <f>IF($E41="Labour",Assumptions!$B$14,)</f>
        <v>0</v>
      </c>
      <c r="I41" s="9" t="str">
        <f t="shared" si="5"/>
        <v>$</v>
      </c>
      <c r="K41" s="83"/>
      <c r="L41" s="83"/>
      <c r="M41" s="83"/>
      <c r="N41" s="83"/>
      <c r="O41" s="83"/>
      <c r="Q41" s="5">
        <f t="shared" si="0"/>
        <v>0</v>
      </c>
      <c r="R41" s="5">
        <f t="shared" si="1"/>
        <v>0</v>
      </c>
      <c r="S41" s="5">
        <f t="shared" si="2"/>
        <v>0</v>
      </c>
      <c r="T41" s="5">
        <f t="shared" si="3"/>
        <v>0</v>
      </c>
      <c r="U41" s="5">
        <f t="shared" si="4"/>
        <v>0</v>
      </c>
    </row>
    <row r="42" spans="1:26" ht="12.75" customHeight="1" x14ac:dyDescent="0.2">
      <c r="A42" s="4"/>
      <c r="C42" s="81"/>
      <c r="D42" s="82"/>
      <c r="E42" s="82"/>
      <c r="F42" s="80"/>
      <c r="H42" s="64">
        <f>IF($E42="Labour",Assumptions!$B$14,)</f>
        <v>0</v>
      </c>
      <c r="I42" s="9" t="str">
        <f t="shared" si="5"/>
        <v>$</v>
      </c>
      <c r="K42" s="83"/>
      <c r="L42" s="83"/>
      <c r="M42" s="83"/>
      <c r="N42" s="83"/>
      <c r="O42" s="83"/>
      <c r="Q42" s="5">
        <f t="shared" ref="Q42:Q64" si="6">IF($E42="Labour",$H42*K42,K42)</f>
        <v>0</v>
      </c>
      <c r="R42" s="5">
        <f t="shared" ref="R42:R64" si="7">IF($E42="Labour",$H42*L42,L42)</f>
        <v>0</v>
      </c>
      <c r="S42" s="5">
        <f t="shared" ref="S42:S64" si="8">IF($E42="Labour",$H42*M42,M42)</f>
        <v>0</v>
      </c>
      <c r="T42" s="5">
        <f t="shared" ref="T42:T64" si="9">IF($E42="Labour",$H42*N42,N42)</f>
        <v>0</v>
      </c>
      <c r="U42" s="5">
        <f t="shared" ref="U42:U64" si="10">IF($E42="Labour",$H42*O42,O42)</f>
        <v>0</v>
      </c>
    </row>
    <row r="43" spans="1:26" ht="12.75" customHeight="1" x14ac:dyDescent="0.2">
      <c r="A43" s="4"/>
      <c r="C43" s="81"/>
      <c r="D43" s="82"/>
      <c r="E43" s="82"/>
      <c r="F43" s="80"/>
      <c r="H43" s="64">
        <f>IF($E43="Labour",Assumptions!$B$14,)</f>
        <v>0</v>
      </c>
      <c r="I43" s="9" t="str">
        <f t="shared" si="5"/>
        <v>$</v>
      </c>
      <c r="K43" s="83"/>
      <c r="L43" s="83"/>
      <c r="M43" s="83"/>
      <c r="N43" s="83"/>
      <c r="O43" s="83"/>
      <c r="Q43" s="5">
        <f t="shared" si="6"/>
        <v>0</v>
      </c>
      <c r="R43" s="5">
        <f t="shared" si="7"/>
        <v>0</v>
      </c>
      <c r="S43" s="5">
        <f t="shared" si="8"/>
        <v>0</v>
      </c>
      <c r="T43" s="5">
        <f t="shared" si="9"/>
        <v>0</v>
      </c>
      <c r="U43" s="5">
        <f t="shared" si="10"/>
        <v>0</v>
      </c>
    </row>
    <row r="44" spans="1:26" ht="12.75" customHeight="1" x14ac:dyDescent="0.2">
      <c r="A44" s="4"/>
      <c r="C44" s="81"/>
      <c r="D44" s="82"/>
      <c r="E44" s="82"/>
      <c r="F44" s="80"/>
      <c r="H44" s="64">
        <f>IF($E44="Labour",Assumptions!$B$14,)</f>
        <v>0</v>
      </c>
      <c r="I44" s="9" t="str">
        <f t="shared" si="5"/>
        <v>$</v>
      </c>
      <c r="K44" s="83"/>
      <c r="L44" s="83"/>
      <c r="M44" s="83"/>
      <c r="N44" s="83"/>
      <c r="O44" s="83"/>
      <c r="Q44" s="5">
        <f t="shared" si="6"/>
        <v>0</v>
      </c>
      <c r="R44" s="5">
        <f t="shared" si="7"/>
        <v>0</v>
      </c>
      <c r="S44" s="5">
        <f t="shared" si="8"/>
        <v>0</v>
      </c>
      <c r="T44" s="5">
        <f t="shared" si="9"/>
        <v>0</v>
      </c>
      <c r="U44" s="5">
        <f t="shared" si="10"/>
        <v>0</v>
      </c>
    </row>
    <row r="45" spans="1:26" ht="12.75" customHeight="1" x14ac:dyDescent="0.2">
      <c r="A45" s="4"/>
      <c r="C45" s="81"/>
      <c r="D45" s="82"/>
      <c r="E45" s="82"/>
      <c r="F45" s="80"/>
      <c r="H45" s="64">
        <f>IF($E45="Labour",Assumptions!$B$14,)</f>
        <v>0</v>
      </c>
      <c r="I45" s="9" t="str">
        <f t="shared" si="5"/>
        <v>$</v>
      </c>
      <c r="K45" s="83"/>
      <c r="L45" s="83"/>
      <c r="M45" s="83"/>
      <c r="N45" s="83"/>
      <c r="O45" s="83"/>
      <c r="Q45" s="5">
        <f t="shared" si="6"/>
        <v>0</v>
      </c>
      <c r="R45" s="5">
        <f t="shared" si="7"/>
        <v>0</v>
      </c>
      <c r="S45" s="5">
        <f t="shared" si="8"/>
        <v>0</v>
      </c>
      <c r="T45" s="5">
        <f t="shared" si="9"/>
        <v>0</v>
      </c>
      <c r="U45" s="5">
        <f t="shared" si="10"/>
        <v>0</v>
      </c>
    </row>
    <row r="46" spans="1:26" ht="12.75" customHeight="1" x14ac:dyDescent="0.2">
      <c r="A46" s="4"/>
      <c r="C46" s="81"/>
      <c r="D46" s="82"/>
      <c r="E46" s="82"/>
      <c r="F46" s="80"/>
      <c r="H46" s="64">
        <f>IF($E46="Labour",Assumptions!$B$14,)</f>
        <v>0</v>
      </c>
      <c r="I46" s="9" t="str">
        <f t="shared" si="5"/>
        <v>$</v>
      </c>
      <c r="K46" s="83"/>
      <c r="L46" s="83"/>
      <c r="M46" s="83"/>
      <c r="N46" s="83"/>
      <c r="O46" s="83"/>
      <c r="Q46" s="5">
        <f t="shared" si="6"/>
        <v>0</v>
      </c>
      <c r="R46" s="5">
        <f t="shared" si="7"/>
        <v>0</v>
      </c>
      <c r="S46" s="5">
        <f t="shared" si="8"/>
        <v>0</v>
      </c>
      <c r="T46" s="5">
        <f t="shared" si="9"/>
        <v>0</v>
      </c>
      <c r="U46" s="5">
        <f t="shared" si="10"/>
        <v>0</v>
      </c>
    </row>
    <row r="47" spans="1:26" ht="12.75" customHeight="1" x14ac:dyDescent="0.2">
      <c r="A47" s="4"/>
      <c r="C47" s="81"/>
      <c r="D47" s="82"/>
      <c r="E47" s="82"/>
      <c r="F47" s="80"/>
      <c r="H47" s="64">
        <f>IF($E47="Labour",Assumptions!$B$14,)</f>
        <v>0</v>
      </c>
      <c r="I47" s="9" t="str">
        <f t="shared" si="5"/>
        <v>$</v>
      </c>
      <c r="K47" s="83"/>
      <c r="L47" s="83"/>
      <c r="M47" s="83"/>
      <c r="N47" s="83"/>
      <c r="O47" s="83"/>
      <c r="Q47" s="5">
        <f t="shared" si="6"/>
        <v>0</v>
      </c>
      <c r="R47" s="5">
        <f t="shared" si="7"/>
        <v>0</v>
      </c>
      <c r="S47" s="5">
        <f t="shared" si="8"/>
        <v>0</v>
      </c>
      <c r="T47" s="5">
        <f t="shared" si="9"/>
        <v>0</v>
      </c>
      <c r="U47" s="5">
        <f t="shared" si="10"/>
        <v>0</v>
      </c>
    </row>
    <row r="48" spans="1:26" ht="12.75" customHeight="1" x14ac:dyDescent="0.2">
      <c r="A48" s="4"/>
      <c r="C48" s="81"/>
      <c r="D48" s="82"/>
      <c r="E48" s="82"/>
      <c r="F48" s="80"/>
      <c r="H48" s="64">
        <f>IF($E48="Labour",Assumptions!$B$14,)</f>
        <v>0</v>
      </c>
      <c r="I48" s="9" t="str">
        <f t="shared" si="5"/>
        <v>$</v>
      </c>
      <c r="K48" s="83"/>
      <c r="L48" s="83"/>
      <c r="M48" s="83"/>
      <c r="N48" s="83"/>
      <c r="O48" s="83"/>
      <c r="Q48" s="5">
        <f t="shared" si="6"/>
        <v>0</v>
      </c>
      <c r="R48" s="5">
        <f t="shared" si="7"/>
        <v>0</v>
      </c>
      <c r="S48" s="5">
        <f t="shared" si="8"/>
        <v>0</v>
      </c>
      <c r="T48" s="5">
        <f t="shared" si="9"/>
        <v>0</v>
      </c>
      <c r="U48" s="5">
        <f t="shared" si="10"/>
        <v>0</v>
      </c>
    </row>
    <row r="49" spans="1:22" ht="12.75" customHeight="1" x14ac:dyDescent="0.2">
      <c r="A49" s="4"/>
      <c r="C49" s="81"/>
      <c r="D49" s="82"/>
      <c r="E49" s="82"/>
      <c r="F49" s="80"/>
      <c r="H49" s="64">
        <f>IF($E49="Labour",Assumptions!$B$14,)</f>
        <v>0</v>
      </c>
      <c r="I49" s="9" t="str">
        <f t="shared" si="5"/>
        <v>$</v>
      </c>
      <c r="K49" s="83"/>
      <c r="L49" s="83"/>
      <c r="M49" s="83"/>
      <c r="N49" s="83"/>
      <c r="O49" s="83"/>
      <c r="Q49" s="5">
        <f t="shared" si="6"/>
        <v>0</v>
      </c>
      <c r="R49" s="5">
        <f t="shared" si="7"/>
        <v>0</v>
      </c>
      <c r="S49" s="5">
        <f t="shared" si="8"/>
        <v>0</v>
      </c>
      <c r="T49" s="5">
        <f t="shared" si="9"/>
        <v>0</v>
      </c>
      <c r="U49" s="5">
        <f t="shared" si="10"/>
        <v>0</v>
      </c>
    </row>
    <row r="50" spans="1:22" ht="12.75" customHeight="1" x14ac:dyDescent="0.2">
      <c r="A50" s="4"/>
      <c r="C50" s="81"/>
      <c r="D50" s="82"/>
      <c r="E50" s="82"/>
      <c r="F50" s="80"/>
      <c r="H50" s="64">
        <f>IF($E50="Labour",Assumptions!$B$14,)</f>
        <v>0</v>
      </c>
      <c r="I50" s="9" t="str">
        <f t="shared" si="5"/>
        <v>$</v>
      </c>
      <c r="K50" s="83"/>
      <c r="L50" s="83"/>
      <c r="M50" s="83"/>
      <c r="N50" s="83"/>
      <c r="O50" s="83"/>
      <c r="Q50" s="5">
        <f t="shared" si="6"/>
        <v>0</v>
      </c>
      <c r="R50" s="5">
        <f t="shared" si="7"/>
        <v>0</v>
      </c>
      <c r="S50" s="5">
        <f t="shared" si="8"/>
        <v>0</v>
      </c>
      <c r="T50" s="5">
        <f t="shared" si="9"/>
        <v>0</v>
      </c>
      <c r="U50" s="5">
        <f t="shared" si="10"/>
        <v>0</v>
      </c>
    </row>
    <row r="51" spans="1:22" ht="12.75" customHeight="1" x14ac:dyDescent="0.2">
      <c r="A51" s="4"/>
      <c r="C51" s="81"/>
      <c r="D51" s="82"/>
      <c r="E51" s="82"/>
      <c r="F51" s="80"/>
      <c r="H51" s="64">
        <f>IF($E51="Labour",Assumptions!$B$14,)</f>
        <v>0</v>
      </c>
      <c r="I51" s="9" t="str">
        <f t="shared" si="5"/>
        <v>$</v>
      </c>
      <c r="K51" s="83"/>
      <c r="L51" s="83"/>
      <c r="M51" s="83"/>
      <c r="N51" s="83"/>
      <c r="O51" s="83"/>
      <c r="Q51" s="5">
        <f t="shared" si="6"/>
        <v>0</v>
      </c>
      <c r="R51" s="5">
        <f t="shared" si="7"/>
        <v>0</v>
      </c>
      <c r="S51" s="5">
        <f t="shared" si="8"/>
        <v>0</v>
      </c>
      <c r="T51" s="5">
        <f t="shared" si="9"/>
        <v>0</v>
      </c>
      <c r="U51" s="5">
        <f t="shared" si="10"/>
        <v>0</v>
      </c>
    </row>
    <row r="52" spans="1:22" ht="12.75" customHeight="1" x14ac:dyDescent="0.2">
      <c r="A52" s="4"/>
      <c r="C52" s="81"/>
      <c r="D52" s="82"/>
      <c r="E52" s="82"/>
      <c r="F52" s="80"/>
      <c r="H52" s="64">
        <f>IF($E52="Labour",Assumptions!$B$14,)</f>
        <v>0</v>
      </c>
      <c r="I52" s="9" t="str">
        <f t="shared" si="5"/>
        <v>$</v>
      </c>
      <c r="K52" s="83"/>
      <c r="L52" s="83"/>
      <c r="M52" s="83"/>
      <c r="N52" s="83"/>
      <c r="O52" s="83"/>
      <c r="Q52" s="5">
        <f t="shared" si="6"/>
        <v>0</v>
      </c>
      <c r="R52" s="5">
        <f t="shared" si="7"/>
        <v>0</v>
      </c>
      <c r="S52" s="5">
        <f t="shared" si="8"/>
        <v>0</v>
      </c>
      <c r="T52" s="5">
        <f t="shared" si="9"/>
        <v>0</v>
      </c>
      <c r="U52" s="5">
        <f t="shared" si="10"/>
        <v>0</v>
      </c>
    </row>
    <row r="53" spans="1:22" ht="12.75" customHeight="1" x14ac:dyDescent="0.2">
      <c r="A53" s="4"/>
      <c r="C53" s="81"/>
      <c r="D53" s="82"/>
      <c r="E53" s="82"/>
      <c r="F53" s="80"/>
      <c r="H53" s="64">
        <f>IF($E53="Labour",Assumptions!$B$14,)</f>
        <v>0</v>
      </c>
      <c r="I53" s="9" t="str">
        <f t="shared" si="5"/>
        <v>$</v>
      </c>
      <c r="K53" s="83"/>
      <c r="L53" s="83"/>
      <c r="M53" s="83"/>
      <c r="N53" s="83"/>
      <c r="O53" s="83"/>
      <c r="Q53" s="5">
        <f t="shared" si="6"/>
        <v>0</v>
      </c>
      <c r="R53" s="5">
        <f t="shared" si="7"/>
        <v>0</v>
      </c>
      <c r="S53" s="5">
        <f t="shared" si="8"/>
        <v>0</v>
      </c>
      <c r="T53" s="5">
        <f t="shared" si="9"/>
        <v>0</v>
      </c>
      <c r="U53" s="5">
        <f t="shared" si="10"/>
        <v>0</v>
      </c>
    </row>
    <row r="54" spans="1:22" ht="12.75" customHeight="1" x14ac:dyDescent="0.2">
      <c r="A54" s="4"/>
      <c r="C54" s="81"/>
      <c r="D54" s="82"/>
      <c r="E54" s="82"/>
      <c r="F54" s="80"/>
      <c r="H54" s="64">
        <f>IF($E54="Labour",Assumptions!$B$14,)</f>
        <v>0</v>
      </c>
      <c r="I54" s="9" t="str">
        <f t="shared" si="5"/>
        <v>$</v>
      </c>
      <c r="K54" s="83"/>
      <c r="L54" s="83"/>
      <c r="M54" s="83"/>
      <c r="N54" s="83"/>
      <c r="O54" s="83"/>
      <c r="Q54" s="5">
        <f t="shared" si="6"/>
        <v>0</v>
      </c>
      <c r="R54" s="5">
        <f t="shared" si="7"/>
        <v>0</v>
      </c>
      <c r="S54" s="5">
        <f t="shared" si="8"/>
        <v>0</v>
      </c>
      <c r="T54" s="5">
        <f t="shared" si="9"/>
        <v>0</v>
      </c>
      <c r="U54" s="5">
        <f t="shared" si="10"/>
        <v>0</v>
      </c>
    </row>
    <row r="55" spans="1:22" ht="12.75" customHeight="1" x14ac:dyDescent="0.2">
      <c r="A55" s="4"/>
      <c r="C55" s="81"/>
      <c r="D55" s="82"/>
      <c r="E55" s="82"/>
      <c r="F55" s="80"/>
      <c r="H55" s="64">
        <f>IF($E55="Labour",Assumptions!$B$14,)</f>
        <v>0</v>
      </c>
      <c r="I55" s="9" t="str">
        <f t="shared" si="5"/>
        <v>$</v>
      </c>
      <c r="K55" s="83"/>
      <c r="L55" s="83"/>
      <c r="M55" s="83"/>
      <c r="N55" s="83"/>
      <c r="O55" s="83"/>
      <c r="Q55" s="5">
        <f t="shared" si="6"/>
        <v>0</v>
      </c>
      <c r="R55" s="5">
        <f t="shared" si="7"/>
        <v>0</v>
      </c>
      <c r="S55" s="5">
        <f t="shared" si="8"/>
        <v>0</v>
      </c>
      <c r="T55" s="5">
        <f t="shared" si="9"/>
        <v>0</v>
      </c>
      <c r="U55" s="5">
        <f t="shared" si="10"/>
        <v>0</v>
      </c>
    </row>
    <row r="56" spans="1:22" ht="12.75" customHeight="1" x14ac:dyDescent="0.2">
      <c r="A56" s="4"/>
      <c r="C56" s="81"/>
      <c r="D56" s="82"/>
      <c r="E56" s="82"/>
      <c r="F56" s="80"/>
      <c r="H56" s="64">
        <f>IF($E56="Labour",Assumptions!$B$14,)</f>
        <v>0</v>
      </c>
      <c r="I56" s="9" t="str">
        <f t="shared" si="5"/>
        <v>$</v>
      </c>
      <c r="K56" s="83"/>
      <c r="L56" s="83"/>
      <c r="M56" s="83"/>
      <c r="N56" s="83"/>
      <c r="O56" s="83"/>
      <c r="Q56" s="5">
        <f t="shared" si="6"/>
        <v>0</v>
      </c>
      <c r="R56" s="5">
        <f t="shared" si="7"/>
        <v>0</v>
      </c>
      <c r="S56" s="5">
        <f t="shared" si="8"/>
        <v>0</v>
      </c>
      <c r="T56" s="5">
        <f t="shared" si="9"/>
        <v>0</v>
      </c>
      <c r="U56" s="5">
        <f t="shared" si="10"/>
        <v>0</v>
      </c>
    </row>
    <row r="57" spans="1:22" ht="12.75" customHeight="1" x14ac:dyDescent="0.2">
      <c r="A57" s="4"/>
      <c r="C57" s="81"/>
      <c r="D57" s="82"/>
      <c r="E57" s="82"/>
      <c r="F57" s="80"/>
      <c r="H57" s="64">
        <f>IF($E57="Labour",Assumptions!$B$14,)</f>
        <v>0</v>
      </c>
      <c r="I57" s="9" t="str">
        <f t="shared" si="5"/>
        <v>$</v>
      </c>
      <c r="K57" s="83"/>
      <c r="L57" s="83"/>
      <c r="M57" s="83"/>
      <c r="N57" s="83"/>
      <c r="O57" s="83"/>
      <c r="Q57" s="5">
        <f t="shared" si="6"/>
        <v>0</v>
      </c>
      <c r="R57" s="5">
        <f t="shared" si="7"/>
        <v>0</v>
      </c>
      <c r="S57" s="5">
        <f t="shared" si="8"/>
        <v>0</v>
      </c>
      <c r="T57" s="5">
        <f t="shared" si="9"/>
        <v>0</v>
      </c>
      <c r="U57" s="5">
        <f t="shared" si="10"/>
        <v>0</v>
      </c>
    </row>
    <row r="58" spans="1:22" ht="12.75" customHeight="1" x14ac:dyDescent="0.2">
      <c r="A58" s="4"/>
      <c r="C58" s="81"/>
      <c r="D58" s="82"/>
      <c r="E58" s="82"/>
      <c r="F58" s="80"/>
      <c r="H58" s="64">
        <f>IF($E58="Labour",Assumptions!$B$14,)</f>
        <v>0</v>
      </c>
      <c r="I58" s="9" t="str">
        <f t="shared" si="5"/>
        <v>$</v>
      </c>
      <c r="K58" s="83"/>
      <c r="L58" s="83"/>
      <c r="M58" s="83"/>
      <c r="N58" s="83"/>
      <c r="O58" s="83"/>
      <c r="Q58" s="5">
        <f t="shared" si="6"/>
        <v>0</v>
      </c>
      <c r="R58" s="5">
        <f t="shared" si="7"/>
        <v>0</v>
      </c>
      <c r="S58" s="5">
        <f t="shared" si="8"/>
        <v>0</v>
      </c>
      <c r="T58" s="5">
        <f t="shared" si="9"/>
        <v>0</v>
      </c>
      <c r="U58" s="5">
        <f t="shared" si="10"/>
        <v>0</v>
      </c>
    </row>
    <row r="59" spans="1:22" ht="12.75" customHeight="1" x14ac:dyDescent="0.2">
      <c r="A59" s="4"/>
      <c r="C59" s="81"/>
      <c r="D59" s="82"/>
      <c r="E59" s="82"/>
      <c r="F59" s="80"/>
      <c r="H59" s="64">
        <f>IF($E59="Labour",Assumptions!$B$14,)</f>
        <v>0</v>
      </c>
      <c r="I59" s="9" t="str">
        <f t="shared" si="5"/>
        <v>$</v>
      </c>
      <c r="K59" s="83"/>
      <c r="L59" s="83"/>
      <c r="M59" s="83"/>
      <c r="N59" s="83"/>
      <c r="O59" s="83"/>
      <c r="Q59" s="5">
        <f t="shared" si="6"/>
        <v>0</v>
      </c>
      <c r="R59" s="5">
        <f t="shared" si="7"/>
        <v>0</v>
      </c>
      <c r="S59" s="5">
        <f t="shared" si="8"/>
        <v>0</v>
      </c>
      <c r="T59" s="5">
        <f t="shared" si="9"/>
        <v>0</v>
      </c>
      <c r="U59" s="5">
        <f t="shared" si="10"/>
        <v>0</v>
      </c>
    </row>
    <row r="60" spans="1:22" ht="12.75" customHeight="1" x14ac:dyDescent="0.2">
      <c r="A60" s="4"/>
      <c r="C60" s="81"/>
      <c r="D60" s="82"/>
      <c r="E60" s="82"/>
      <c r="F60" s="80"/>
      <c r="H60" s="64">
        <f>IF($E60="Labour",Assumptions!$B$14,)</f>
        <v>0</v>
      </c>
      <c r="I60" s="9" t="str">
        <f t="shared" si="5"/>
        <v>$</v>
      </c>
      <c r="K60" s="83"/>
      <c r="L60" s="83"/>
      <c r="M60" s="83"/>
      <c r="N60" s="83"/>
      <c r="O60" s="83"/>
      <c r="Q60" s="5">
        <f t="shared" si="6"/>
        <v>0</v>
      </c>
      <c r="R60" s="5">
        <f t="shared" si="7"/>
        <v>0</v>
      </c>
      <c r="S60" s="5">
        <f t="shared" si="8"/>
        <v>0</v>
      </c>
      <c r="T60" s="5">
        <f t="shared" si="9"/>
        <v>0</v>
      </c>
      <c r="U60" s="5">
        <f t="shared" si="10"/>
        <v>0</v>
      </c>
    </row>
    <row r="61" spans="1:22" ht="12.75" customHeight="1" x14ac:dyDescent="0.2">
      <c r="A61" s="4"/>
      <c r="C61" s="81"/>
      <c r="D61" s="82"/>
      <c r="E61" s="82"/>
      <c r="F61" s="80"/>
      <c r="H61" s="64">
        <f>IF($E61="Labour",Assumptions!$B$14,)</f>
        <v>0</v>
      </c>
      <c r="I61" s="9" t="str">
        <f t="shared" si="5"/>
        <v>$</v>
      </c>
      <c r="K61" s="83"/>
      <c r="L61" s="83"/>
      <c r="M61" s="83"/>
      <c r="N61" s="83"/>
      <c r="O61" s="83"/>
      <c r="Q61" s="5">
        <f t="shared" si="6"/>
        <v>0</v>
      </c>
      <c r="R61" s="5">
        <f t="shared" si="7"/>
        <v>0</v>
      </c>
      <c r="S61" s="5">
        <f t="shared" si="8"/>
        <v>0</v>
      </c>
      <c r="T61" s="5">
        <f t="shared" si="9"/>
        <v>0</v>
      </c>
      <c r="U61" s="5">
        <f t="shared" si="10"/>
        <v>0</v>
      </c>
    </row>
    <row r="62" spans="1:22" ht="12.75" customHeight="1" x14ac:dyDescent="0.2">
      <c r="A62" s="4"/>
      <c r="C62" s="81"/>
      <c r="D62" s="82"/>
      <c r="E62" s="82"/>
      <c r="F62" s="80"/>
      <c r="H62" s="64">
        <f>IF($E62="Labour",Assumptions!$B$14,)</f>
        <v>0</v>
      </c>
      <c r="I62" s="9" t="str">
        <f t="shared" si="5"/>
        <v>$</v>
      </c>
      <c r="K62" s="83"/>
      <c r="L62" s="83"/>
      <c r="M62" s="83"/>
      <c r="N62" s="83"/>
      <c r="O62" s="83"/>
      <c r="Q62" s="5">
        <f t="shared" si="6"/>
        <v>0</v>
      </c>
      <c r="R62" s="5">
        <f t="shared" si="7"/>
        <v>0</v>
      </c>
      <c r="S62" s="5">
        <f t="shared" si="8"/>
        <v>0</v>
      </c>
      <c r="T62" s="5">
        <f t="shared" si="9"/>
        <v>0</v>
      </c>
      <c r="U62" s="5">
        <f t="shared" si="10"/>
        <v>0</v>
      </c>
    </row>
    <row r="63" spans="1:22" ht="12.75" customHeight="1" x14ac:dyDescent="0.2">
      <c r="A63" s="4"/>
      <c r="C63" s="81"/>
      <c r="D63" s="82"/>
      <c r="E63" s="82"/>
      <c r="F63" s="80"/>
      <c r="H63" s="64">
        <f>IF($E63="Labour",Assumptions!$B$14,)</f>
        <v>0</v>
      </c>
      <c r="I63" s="9" t="str">
        <f t="shared" si="5"/>
        <v>$</v>
      </c>
      <c r="K63" s="83"/>
      <c r="L63" s="83"/>
      <c r="M63" s="83"/>
      <c r="N63" s="83"/>
      <c r="O63" s="83"/>
      <c r="Q63" s="5">
        <f t="shared" si="6"/>
        <v>0</v>
      </c>
      <c r="R63" s="5">
        <f t="shared" si="7"/>
        <v>0</v>
      </c>
      <c r="S63" s="5">
        <f t="shared" si="8"/>
        <v>0</v>
      </c>
      <c r="T63" s="5">
        <f t="shared" si="9"/>
        <v>0</v>
      </c>
      <c r="U63" s="5">
        <f t="shared" si="10"/>
        <v>0</v>
      </c>
    </row>
    <row r="64" spans="1:22" ht="12.75" customHeight="1" x14ac:dyDescent="0.2">
      <c r="A64" s="4"/>
      <c r="C64" s="81"/>
      <c r="D64" s="82"/>
      <c r="E64" s="82"/>
      <c r="F64" s="80"/>
      <c r="H64" s="64">
        <f>IF($E64="Labour",Assumptions!$B$14,)</f>
        <v>0</v>
      </c>
      <c r="I64" s="9" t="str">
        <f t="shared" si="5"/>
        <v>$</v>
      </c>
      <c r="K64" s="83"/>
      <c r="L64" s="83"/>
      <c r="M64" s="83"/>
      <c r="N64" s="83"/>
      <c r="O64" s="83"/>
      <c r="Q64" s="5">
        <f t="shared" si="6"/>
        <v>0</v>
      </c>
      <c r="R64" s="5">
        <f t="shared" si="7"/>
        <v>0</v>
      </c>
      <c r="S64" s="5">
        <f t="shared" si="8"/>
        <v>0</v>
      </c>
      <c r="T64" s="5">
        <f t="shared" si="9"/>
        <v>0</v>
      </c>
      <c r="U64" s="5">
        <f t="shared" si="10"/>
        <v>0</v>
      </c>
      <c r="V64" s="107"/>
    </row>
    <row r="65" spans="3:26" ht="12.75" customHeight="1" x14ac:dyDescent="0.25">
      <c r="G65" s="2"/>
      <c r="J65" s="2"/>
      <c r="P65" s="2"/>
      <c r="Z65"/>
    </row>
    <row r="66" spans="3:26" ht="12.75" customHeight="1" x14ac:dyDescent="0.25">
      <c r="G66" s="2"/>
      <c r="J66" s="2"/>
      <c r="P66" s="2"/>
      <c r="Z66"/>
    </row>
    <row r="67" spans="3:26" ht="12.75" customHeight="1" x14ac:dyDescent="0.25">
      <c r="C67" s="3" t="s">
        <v>68</v>
      </c>
      <c r="G67" s="2"/>
      <c r="J67" s="2"/>
      <c r="P67" s="2"/>
      <c r="Q67" s="69" t="s">
        <v>6</v>
      </c>
      <c r="R67" s="69" t="s">
        <v>7</v>
      </c>
      <c r="S67" s="69" t="s">
        <v>8</v>
      </c>
      <c r="T67" s="69" t="s">
        <v>9</v>
      </c>
      <c r="U67" s="69" t="s">
        <v>10</v>
      </c>
      <c r="V67" s="69" t="s">
        <v>0</v>
      </c>
      <c r="Z67"/>
    </row>
    <row r="68" spans="3:26" ht="12.75" customHeight="1" x14ac:dyDescent="0.2">
      <c r="C68" s="24" t="s">
        <v>11</v>
      </c>
      <c r="D68" s="24" t="s">
        <v>49</v>
      </c>
      <c r="E68" s="24"/>
      <c r="F68" s="24" t="s">
        <v>50</v>
      </c>
      <c r="G68" s="2"/>
      <c r="H68" s="66"/>
      <c r="I68" s="67"/>
      <c r="J68" s="2"/>
      <c r="K68" s="24"/>
      <c r="L68" s="24"/>
      <c r="M68" s="24"/>
      <c r="N68" s="24"/>
      <c r="O68" s="24"/>
      <c r="P68" s="2"/>
      <c r="Q68" s="25">
        <f t="shared" ref="Q68:U73" si="11">SUMIFS(Q$10:Q$64,$E$10:$E$64,$C68,$D$10:$D$64,$D68,$F$10:$F$64,$F68)</f>
        <v>1138100</v>
      </c>
      <c r="R68" s="25">
        <f t="shared" si="11"/>
        <v>589600</v>
      </c>
      <c r="S68" s="25">
        <f t="shared" si="11"/>
        <v>10500000</v>
      </c>
      <c r="T68" s="25">
        <f t="shared" si="11"/>
        <v>500000</v>
      </c>
      <c r="U68" s="25">
        <f t="shared" si="11"/>
        <v>0</v>
      </c>
      <c r="V68" s="71">
        <f>SUM(Q68:U68)</f>
        <v>12727700</v>
      </c>
    </row>
    <row r="69" spans="3:26" ht="12.75" customHeight="1" x14ac:dyDescent="0.2">
      <c r="C69" s="1" t="s">
        <v>13</v>
      </c>
      <c r="D69" s="1" t="s">
        <v>49</v>
      </c>
      <c r="F69" s="1" t="s">
        <v>50</v>
      </c>
      <c r="G69" s="2"/>
      <c r="H69" s="68"/>
      <c r="J69" s="2"/>
      <c r="P69" s="2"/>
      <c r="Q69" s="6">
        <f t="shared" si="11"/>
        <v>0</v>
      </c>
      <c r="R69" s="6">
        <f t="shared" si="11"/>
        <v>0</v>
      </c>
      <c r="S69" s="6">
        <f t="shared" si="11"/>
        <v>0</v>
      </c>
      <c r="T69" s="6">
        <f t="shared" si="11"/>
        <v>0</v>
      </c>
      <c r="U69" s="6">
        <f t="shared" si="11"/>
        <v>0</v>
      </c>
      <c r="V69" s="72">
        <f t="shared" ref="V69:V83" si="12">SUM(Q69:U69)</f>
        <v>0</v>
      </c>
    </row>
    <row r="70" spans="3:26" ht="12.75" customHeight="1" x14ac:dyDescent="0.2">
      <c r="C70" s="1" t="s">
        <v>14</v>
      </c>
      <c r="D70" s="1" t="s">
        <v>49</v>
      </c>
      <c r="F70" s="1" t="s">
        <v>50</v>
      </c>
      <c r="G70" s="2"/>
      <c r="H70" s="68"/>
      <c r="J70" s="2"/>
      <c r="P70" s="2"/>
      <c r="Q70" s="6">
        <f t="shared" si="11"/>
        <v>0</v>
      </c>
      <c r="R70" s="6">
        <f t="shared" si="11"/>
        <v>0</v>
      </c>
      <c r="S70" s="6">
        <f t="shared" si="11"/>
        <v>0</v>
      </c>
      <c r="T70" s="6">
        <f t="shared" si="11"/>
        <v>0</v>
      </c>
      <c r="U70" s="6">
        <f t="shared" si="11"/>
        <v>0</v>
      </c>
      <c r="V70" s="72">
        <f t="shared" si="12"/>
        <v>0</v>
      </c>
    </row>
    <row r="71" spans="3:26" ht="12.75" customHeight="1" x14ac:dyDescent="0.2">
      <c r="C71" s="1" t="s">
        <v>11</v>
      </c>
      <c r="D71" s="1" t="s">
        <v>49</v>
      </c>
      <c r="F71" s="1" t="s">
        <v>46</v>
      </c>
      <c r="G71" s="2"/>
      <c r="H71" s="68"/>
      <c r="J71" s="2"/>
      <c r="P71" s="2"/>
      <c r="Q71" s="6">
        <f t="shared" si="11"/>
        <v>0</v>
      </c>
      <c r="R71" s="6">
        <f t="shared" si="11"/>
        <v>0</v>
      </c>
      <c r="S71" s="6">
        <f t="shared" si="11"/>
        <v>0</v>
      </c>
      <c r="T71" s="6">
        <f t="shared" si="11"/>
        <v>0</v>
      </c>
      <c r="U71" s="6">
        <f t="shared" si="11"/>
        <v>0</v>
      </c>
      <c r="V71" s="72">
        <f t="shared" si="12"/>
        <v>0</v>
      </c>
    </row>
    <row r="72" spans="3:26" ht="12.75" customHeight="1" x14ac:dyDescent="0.2">
      <c r="C72" s="1" t="s">
        <v>13</v>
      </c>
      <c r="D72" s="1" t="s">
        <v>49</v>
      </c>
      <c r="F72" s="1" t="s">
        <v>46</v>
      </c>
      <c r="G72" s="2"/>
      <c r="H72" s="68"/>
      <c r="J72" s="2"/>
      <c r="P72" s="2"/>
      <c r="Q72" s="6">
        <f t="shared" si="11"/>
        <v>0</v>
      </c>
      <c r="R72" s="6">
        <f t="shared" si="11"/>
        <v>0</v>
      </c>
      <c r="S72" s="6">
        <f t="shared" si="11"/>
        <v>0</v>
      </c>
      <c r="T72" s="6">
        <f t="shared" si="11"/>
        <v>0</v>
      </c>
      <c r="U72" s="6">
        <f t="shared" si="11"/>
        <v>0</v>
      </c>
      <c r="V72" s="72">
        <f t="shared" si="12"/>
        <v>0</v>
      </c>
    </row>
    <row r="73" spans="3:26" ht="12.75" customHeight="1" x14ac:dyDescent="0.2">
      <c r="C73" s="1" t="s">
        <v>14</v>
      </c>
      <c r="D73" s="1" t="s">
        <v>49</v>
      </c>
      <c r="F73" s="1" t="s">
        <v>46</v>
      </c>
      <c r="G73" s="2"/>
      <c r="H73" s="68"/>
      <c r="J73" s="2"/>
      <c r="P73" s="2"/>
      <c r="Q73" s="6">
        <f t="shared" si="11"/>
        <v>0</v>
      </c>
      <c r="R73" s="6">
        <f t="shared" si="11"/>
        <v>0</v>
      </c>
      <c r="S73" s="6">
        <f t="shared" si="11"/>
        <v>0</v>
      </c>
      <c r="T73" s="6">
        <f t="shared" si="11"/>
        <v>0</v>
      </c>
      <c r="U73" s="6">
        <f t="shared" si="11"/>
        <v>0</v>
      </c>
      <c r="V73" s="72">
        <f t="shared" si="12"/>
        <v>0</v>
      </c>
    </row>
    <row r="74" spans="3:26" ht="12.75" customHeight="1" x14ac:dyDescent="0.2">
      <c r="C74" s="21" t="s">
        <v>15</v>
      </c>
      <c r="D74" s="21" t="s">
        <v>49</v>
      </c>
      <c r="E74" s="102"/>
      <c r="F74" s="103"/>
      <c r="G74" s="2"/>
      <c r="H74" s="103"/>
      <c r="I74" s="105"/>
      <c r="J74" s="104"/>
      <c r="K74" s="102"/>
      <c r="L74" s="102"/>
      <c r="M74" s="102"/>
      <c r="N74" s="102"/>
      <c r="O74" s="102"/>
      <c r="P74" s="2"/>
      <c r="Q74" s="22">
        <f>SUM(Q68:Q73)</f>
        <v>1138100</v>
      </c>
      <c r="R74" s="22">
        <f t="shared" ref="R74:U74" si="13">SUM(R68:R73)</f>
        <v>589600</v>
      </c>
      <c r="S74" s="22">
        <f t="shared" si="13"/>
        <v>10500000</v>
      </c>
      <c r="T74" s="22">
        <f t="shared" si="13"/>
        <v>500000</v>
      </c>
      <c r="U74" s="22">
        <f t="shared" si="13"/>
        <v>0</v>
      </c>
      <c r="V74" s="22">
        <f>SUM(V68:V73)</f>
        <v>12727700</v>
      </c>
    </row>
    <row r="75" spans="3:26" ht="12.75" customHeight="1" x14ac:dyDescent="0.2">
      <c r="C75" s="1" t="s">
        <v>11</v>
      </c>
      <c r="D75" s="1" t="s">
        <v>45</v>
      </c>
      <c r="F75" s="1" t="s">
        <v>50</v>
      </c>
      <c r="G75" s="2"/>
      <c r="H75" s="68"/>
      <c r="J75" s="2"/>
      <c r="P75" s="2"/>
      <c r="Q75" s="6">
        <f t="shared" ref="Q75:U80" si="14">SUMIFS(Q$10:Q$64,$E$10:$E$64,$C75,$D$10:$D$64,$D75,$F$10:$F$64,$F75)</f>
        <v>0</v>
      </c>
      <c r="R75" s="6">
        <f t="shared" si="14"/>
        <v>0</v>
      </c>
      <c r="S75" s="6">
        <f t="shared" si="14"/>
        <v>0</v>
      </c>
      <c r="T75" s="6">
        <f t="shared" si="14"/>
        <v>0</v>
      </c>
      <c r="U75" s="6">
        <f t="shared" si="14"/>
        <v>0</v>
      </c>
      <c r="V75" s="72">
        <f t="shared" si="12"/>
        <v>0</v>
      </c>
    </row>
    <row r="76" spans="3:26" ht="12.75" customHeight="1" x14ac:dyDescent="0.2">
      <c r="C76" s="1" t="s">
        <v>13</v>
      </c>
      <c r="D76" s="1" t="s">
        <v>45</v>
      </c>
      <c r="F76" s="1" t="s">
        <v>50</v>
      </c>
      <c r="G76" s="2"/>
      <c r="H76" s="68"/>
      <c r="J76" s="2"/>
      <c r="P76" s="2"/>
      <c r="Q76" s="6">
        <f t="shared" si="14"/>
        <v>0</v>
      </c>
      <c r="R76" s="6">
        <f t="shared" si="14"/>
        <v>0</v>
      </c>
      <c r="S76" s="6">
        <f t="shared" si="14"/>
        <v>0</v>
      </c>
      <c r="T76" s="6">
        <f t="shared" si="14"/>
        <v>0</v>
      </c>
      <c r="U76" s="6">
        <f t="shared" si="14"/>
        <v>0</v>
      </c>
      <c r="V76" s="72">
        <f t="shared" si="12"/>
        <v>0</v>
      </c>
    </row>
    <row r="77" spans="3:26" ht="12.75" customHeight="1" x14ac:dyDescent="0.2">
      <c r="C77" s="1" t="s">
        <v>14</v>
      </c>
      <c r="D77" s="1" t="s">
        <v>45</v>
      </c>
      <c r="F77" s="1" t="s">
        <v>50</v>
      </c>
      <c r="G77" s="2"/>
      <c r="H77" s="68"/>
      <c r="J77" s="2"/>
      <c r="P77" s="2"/>
      <c r="Q77" s="6">
        <f t="shared" si="14"/>
        <v>0</v>
      </c>
      <c r="R77" s="6">
        <f t="shared" si="14"/>
        <v>0</v>
      </c>
      <c r="S77" s="6">
        <f t="shared" si="14"/>
        <v>0</v>
      </c>
      <c r="T77" s="6">
        <f t="shared" si="14"/>
        <v>0</v>
      </c>
      <c r="U77" s="6">
        <f t="shared" si="14"/>
        <v>0</v>
      </c>
      <c r="V77" s="72">
        <f t="shared" si="12"/>
        <v>0</v>
      </c>
    </row>
    <row r="78" spans="3:26" ht="12.75" customHeight="1" x14ac:dyDescent="0.2">
      <c r="C78" s="1" t="s">
        <v>11</v>
      </c>
      <c r="D78" s="1" t="s">
        <v>45</v>
      </c>
      <c r="F78" s="1" t="s">
        <v>46</v>
      </c>
      <c r="G78" s="2"/>
      <c r="H78" s="68"/>
      <c r="J78" s="2"/>
      <c r="P78" s="2"/>
      <c r="Q78" s="6">
        <f t="shared" si="14"/>
        <v>0</v>
      </c>
      <c r="R78" s="6">
        <f t="shared" si="14"/>
        <v>0</v>
      </c>
      <c r="S78" s="6">
        <f t="shared" si="14"/>
        <v>0</v>
      </c>
      <c r="T78" s="6">
        <f t="shared" si="14"/>
        <v>0</v>
      </c>
      <c r="U78" s="6">
        <f t="shared" si="14"/>
        <v>0</v>
      </c>
      <c r="V78" s="72">
        <f t="shared" si="12"/>
        <v>0</v>
      </c>
    </row>
    <row r="79" spans="3:26" ht="12.75" customHeight="1" x14ac:dyDescent="0.2">
      <c r="C79" s="1" t="s">
        <v>13</v>
      </c>
      <c r="D79" s="1" t="s">
        <v>45</v>
      </c>
      <c r="F79" s="1" t="s">
        <v>46</v>
      </c>
      <c r="G79" s="2"/>
      <c r="H79" s="68"/>
      <c r="J79" s="2"/>
      <c r="P79" s="2"/>
      <c r="Q79" s="6">
        <f t="shared" si="14"/>
        <v>0</v>
      </c>
      <c r="R79" s="6">
        <f t="shared" si="14"/>
        <v>0</v>
      </c>
      <c r="S79" s="6">
        <f t="shared" si="14"/>
        <v>0</v>
      </c>
      <c r="T79" s="6">
        <f t="shared" si="14"/>
        <v>0</v>
      </c>
      <c r="U79" s="6">
        <f t="shared" si="14"/>
        <v>0</v>
      </c>
      <c r="V79" s="72">
        <f t="shared" si="12"/>
        <v>0</v>
      </c>
    </row>
    <row r="80" spans="3:26" ht="12.75" customHeight="1" x14ac:dyDescent="0.2">
      <c r="C80" s="1" t="s">
        <v>14</v>
      </c>
      <c r="D80" s="1" t="s">
        <v>45</v>
      </c>
      <c r="F80" s="1" t="s">
        <v>46</v>
      </c>
      <c r="G80" s="2"/>
      <c r="H80" s="68"/>
      <c r="J80" s="2"/>
      <c r="P80" s="2"/>
      <c r="Q80" s="6">
        <f t="shared" si="14"/>
        <v>0</v>
      </c>
      <c r="R80" s="6">
        <f t="shared" si="14"/>
        <v>0</v>
      </c>
      <c r="S80" s="6">
        <f t="shared" si="14"/>
        <v>0</v>
      </c>
      <c r="T80" s="6">
        <f t="shared" si="14"/>
        <v>0</v>
      </c>
      <c r="U80" s="6">
        <f t="shared" si="14"/>
        <v>0</v>
      </c>
      <c r="V80" s="72">
        <f t="shared" si="12"/>
        <v>0</v>
      </c>
    </row>
    <row r="81" spans="3:23" ht="12.75" customHeight="1" x14ac:dyDescent="0.2">
      <c r="C81" s="21" t="s">
        <v>17</v>
      </c>
      <c r="D81" s="21" t="s">
        <v>45</v>
      </c>
      <c r="E81" s="102"/>
      <c r="F81" s="103"/>
      <c r="G81" s="2"/>
      <c r="H81" s="103"/>
      <c r="I81" s="105"/>
      <c r="J81" s="104"/>
      <c r="K81" s="102"/>
      <c r="L81" s="102"/>
      <c r="M81" s="102"/>
      <c r="N81" s="102"/>
      <c r="O81" s="102"/>
      <c r="P81" s="2"/>
      <c r="Q81" s="22">
        <f>SUM(Q75:Q80)</f>
        <v>0</v>
      </c>
      <c r="R81" s="22">
        <f t="shared" ref="R81:U81" si="15">SUM(R75:R80)</f>
        <v>0</v>
      </c>
      <c r="S81" s="22">
        <f t="shared" si="15"/>
        <v>0</v>
      </c>
      <c r="T81" s="22">
        <f t="shared" si="15"/>
        <v>0</v>
      </c>
      <c r="U81" s="22">
        <f t="shared" si="15"/>
        <v>0</v>
      </c>
      <c r="V81" s="22">
        <f>SUM(V75:V80)</f>
        <v>0</v>
      </c>
    </row>
    <row r="82" spans="3:23" ht="12.75" customHeight="1" x14ac:dyDescent="0.2">
      <c r="F82" s="68"/>
      <c r="G82" s="2"/>
      <c r="H82" s="68"/>
      <c r="J82" s="2"/>
      <c r="P82" s="2"/>
      <c r="Q82" s="6"/>
      <c r="R82" s="6"/>
      <c r="S82" s="6"/>
      <c r="T82" s="6"/>
      <c r="U82" s="6"/>
      <c r="V82" s="72"/>
    </row>
    <row r="83" spans="3:23" ht="12.75" customHeight="1" x14ac:dyDescent="0.2">
      <c r="C83" s="7" t="str">
        <f>"Total Expenditure ($ "&amp;Assumptions!$B$12&amp;")"</f>
        <v>Total Expenditure ($ June 2024)</v>
      </c>
      <c r="D83" s="7"/>
      <c r="E83" s="7"/>
      <c r="F83" s="7"/>
      <c r="G83" s="2"/>
      <c r="H83" s="7"/>
      <c r="I83" s="10"/>
      <c r="J83" s="2"/>
      <c r="K83" s="7"/>
      <c r="L83" s="7"/>
      <c r="M83" s="7"/>
      <c r="N83" s="7"/>
      <c r="O83" s="7"/>
      <c r="P83" s="2"/>
      <c r="Q83" s="8">
        <f>Q74+Q81</f>
        <v>1138100</v>
      </c>
      <c r="R83" s="8">
        <f t="shared" ref="R83:U83" si="16">R74+R81</f>
        <v>589600</v>
      </c>
      <c r="S83" s="8">
        <f t="shared" si="16"/>
        <v>10500000</v>
      </c>
      <c r="T83" s="8">
        <f t="shared" si="16"/>
        <v>500000</v>
      </c>
      <c r="U83" s="8">
        <f t="shared" si="16"/>
        <v>0</v>
      </c>
      <c r="V83" s="73">
        <f t="shared" si="12"/>
        <v>12727700</v>
      </c>
    </row>
    <row r="84" spans="3:23" ht="12.75" customHeight="1" x14ac:dyDescent="0.2">
      <c r="C84" s="45" t="s">
        <v>69</v>
      </c>
      <c r="D84" s="45"/>
      <c r="E84" s="45"/>
      <c r="F84" s="45"/>
      <c r="G84" s="2"/>
      <c r="H84" s="45"/>
      <c r="I84" s="45"/>
      <c r="J84" s="2"/>
      <c r="K84" s="45"/>
      <c r="L84" s="45"/>
      <c r="M84" s="45"/>
      <c r="N84" s="45"/>
      <c r="O84" s="45"/>
      <c r="P84" s="2"/>
      <c r="Q84" s="46">
        <f>Q83-SUM(Q$10:Q$64)</f>
        <v>0</v>
      </c>
      <c r="R84" s="46">
        <f t="shared" ref="R84:U84" si="17">R83-SUM(R$10:R$64)</f>
        <v>0</v>
      </c>
      <c r="S84" s="46">
        <f t="shared" si="17"/>
        <v>0</v>
      </c>
      <c r="T84" s="46">
        <f t="shared" si="17"/>
        <v>0</v>
      </c>
      <c r="U84" s="46">
        <f t="shared" si="17"/>
        <v>0</v>
      </c>
      <c r="V84" s="46">
        <f>V83-SUM(Q$10:U$64)</f>
        <v>0</v>
      </c>
      <c r="W84" s="46">
        <f>SUM(Q84:V84)</f>
        <v>0</v>
      </c>
    </row>
    <row r="85" spans="3:23" ht="12.75" customHeight="1" x14ac:dyDescent="0.2">
      <c r="G85" s="2"/>
      <c r="J85" s="2"/>
      <c r="P85" s="2"/>
    </row>
    <row r="86" spans="3:23" ht="12.75" customHeight="1" x14ac:dyDescent="0.2">
      <c r="C86" s="55" t="str">
        <f>"NPV ($ "&amp;Assumptions!$B$12&amp;")"</f>
        <v>NPV ($ June 2024)</v>
      </c>
      <c r="D86" s="56">
        <f>NPV(Real_Discount_rate,Q83:U83)</f>
        <v>11556130.958869599</v>
      </c>
      <c r="G86" s="2"/>
      <c r="J86" s="2"/>
      <c r="P86" s="2"/>
    </row>
    <row r="87" spans="3:23" ht="12.75" customHeight="1" x14ac:dyDescent="0.2">
      <c r="G87" s="2"/>
      <c r="J87" s="2"/>
      <c r="P87" s="2"/>
    </row>
    <row r="88" spans="3:23" ht="12.75" customHeight="1" x14ac:dyDescent="0.2">
      <c r="G88" s="2"/>
      <c r="J88" s="2"/>
      <c r="P88" s="2"/>
    </row>
    <row r="89" spans="3:23" ht="12.75" customHeight="1" x14ac:dyDescent="0.2">
      <c r="C89" s="4" t="s">
        <v>68</v>
      </c>
      <c r="F89" s="3"/>
      <c r="G89" s="2"/>
      <c r="J89" s="2"/>
      <c r="P89" s="2"/>
      <c r="Q89" s="69" t="s">
        <v>6</v>
      </c>
      <c r="R89" s="69" t="s">
        <v>7</v>
      </c>
      <c r="S89" s="69" t="s">
        <v>8</v>
      </c>
      <c r="T89" s="69" t="s">
        <v>9</v>
      </c>
      <c r="U89" s="69" t="s">
        <v>10</v>
      </c>
      <c r="V89" s="113" t="s">
        <v>0</v>
      </c>
    </row>
    <row r="90" spans="3:23" ht="12.75" customHeight="1" x14ac:dyDescent="0.2">
      <c r="C90" s="24"/>
      <c r="D90" s="24" t="s">
        <v>49</v>
      </c>
      <c r="E90" s="24"/>
      <c r="F90" s="24" t="s">
        <v>50</v>
      </c>
      <c r="G90" s="2"/>
      <c r="H90" s="66"/>
      <c r="I90" s="67"/>
      <c r="J90" s="2"/>
      <c r="K90" s="24"/>
      <c r="L90" s="24"/>
      <c r="M90" s="24"/>
      <c r="N90" s="24"/>
      <c r="O90" s="24"/>
      <c r="P90" s="2"/>
      <c r="Q90" s="25">
        <f t="shared" ref="Q90:U91" si="18">SUMIFS(Q$10:Q$64,$D$10:$D$64,$D90,$F$10:$F$64,$F90)</f>
        <v>1138100</v>
      </c>
      <c r="R90" s="25">
        <f t="shared" si="18"/>
        <v>589600</v>
      </c>
      <c r="S90" s="25">
        <f t="shared" si="18"/>
        <v>10500000</v>
      </c>
      <c r="T90" s="25">
        <f t="shared" si="18"/>
        <v>500000</v>
      </c>
      <c r="U90" s="25">
        <f t="shared" si="18"/>
        <v>0</v>
      </c>
      <c r="V90" s="72">
        <f t="shared" ref="V90:V91" si="19">SUM(Q90:U90)</f>
        <v>12727700</v>
      </c>
    </row>
    <row r="91" spans="3:23" ht="12.75" customHeight="1" x14ac:dyDescent="0.2">
      <c r="D91" s="1" t="s">
        <v>45</v>
      </c>
      <c r="F91" s="1" t="s">
        <v>50</v>
      </c>
      <c r="G91" s="2"/>
      <c r="J91" s="2"/>
      <c r="P91" s="2"/>
      <c r="Q91" s="112">
        <f t="shared" si="18"/>
        <v>0</v>
      </c>
      <c r="R91" s="112">
        <f t="shared" si="18"/>
        <v>0</v>
      </c>
      <c r="S91" s="112">
        <f t="shared" si="18"/>
        <v>0</v>
      </c>
      <c r="T91" s="112">
        <f t="shared" si="18"/>
        <v>0</v>
      </c>
      <c r="U91" s="112">
        <f t="shared" si="18"/>
        <v>0</v>
      </c>
      <c r="V91" s="72">
        <f t="shared" si="19"/>
        <v>0</v>
      </c>
    </row>
    <row r="92" spans="3:23" ht="12.75" customHeight="1" x14ac:dyDescent="0.2">
      <c r="C92" s="21" t="s">
        <v>70</v>
      </c>
      <c r="D92" s="21"/>
      <c r="E92" s="102"/>
      <c r="F92" s="103"/>
      <c r="G92" s="2"/>
      <c r="H92" s="103"/>
      <c r="I92" s="105"/>
      <c r="J92" s="104"/>
      <c r="K92" s="102"/>
      <c r="L92" s="102"/>
      <c r="M92" s="102"/>
      <c r="N92" s="102"/>
      <c r="O92" s="102"/>
      <c r="P92" s="2"/>
      <c r="Q92" s="22">
        <f>SUM(Q90:Q91)</f>
        <v>1138100</v>
      </c>
      <c r="R92" s="22">
        <f t="shared" ref="R92:V92" si="20">SUM(R90:R91)</f>
        <v>589600</v>
      </c>
      <c r="S92" s="22">
        <f t="shared" si="20"/>
        <v>10500000</v>
      </c>
      <c r="T92" s="22">
        <f t="shared" si="20"/>
        <v>500000</v>
      </c>
      <c r="U92" s="22">
        <f t="shared" si="20"/>
        <v>0</v>
      </c>
      <c r="V92" s="22">
        <f t="shared" si="20"/>
        <v>12727700</v>
      </c>
    </row>
    <row r="93" spans="3:23" ht="12.75" customHeight="1" x14ac:dyDescent="0.2">
      <c r="C93" s="4"/>
      <c r="D93" s="1" t="s">
        <v>49</v>
      </c>
      <c r="F93" s="1" t="s">
        <v>46</v>
      </c>
      <c r="G93" s="2"/>
      <c r="H93" s="68"/>
      <c r="J93" s="2"/>
      <c r="P93" s="2"/>
      <c r="Q93" s="6">
        <f t="shared" ref="Q93:U94" si="21">SUMIFS(Q$10:Q$64,$D$10:$D$64,$D93,$F$10:$F$64,$F93)</f>
        <v>0</v>
      </c>
      <c r="R93" s="6">
        <f t="shared" si="21"/>
        <v>0</v>
      </c>
      <c r="S93" s="6">
        <f t="shared" si="21"/>
        <v>0</v>
      </c>
      <c r="T93" s="6">
        <f t="shared" si="21"/>
        <v>0</v>
      </c>
      <c r="U93" s="6">
        <f t="shared" si="21"/>
        <v>0</v>
      </c>
      <c r="V93" s="72">
        <f t="shared" ref="V93:V94" si="22">SUM(Q93:U93)</f>
        <v>0</v>
      </c>
    </row>
    <row r="94" spans="3:23" ht="12.75" customHeight="1" x14ac:dyDescent="0.2">
      <c r="C94" s="4"/>
      <c r="D94" s="1" t="s">
        <v>45</v>
      </c>
      <c r="F94" s="1" t="s">
        <v>46</v>
      </c>
      <c r="G94" s="2"/>
      <c r="H94" s="68"/>
      <c r="J94" s="2"/>
      <c r="P94" s="2"/>
      <c r="Q94" s="6">
        <f t="shared" si="21"/>
        <v>0</v>
      </c>
      <c r="R94" s="6">
        <f t="shared" si="21"/>
        <v>0</v>
      </c>
      <c r="S94" s="6">
        <f t="shared" si="21"/>
        <v>0</v>
      </c>
      <c r="T94" s="6">
        <f t="shared" si="21"/>
        <v>0</v>
      </c>
      <c r="U94" s="6">
        <f t="shared" si="21"/>
        <v>0</v>
      </c>
      <c r="V94" s="72">
        <f t="shared" si="22"/>
        <v>0</v>
      </c>
    </row>
    <row r="95" spans="3:23" ht="12.75" customHeight="1" x14ac:dyDescent="0.2">
      <c r="C95" s="21" t="s">
        <v>71</v>
      </c>
      <c r="D95" s="21"/>
      <c r="E95" s="102"/>
      <c r="F95" s="103"/>
      <c r="G95" s="2"/>
      <c r="H95" s="103"/>
      <c r="I95" s="105"/>
      <c r="J95" s="104"/>
      <c r="K95" s="102"/>
      <c r="L95" s="102"/>
      <c r="M95" s="102"/>
      <c r="N95" s="102"/>
      <c r="O95" s="102"/>
      <c r="P95" s="2"/>
      <c r="Q95" s="22">
        <f>SUM(Q93:Q94)</f>
        <v>0</v>
      </c>
      <c r="R95" s="22">
        <f t="shared" ref="R95:V95" si="23">SUM(R93:R94)</f>
        <v>0</v>
      </c>
      <c r="S95" s="22">
        <f t="shared" si="23"/>
        <v>0</v>
      </c>
      <c r="T95" s="22">
        <f t="shared" si="23"/>
        <v>0</v>
      </c>
      <c r="U95" s="22">
        <f t="shared" si="23"/>
        <v>0</v>
      </c>
      <c r="V95" s="22">
        <f t="shared" si="23"/>
        <v>0</v>
      </c>
    </row>
    <row r="96" spans="3:23" ht="12.75" customHeight="1" x14ac:dyDescent="0.2">
      <c r="C96" s="4"/>
      <c r="D96" s="4"/>
      <c r="F96" s="68"/>
      <c r="G96" s="2"/>
      <c r="H96" s="68"/>
      <c r="J96" s="2"/>
      <c r="P96" s="2"/>
      <c r="Q96" s="23"/>
      <c r="R96" s="23"/>
      <c r="S96" s="23"/>
      <c r="T96" s="23"/>
      <c r="U96" s="23"/>
      <c r="V96" s="23"/>
    </row>
    <row r="97" spans="3:23" ht="12.75" customHeight="1" x14ac:dyDescent="0.2">
      <c r="C97" s="7" t="str">
        <f>"Total Expenditure ($ "&amp;Assumptions!$B$12&amp;")"</f>
        <v>Total Expenditure ($ June 2024)</v>
      </c>
      <c r="D97" s="7"/>
      <c r="E97" s="7"/>
      <c r="F97" s="7"/>
      <c r="G97" s="2"/>
      <c r="H97" s="7"/>
      <c r="I97" s="10"/>
      <c r="J97" s="2"/>
      <c r="K97" s="7"/>
      <c r="L97" s="7"/>
      <c r="M97" s="7"/>
      <c r="N97" s="7"/>
      <c r="O97" s="7"/>
      <c r="P97" s="2"/>
      <c r="Q97" s="8">
        <f>Q92+Q95</f>
        <v>1138100</v>
      </c>
      <c r="R97" s="8">
        <f t="shared" ref="R97:U97" si="24">R92+R95</f>
        <v>589600</v>
      </c>
      <c r="S97" s="8">
        <f t="shared" si="24"/>
        <v>10500000</v>
      </c>
      <c r="T97" s="8">
        <f t="shared" si="24"/>
        <v>500000</v>
      </c>
      <c r="U97" s="8">
        <f t="shared" si="24"/>
        <v>0</v>
      </c>
      <c r="V97" s="73">
        <f t="shared" ref="V97" si="25">SUM(Q97:U97)</f>
        <v>12727700</v>
      </c>
    </row>
    <row r="98" spans="3:23" ht="12.75" customHeight="1" x14ac:dyDescent="0.2">
      <c r="C98" s="45" t="s">
        <v>69</v>
      </c>
      <c r="D98" s="45"/>
      <c r="E98" s="45"/>
      <c r="F98" s="45"/>
      <c r="G98" s="2"/>
      <c r="H98" s="45"/>
      <c r="I98" s="45"/>
      <c r="J98" s="2"/>
      <c r="K98" s="45"/>
      <c r="L98" s="45"/>
      <c r="M98" s="45"/>
      <c r="N98" s="45"/>
      <c r="O98" s="45"/>
      <c r="P98" s="2"/>
      <c r="Q98" s="46">
        <f>Q97-SUM(Q$10:Q$64)</f>
        <v>0</v>
      </c>
      <c r="R98" s="46">
        <f t="shared" ref="R98:U98" si="26">R97-SUM(R$10:R$64)</f>
        <v>0</v>
      </c>
      <c r="S98" s="46">
        <f t="shared" si="26"/>
        <v>0</v>
      </c>
      <c r="T98" s="46">
        <f t="shared" si="26"/>
        <v>0</v>
      </c>
      <c r="U98" s="46">
        <f t="shared" si="26"/>
        <v>0</v>
      </c>
      <c r="V98" s="46">
        <f>V97-SUM(Q$10:U$64)</f>
        <v>0</v>
      </c>
      <c r="W98" s="46">
        <f>SUM(Q98:V98)</f>
        <v>0</v>
      </c>
    </row>
    <row r="99" spans="3:23" ht="12.75" customHeight="1" x14ac:dyDescent="0.2">
      <c r="C99" s="115"/>
      <c r="D99" s="115"/>
      <c r="E99" s="115"/>
      <c r="F99" s="115"/>
      <c r="G99" s="2"/>
      <c r="H99" s="115"/>
      <c r="I99" s="115"/>
      <c r="J99" s="2"/>
      <c r="K99" s="115"/>
      <c r="L99" s="115"/>
      <c r="M99" s="115"/>
      <c r="N99" s="115"/>
      <c r="O99" s="115"/>
      <c r="P99" s="2"/>
      <c r="Q99" s="116"/>
      <c r="R99" s="116"/>
      <c r="S99" s="116"/>
      <c r="T99" s="116"/>
      <c r="U99" s="116"/>
      <c r="V99" s="116"/>
      <c r="W99" s="116"/>
    </row>
    <row r="100" spans="3:23" ht="12.75" customHeight="1" x14ac:dyDescent="0.2">
      <c r="C100" s="115"/>
      <c r="D100" s="115"/>
      <c r="E100" s="115"/>
      <c r="F100" s="115"/>
      <c r="G100" s="2"/>
      <c r="H100" s="115"/>
      <c r="I100" s="115"/>
      <c r="J100" s="2"/>
      <c r="K100" s="115"/>
      <c r="L100" s="115"/>
      <c r="M100" s="115"/>
      <c r="N100" s="115"/>
      <c r="O100" s="115"/>
      <c r="P100" s="2"/>
      <c r="Q100" s="116"/>
      <c r="R100" s="116"/>
      <c r="S100" s="116"/>
      <c r="T100" s="116"/>
      <c r="U100" s="116"/>
      <c r="V100" s="116"/>
      <c r="W100" s="116"/>
    </row>
    <row r="101" spans="3:23" ht="12.75" customHeight="1" x14ac:dyDescent="0.2">
      <c r="C101" s="115"/>
      <c r="D101" s="115"/>
      <c r="E101" s="115"/>
      <c r="F101" s="115"/>
      <c r="G101" s="2"/>
      <c r="H101" s="115"/>
      <c r="I101" s="115"/>
      <c r="J101" s="2"/>
      <c r="K101" s="115"/>
      <c r="L101" s="115"/>
      <c r="M101" s="115"/>
      <c r="N101" s="115"/>
      <c r="O101" s="115"/>
      <c r="P101" s="2"/>
      <c r="Q101" s="116"/>
      <c r="R101" s="116"/>
      <c r="S101" s="116"/>
      <c r="T101" s="116"/>
      <c r="U101" s="116"/>
      <c r="V101" s="116"/>
      <c r="W101" s="116"/>
    </row>
    <row r="102" spans="3:23" ht="12.75" customHeight="1" x14ac:dyDescent="0.2">
      <c r="C102" s="76" t="s">
        <v>72</v>
      </c>
      <c r="G102" s="2"/>
      <c r="J102" s="2"/>
      <c r="P102" s="2"/>
      <c r="Q102" s="69" t="s">
        <v>6</v>
      </c>
      <c r="R102" s="69" t="s">
        <v>7</v>
      </c>
      <c r="S102" s="69" t="s">
        <v>8</v>
      </c>
      <c r="T102" s="69" t="s">
        <v>9</v>
      </c>
      <c r="U102" s="69" t="s">
        <v>10</v>
      </c>
      <c r="V102" s="69" t="s">
        <v>0</v>
      </c>
    </row>
    <row r="103" spans="3:23" ht="12.75" customHeight="1" x14ac:dyDescent="0.2">
      <c r="C103" s="24" t="s">
        <v>11</v>
      </c>
      <c r="D103" s="24" t="s">
        <v>49</v>
      </c>
      <c r="E103" s="24"/>
      <c r="F103" s="24" t="s">
        <v>50</v>
      </c>
      <c r="G103" s="2"/>
      <c r="H103" s="66"/>
      <c r="I103" s="67"/>
      <c r="J103" s="2"/>
      <c r="K103" s="24"/>
      <c r="L103" s="24"/>
      <c r="M103" s="24"/>
      <c r="N103" s="24"/>
      <c r="O103" s="24"/>
      <c r="P103" s="2"/>
      <c r="Q103" s="34">
        <f t="shared" ref="Q103:U108" si="27">Q68*business_case_dollars</f>
        <v>1266605.8828867285</v>
      </c>
      <c r="R103" s="34">
        <f t="shared" si="27"/>
        <v>656173.2963272254</v>
      </c>
      <c r="S103" s="34">
        <f t="shared" si="27"/>
        <v>11685582.787374264</v>
      </c>
      <c r="T103" s="34">
        <f t="shared" si="27"/>
        <v>556456.3232082983</v>
      </c>
      <c r="U103" s="34">
        <f t="shared" si="27"/>
        <v>0</v>
      </c>
      <c r="V103" s="71">
        <f>SUM(Q103:U103)</f>
        <v>14164818.289796516</v>
      </c>
    </row>
    <row r="104" spans="3:23" ht="12.75" customHeight="1" x14ac:dyDescent="0.2">
      <c r="C104" s="1" t="s">
        <v>13</v>
      </c>
      <c r="D104" s="1" t="s">
        <v>49</v>
      </c>
      <c r="F104" s="1" t="s">
        <v>50</v>
      </c>
      <c r="G104" s="2"/>
      <c r="H104" s="68"/>
      <c r="J104" s="2"/>
      <c r="P104" s="2"/>
      <c r="Q104" s="6">
        <f t="shared" si="27"/>
        <v>0</v>
      </c>
      <c r="R104" s="6">
        <f t="shared" si="27"/>
        <v>0</v>
      </c>
      <c r="S104" s="6">
        <f t="shared" si="27"/>
        <v>0</v>
      </c>
      <c r="T104" s="6">
        <f t="shared" si="27"/>
        <v>0</v>
      </c>
      <c r="U104" s="6">
        <f t="shared" si="27"/>
        <v>0</v>
      </c>
      <c r="V104" s="72">
        <f t="shared" ref="V104:V118" si="28">SUM(Q104:U104)</f>
        <v>0</v>
      </c>
    </row>
    <row r="105" spans="3:23" ht="12.75" customHeight="1" x14ac:dyDescent="0.2">
      <c r="C105" s="1" t="s">
        <v>14</v>
      </c>
      <c r="D105" s="1" t="s">
        <v>49</v>
      </c>
      <c r="F105" s="1" t="s">
        <v>50</v>
      </c>
      <c r="G105" s="2"/>
      <c r="H105" s="68"/>
      <c r="J105" s="2"/>
      <c r="P105" s="2"/>
      <c r="Q105" s="6">
        <f t="shared" si="27"/>
        <v>0</v>
      </c>
      <c r="R105" s="6">
        <f t="shared" si="27"/>
        <v>0</v>
      </c>
      <c r="S105" s="6">
        <f t="shared" si="27"/>
        <v>0</v>
      </c>
      <c r="T105" s="6">
        <f t="shared" si="27"/>
        <v>0</v>
      </c>
      <c r="U105" s="6">
        <f t="shared" si="27"/>
        <v>0</v>
      </c>
      <c r="V105" s="72">
        <f t="shared" si="28"/>
        <v>0</v>
      </c>
    </row>
    <row r="106" spans="3:23" ht="12.75" customHeight="1" x14ac:dyDescent="0.2">
      <c r="C106" s="1" t="s">
        <v>11</v>
      </c>
      <c r="D106" s="1" t="s">
        <v>49</v>
      </c>
      <c r="F106" s="1" t="s">
        <v>46</v>
      </c>
      <c r="G106" s="2"/>
      <c r="H106" s="68"/>
      <c r="J106" s="2"/>
      <c r="P106" s="2"/>
      <c r="Q106" s="6">
        <f t="shared" si="27"/>
        <v>0</v>
      </c>
      <c r="R106" s="6">
        <f t="shared" si="27"/>
        <v>0</v>
      </c>
      <c r="S106" s="6">
        <f t="shared" si="27"/>
        <v>0</v>
      </c>
      <c r="T106" s="6">
        <f t="shared" si="27"/>
        <v>0</v>
      </c>
      <c r="U106" s="6">
        <f t="shared" si="27"/>
        <v>0</v>
      </c>
      <c r="V106" s="6">
        <f t="shared" si="28"/>
        <v>0</v>
      </c>
    </row>
    <row r="107" spans="3:23" ht="12.75" customHeight="1" x14ac:dyDescent="0.2">
      <c r="C107" s="1" t="s">
        <v>13</v>
      </c>
      <c r="D107" s="1" t="s">
        <v>49</v>
      </c>
      <c r="F107" s="1" t="s">
        <v>46</v>
      </c>
      <c r="G107" s="2"/>
      <c r="H107" s="68"/>
      <c r="J107" s="2"/>
      <c r="P107" s="2"/>
      <c r="Q107" s="6">
        <f t="shared" si="27"/>
        <v>0</v>
      </c>
      <c r="R107" s="6">
        <f t="shared" si="27"/>
        <v>0</v>
      </c>
      <c r="S107" s="6">
        <f t="shared" si="27"/>
        <v>0</v>
      </c>
      <c r="T107" s="6">
        <f t="shared" si="27"/>
        <v>0</v>
      </c>
      <c r="U107" s="6">
        <f t="shared" si="27"/>
        <v>0</v>
      </c>
      <c r="V107" s="6">
        <f t="shared" si="28"/>
        <v>0</v>
      </c>
    </row>
    <row r="108" spans="3:23" ht="12.75" customHeight="1" x14ac:dyDescent="0.2">
      <c r="C108" s="1" t="s">
        <v>14</v>
      </c>
      <c r="D108" s="1" t="s">
        <v>49</v>
      </c>
      <c r="F108" s="1" t="s">
        <v>46</v>
      </c>
      <c r="G108" s="2"/>
      <c r="H108" s="68"/>
      <c r="J108" s="2"/>
      <c r="P108" s="2"/>
      <c r="Q108" s="6">
        <f t="shared" si="27"/>
        <v>0</v>
      </c>
      <c r="R108" s="6">
        <f t="shared" si="27"/>
        <v>0</v>
      </c>
      <c r="S108" s="6">
        <f t="shared" si="27"/>
        <v>0</v>
      </c>
      <c r="T108" s="6">
        <f t="shared" si="27"/>
        <v>0</v>
      </c>
      <c r="U108" s="6">
        <f t="shared" si="27"/>
        <v>0</v>
      </c>
      <c r="V108" s="6">
        <f t="shared" si="28"/>
        <v>0</v>
      </c>
    </row>
    <row r="109" spans="3:23" ht="12.75" customHeight="1" x14ac:dyDescent="0.2">
      <c r="C109" s="21" t="s">
        <v>15</v>
      </c>
      <c r="D109" s="21" t="s">
        <v>49</v>
      </c>
      <c r="E109" s="102"/>
      <c r="F109" s="103"/>
      <c r="G109" s="104"/>
      <c r="H109" s="103"/>
      <c r="I109" s="105"/>
      <c r="J109" s="104"/>
      <c r="K109" s="102"/>
      <c r="L109" s="102"/>
      <c r="M109" s="102"/>
      <c r="N109" s="102"/>
      <c r="O109" s="102"/>
      <c r="P109" s="104"/>
      <c r="Q109" s="22">
        <f>SUM(Q103:Q108)</f>
        <v>1266605.8828867285</v>
      </c>
      <c r="R109" s="22">
        <f t="shared" ref="R109:U109" si="29">SUM(R103:R108)</f>
        <v>656173.2963272254</v>
      </c>
      <c r="S109" s="22">
        <f t="shared" si="29"/>
        <v>11685582.787374264</v>
      </c>
      <c r="T109" s="22">
        <f t="shared" si="29"/>
        <v>556456.3232082983</v>
      </c>
      <c r="U109" s="22">
        <f t="shared" si="29"/>
        <v>0</v>
      </c>
      <c r="V109" s="22">
        <f>SUM(V103:V108)</f>
        <v>14164818.289796516</v>
      </c>
    </row>
    <row r="110" spans="3:23" ht="12.75" customHeight="1" x14ac:dyDescent="0.2">
      <c r="C110" s="1" t="s">
        <v>11</v>
      </c>
      <c r="D110" s="1" t="s">
        <v>45</v>
      </c>
      <c r="F110" s="1" t="s">
        <v>50</v>
      </c>
      <c r="G110" s="2"/>
      <c r="H110" s="68"/>
      <c r="J110" s="2"/>
      <c r="P110" s="2"/>
      <c r="Q110" s="117">
        <f t="shared" ref="Q110:U115" si="30">Q75*business_case_dollars</f>
        <v>0</v>
      </c>
      <c r="R110" s="117">
        <f t="shared" si="30"/>
        <v>0</v>
      </c>
      <c r="S110" s="117">
        <f t="shared" si="30"/>
        <v>0</v>
      </c>
      <c r="T110" s="117">
        <f t="shared" si="30"/>
        <v>0</v>
      </c>
      <c r="U110" s="117">
        <f t="shared" si="30"/>
        <v>0</v>
      </c>
      <c r="V110" s="72">
        <f>SUM(Q110:U110)</f>
        <v>0</v>
      </c>
    </row>
    <row r="111" spans="3:23" ht="12.75" customHeight="1" x14ac:dyDescent="0.2">
      <c r="C111" s="1" t="s">
        <v>13</v>
      </c>
      <c r="D111" s="1" t="s">
        <v>45</v>
      </c>
      <c r="F111" s="1" t="s">
        <v>50</v>
      </c>
      <c r="G111" s="2"/>
      <c r="H111" s="68"/>
      <c r="J111" s="2"/>
      <c r="P111" s="2"/>
      <c r="Q111" s="6">
        <f t="shared" si="30"/>
        <v>0</v>
      </c>
      <c r="R111" s="6">
        <f t="shared" si="30"/>
        <v>0</v>
      </c>
      <c r="S111" s="6">
        <f t="shared" si="30"/>
        <v>0</v>
      </c>
      <c r="T111" s="6">
        <f t="shared" si="30"/>
        <v>0</v>
      </c>
      <c r="U111" s="6">
        <f t="shared" si="30"/>
        <v>0</v>
      </c>
      <c r="V111" s="72">
        <f t="shared" ref="V111:V115" si="31">SUM(Q111:U111)</f>
        <v>0</v>
      </c>
    </row>
    <row r="112" spans="3:23" ht="12.75" customHeight="1" x14ac:dyDescent="0.2">
      <c r="C112" s="1" t="s">
        <v>14</v>
      </c>
      <c r="D112" s="1" t="s">
        <v>45</v>
      </c>
      <c r="F112" s="1" t="s">
        <v>50</v>
      </c>
      <c r="G112" s="2"/>
      <c r="H112" s="68"/>
      <c r="J112" s="2"/>
      <c r="P112" s="2"/>
      <c r="Q112" s="6">
        <f t="shared" si="30"/>
        <v>0</v>
      </c>
      <c r="R112" s="6">
        <f t="shared" si="30"/>
        <v>0</v>
      </c>
      <c r="S112" s="6">
        <f t="shared" si="30"/>
        <v>0</v>
      </c>
      <c r="T112" s="6">
        <f t="shared" si="30"/>
        <v>0</v>
      </c>
      <c r="U112" s="6">
        <f t="shared" si="30"/>
        <v>0</v>
      </c>
      <c r="V112" s="72">
        <f t="shared" si="31"/>
        <v>0</v>
      </c>
    </row>
    <row r="113" spans="3:23" ht="12.75" customHeight="1" x14ac:dyDescent="0.2">
      <c r="C113" s="1" t="s">
        <v>11</v>
      </c>
      <c r="D113" s="1" t="s">
        <v>45</v>
      </c>
      <c r="F113" s="1" t="s">
        <v>46</v>
      </c>
      <c r="G113" s="2"/>
      <c r="H113" s="68"/>
      <c r="J113" s="2"/>
      <c r="P113" s="2"/>
      <c r="Q113" s="6">
        <f t="shared" si="30"/>
        <v>0</v>
      </c>
      <c r="R113" s="6">
        <f t="shared" si="30"/>
        <v>0</v>
      </c>
      <c r="S113" s="6">
        <f t="shared" si="30"/>
        <v>0</v>
      </c>
      <c r="T113" s="6">
        <f t="shared" si="30"/>
        <v>0</v>
      </c>
      <c r="U113" s="6">
        <f t="shared" si="30"/>
        <v>0</v>
      </c>
      <c r="V113" s="6">
        <f t="shared" si="31"/>
        <v>0</v>
      </c>
    </row>
    <row r="114" spans="3:23" ht="12.75" customHeight="1" x14ac:dyDescent="0.2">
      <c r="C114" s="1" t="s">
        <v>13</v>
      </c>
      <c r="D114" s="1" t="s">
        <v>45</v>
      </c>
      <c r="F114" s="1" t="s">
        <v>46</v>
      </c>
      <c r="G114" s="2"/>
      <c r="H114" s="68"/>
      <c r="J114" s="2"/>
      <c r="P114" s="2"/>
      <c r="Q114" s="6">
        <f t="shared" si="30"/>
        <v>0</v>
      </c>
      <c r="R114" s="6">
        <f t="shared" si="30"/>
        <v>0</v>
      </c>
      <c r="S114" s="6">
        <f t="shared" si="30"/>
        <v>0</v>
      </c>
      <c r="T114" s="6">
        <f t="shared" si="30"/>
        <v>0</v>
      </c>
      <c r="U114" s="6">
        <f t="shared" si="30"/>
        <v>0</v>
      </c>
      <c r="V114" s="6">
        <f t="shared" si="31"/>
        <v>0</v>
      </c>
    </row>
    <row r="115" spans="3:23" ht="12.75" customHeight="1" x14ac:dyDescent="0.2">
      <c r="C115" s="1" t="s">
        <v>14</v>
      </c>
      <c r="D115" s="1" t="s">
        <v>45</v>
      </c>
      <c r="F115" s="1" t="s">
        <v>46</v>
      </c>
      <c r="G115" s="2"/>
      <c r="H115" s="68"/>
      <c r="J115" s="2"/>
      <c r="P115" s="2"/>
      <c r="Q115" s="6">
        <f t="shared" si="30"/>
        <v>0</v>
      </c>
      <c r="R115" s="6">
        <f t="shared" si="30"/>
        <v>0</v>
      </c>
      <c r="S115" s="6">
        <f t="shared" si="30"/>
        <v>0</v>
      </c>
      <c r="T115" s="6">
        <f t="shared" si="30"/>
        <v>0</v>
      </c>
      <c r="U115" s="6">
        <f t="shared" si="30"/>
        <v>0</v>
      </c>
      <c r="V115" s="6">
        <f t="shared" si="31"/>
        <v>0</v>
      </c>
    </row>
    <row r="116" spans="3:23" ht="12.75" customHeight="1" x14ac:dyDescent="0.2">
      <c r="C116" s="21" t="s">
        <v>17</v>
      </c>
      <c r="D116" s="21" t="s">
        <v>45</v>
      </c>
      <c r="E116" s="102"/>
      <c r="F116" s="103"/>
      <c r="G116" s="104"/>
      <c r="H116" s="103"/>
      <c r="I116" s="105"/>
      <c r="J116" s="104"/>
      <c r="K116" s="102"/>
      <c r="L116" s="102"/>
      <c r="M116" s="102"/>
      <c r="N116" s="102"/>
      <c r="O116" s="102"/>
      <c r="P116" s="104"/>
      <c r="Q116" s="22">
        <f>SUM(Q110:Q115)</f>
        <v>0</v>
      </c>
      <c r="R116" s="22">
        <f t="shared" ref="R116:V116" si="32">SUM(R110:R115)</f>
        <v>0</v>
      </c>
      <c r="S116" s="22">
        <f t="shared" si="32"/>
        <v>0</v>
      </c>
      <c r="T116" s="22">
        <f t="shared" si="32"/>
        <v>0</v>
      </c>
      <c r="U116" s="22">
        <f t="shared" si="32"/>
        <v>0</v>
      </c>
      <c r="V116" s="22">
        <f t="shared" si="32"/>
        <v>0</v>
      </c>
    </row>
    <row r="117" spans="3:23" ht="12.75" customHeight="1" x14ac:dyDescent="0.2">
      <c r="G117" s="2"/>
      <c r="H117" s="68"/>
      <c r="J117" s="2"/>
      <c r="P117" s="2"/>
      <c r="Q117" s="6"/>
      <c r="R117" s="6"/>
      <c r="S117" s="6"/>
      <c r="T117" s="6"/>
      <c r="U117" s="6"/>
      <c r="V117" s="72"/>
    </row>
    <row r="118" spans="3:23" x14ac:dyDescent="0.2">
      <c r="C118" s="7" t="str">
        <f>"Total Expenditure ($ "&amp;Assumptions!$C$35&amp;")"</f>
        <v>Total Expenditure ($ June 2026)</v>
      </c>
      <c r="D118" s="7" t="s">
        <v>73</v>
      </c>
      <c r="E118" s="7"/>
      <c r="F118" s="7"/>
      <c r="G118" s="2"/>
      <c r="H118" s="7"/>
      <c r="I118" s="10"/>
      <c r="J118" s="2"/>
      <c r="K118" s="7"/>
      <c r="L118" s="7"/>
      <c r="M118" s="7"/>
      <c r="N118" s="7"/>
      <c r="O118" s="7"/>
      <c r="P118" s="2"/>
      <c r="Q118" s="8">
        <f>Q109+Q116</f>
        <v>1266605.8828867285</v>
      </c>
      <c r="R118" s="8">
        <f t="shared" ref="R118:U118" si="33">R109+R116</f>
        <v>656173.2963272254</v>
      </c>
      <c r="S118" s="8">
        <f t="shared" si="33"/>
        <v>11685582.787374264</v>
      </c>
      <c r="T118" s="8">
        <f t="shared" si="33"/>
        <v>556456.3232082983</v>
      </c>
      <c r="U118" s="8">
        <f t="shared" si="33"/>
        <v>0</v>
      </c>
      <c r="V118" s="73">
        <f t="shared" si="28"/>
        <v>14164818.289796516</v>
      </c>
    </row>
    <row r="119" spans="3:23" x14ac:dyDescent="0.2">
      <c r="G119" s="2"/>
      <c r="J119" s="2"/>
      <c r="P119" s="2"/>
      <c r="Q119" s="46">
        <f>SUM(Q10:Q64)*business_case_dollars-Q118</f>
        <v>0</v>
      </c>
      <c r="R119" s="46">
        <f>SUM(R10:R64)*business_case_dollars-R118</f>
        <v>0</v>
      </c>
      <c r="S119" s="46">
        <f>SUM(S10:S64)*business_case_dollars-S118</f>
        <v>0</v>
      </c>
      <c r="T119" s="46">
        <f>SUM(T10:T64)*business_case_dollars-T118</f>
        <v>0</v>
      </c>
      <c r="U119" s="46">
        <f>SUM(U10:U64)*business_case_dollars-U118</f>
        <v>0</v>
      </c>
      <c r="V119" s="46">
        <f>SUM(Q10:U64)*business_case_dollars-V118</f>
        <v>0</v>
      </c>
      <c r="W119" s="46">
        <f>SUM(Q119:V119)</f>
        <v>0</v>
      </c>
    </row>
    <row r="120" spans="3:23" x14ac:dyDescent="0.2">
      <c r="C120" s="55" t="str">
        <f>"NPV ($ "&amp;Assumptions!$C$35&amp;")"</f>
        <v>NPV ($ June 2026)</v>
      </c>
      <c r="D120" s="56">
        <f>NPV(Real_Discount_rate,Q118:U118)</f>
        <v>12860964.28777233</v>
      </c>
      <c r="G120" s="2"/>
      <c r="J120" s="2"/>
      <c r="P120" s="2"/>
      <c r="Q120" s="52"/>
      <c r="R120" s="52"/>
      <c r="S120" s="52"/>
      <c r="T120" s="52"/>
      <c r="U120" s="52"/>
    </row>
    <row r="123" spans="3:23" x14ac:dyDescent="0.2">
      <c r="C123" s="4" t="s">
        <v>68</v>
      </c>
      <c r="F123" s="3"/>
      <c r="G123" s="2"/>
      <c r="J123" s="2"/>
      <c r="P123" s="2"/>
      <c r="Q123" s="69" t="s">
        <v>6</v>
      </c>
      <c r="R123" s="69" t="s">
        <v>7</v>
      </c>
      <c r="S123" s="69" t="s">
        <v>8</v>
      </c>
      <c r="T123" s="69" t="s">
        <v>9</v>
      </c>
      <c r="U123" s="69" t="s">
        <v>10</v>
      </c>
      <c r="V123" s="113" t="s">
        <v>0</v>
      </c>
    </row>
    <row r="124" spans="3:23" x14ac:dyDescent="0.2">
      <c r="C124" s="24"/>
      <c r="D124" s="24" t="s">
        <v>49</v>
      </c>
      <c r="E124" s="24"/>
      <c r="F124" s="24" t="s">
        <v>50</v>
      </c>
      <c r="G124" s="2"/>
      <c r="H124" s="66"/>
      <c r="I124" s="67"/>
      <c r="J124" s="2"/>
      <c r="K124" s="24"/>
      <c r="L124" s="24"/>
      <c r="M124" s="24"/>
      <c r="N124" s="24"/>
      <c r="O124" s="24"/>
      <c r="P124" s="2"/>
      <c r="Q124" s="25">
        <f t="shared" ref="Q124:U125" si="34">Q90*business_case_dollars</f>
        <v>1266605.8828867285</v>
      </c>
      <c r="R124" s="25">
        <f t="shared" si="34"/>
        <v>656173.2963272254</v>
      </c>
      <c r="S124" s="25">
        <f t="shared" si="34"/>
        <v>11685582.787374264</v>
      </c>
      <c r="T124" s="25">
        <f t="shared" si="34"/>
        <v>556456.3232082983</v>
      </c>
      <c r="U124" s="25">
        <f t="shared" si="34"/>
        <v>0</v>
      </c>
      <c r="V124" s="72">
        <f t="shared" ref="V124:V125" si="35">SUM(Q124:U124)</f>
        <v>14164818.289796516</v>
      </c>
    </row>
    <row r="125" spans="3:23" x14ac:dyDescent="0.2">
      <c r="D125" s="1" t="s">
        <v>45</v>
      </c>
      <c r="F125" s="1" t="s">
        <v>50</v>
      </c>
      <c r="G125" s="2"/>
      <c r="J125" s="2"/>
      <c r="P125" s="2"/>
      <c r="Q125" s="112">
        <f t="shared" si="34"/>
        <v>0</v>
      </c>
      <c r="R125" s="112">
        <f t="shared" si="34"/>
        <v>0</v>
      </c>
      <c r="S125" s="112">
        <f t="shared" si="34"/>
        <v>0</v>
      </c>
      <c r="T125" s="112">
        <f t="shared" si="34"/>
        <v>0</v>
      </c>
      <c r="U125" s="112">
        <f t="shared" si="34"/>
        <v>0</v>
      </c>
      <c r="V125" s="72">
        <f t="shared" si="35"/>
        <v>0</v>
      </c>
    </row>
    <row r="126" spans="3:23" x14ac:dyDescent="0.2">
      <c r="C126" s="21" t="s">
        <v>70</v>
      </c>
      <c r="D126" s="21"/>
      <c r="E126" s="102"/>
      <c r="F126" s="103"/>
      <c r="G126" s="2"/>
      <c r="H126" s="103"/>
      <c r="I126" s="105"/>
      <c r="J126" s="104"/>
      <c r="K126" s="102"/>
      <c r="L126" s="102"/>
      <c r="M126" s="102"/>
      <c r="N126" s="102"/>
      <c r="O126" s="102"/>
      <c r="P126" s="2"/>
      <c r="Q126" s="22">
        <f>SUM(Q124:Q125)</f>
        <v>1266605.8828867285</v>
      </c>
      <c r="R126" s="22">
        <f t="shared" ref="R126:V126" si="36">SUM(R124:R125)</f>
        <v>656173.2963272254</v>
      </c>
      <c r="S126" s="22">
        <f t="shared" si="36"/>
        <v>11685582.787374264</v>
      </c>
      <c r="T126" s="22">
        <f t="shared" si="36"/>
        <v>556456.3232082983</v>
      </c>
      <c r="U126" s="22">
        <f t="shared" si="36"/>
        <v>0</v>
      </c>
      <c r="V126" s="22">
        <f t="shared" si="36"/>
        <v>14164818.289796516</v>
      </c>
    </row>
    <row r="127" spans="3:23" x14ac:dyDescent="0.2">
      <c r="C127" s="4"/>
      <c r="D127" s="1" t="s">
        <v>49</v>
      </c>
      <c r="F127" s="1" t="s">
        <v>46</v>
      </c>
      <c r="G127" s="2"/>
      <c r="H127" s="68"/>
      <c r="J127" s="2"/>
      <c r="P127" s="2"/>
      <c r="Q127" s="6">
        <f t="shared" ref="Q127:U128" si="37">Q93*business_case_dollars</f>
        <v>0</v>
      </c>
      <c r="R127" s="6">
        <f t="shared" si="37"/>
        <v>0</v>
      </c>
      <c r="S127" s="6">
        <f t="shared" si="37"/>
        <v>0</v>
      </c>
      <c r="T127" s="6">
        <f t="shared" si="37"/>
        <v>0</v>
      </c>
      <c r="U127" s="6">
        <f t="shared" si="37"/>
        <v>0</v>
      </c>
      <c r="V127" s="72">
        <f t="shared" ref="V127:V128" si="38">SUM(Q127:U127)</f>
        <v>0</v>
      </c>
    </row>
    <row r="128" spans="3:23" x14ac:dyDescent="0.2">
      <c r="C128" s="4"/>
      <c r="D128" s="1" t="s">
        <v>45</v>
      </c>
      <c r="F128" s="1" t="s">
        <v>46</v>
      </c>
      <c r="G128" s="2"/>
      <c r="H128" s="68"/>
      <c r="J128" s="2"/>
      <c r="P128" s="2"/>
      <c r="Q128" s="6">
        <f t="shared" si="37"/>
        <v>0</v>
      </c>
      <c r="R128" s="6">
        <f t="shared" si="37"/>
        <v>0</v>
      </c>
      <c r="S128" s="6">
        <f t="shared" si="37"/>
        <v>0</v>
      </c>
      <c r="T128" s="6">
        <f t="shared" si="37"/>
        <v>0</v>
      </c>
      <c r="U128" s="6">
        <f t="shared" si="37"/>
        <v>0</v>
      </c>
      <c r="V128" s="72">
        <f t="shared" si="38"/>
        <v>0</v>
      </c>
    </row>
    <row r="129" spans="3:23" x14ac:dyDescent="0.2">
      <c r="C129" s="21" t="s">
        <v>71</v>
      </c>
      <c r="D129" s="21"/>
      <c r="E129" s="102"/>
      <c r="F129" s="103"/>
      <c r="G129" s="2"/>
      <c r="H129" s="103"/>
      <c r="I129" s="105"/>
      <c r="J129" s="104"/>
      <c r="K129" s="102"/>
      <c r="L129" s="102"/>
      <c r="M129" s="102"/>
      <c r="N129" s="102"/>
      <c r="O129" s="102"/>
      <c r="P129" s="2"/>
      <c r="Q129" s="22">
        <f>SUM(Q127:Q128)</f>
        <v>0</v>
      </c>
      <c r="R129" s="22">
        <f t="shared" ref="R129:V129" si="39">SUM(R127:R128)</f>
        <v>0</v>
      </c>
      <c r="S129" s="22">
        <f t="shared" si="39"/>
        <v>0</v>
      </c>
      <c r="T129" s="22">
        <f t="shared" si="39"/>
        <v>0</v>
      </c>
      <c r="U129" s="22">
        <f t="shared" si="39"/>
        <v>0</v>
      </c>
      <c r="V129" s="22">
        <f t="shared" si="39"/>
        <v>0</v>
      </c>
    </row>
    <row r="130" spans="3:23" x14ac:dyDescent="0.2">
      <c r="C130" s="4"/>
      <c r="D130" s="4"/>
      <c r="F130" s="68"/>
      <c r="G130" s="2"/>
      <c r="H130" s="68"/>
      <c r="J130" s="2"/>
      <c r="P130" s="2"/>
      <c r="Q130" s="23"/>
      <c r="R130" s="23"/>
      <c r="S130" s="23"/>
      <c r="T130" s="23"/>
      <c r="U130" s="23"/>
      <c r="V130" s="23"/>
    </row>
    <row r="131" spans="3:23" x14ac:dyDescent="0.2">
      <c r="C131" s="7" t="str">
        <f>"Total Expenditure ($ "&amp;Assumptions!$C$35&amp;")"</f>
        <v>Total Expenditure ($ June 2026)</v>
      </c>
      <c r="D131" s="7"/>
      <c r="E131" s="7"/>
      <c r="F131" s="7"/>
      <c r="G131" s="2"/>
      <c r="H131" s="7"/>
      <c r="I131" s="10"/>
      <c r="J131" s="2"/>
      <c r="K131" s="7"/>
      <c r="L131" s="7"/>
      <c r="M131" s="7"/>
      <c r="N131" s="7"/>
      <c r="O131" s="7"/>
      <c r="P131" s="2"/>
      <c r="Q131" s="8">
        <f>Q126+Q129</f>
        <v>1266605.8828867285</v>
      </c>
      <c r="R131" s="8">
        <f t="shared" ref="R131:U131" si="40">R126+R129</f>
        <v>656173.2963272254</v>
      </c>
      <c r="S131" s="8">
        <f t="shared" si="40"/>
        <v>11685582.787374264</v>
      </c>
      <c r="T131" s="8">
        <f t="shared" si="40"/>
        <v>556456.3232082983</v>
      </c>
      <c r="U131" s="8">
        <f t="shared" si="40"/>
        <v>0</v>
      </c>
      <c r="V131" s="73">
        <f t="shared" ref="V131" si="41">SUM(Q131:U131)</f>
        <v>14164818.289796516</v>
      </c>
    </row>
    <row r="132" spans="3:23" x14ac:dyDescent="0.2">
      <c r="C132" s="45" t="s">
        <v>69</v>
      </c>
      <c r="D132" s="45"/>
      <c r="E132" s="45"/>
      <c r="F132" s="45"/>
      <c r="G132" s="2"/>
      <c r="H132" s="45"/>
      <c r="I132" s="45"/>
      <c r="J132" s="2"/>
      <c r="K132" s="45"/>
      <c r="L132" s="45"/>
      <c r="M132" s="45"/>
      <c r="N132" s="45"/>
      <c r="O132" s="45"/>
      <c r="P132" s="2"/>
      <c r="Q132" s="46">
        <f>Q131-SUM(Q$10:Q$64)*business_case_dollars</f>
        <v>0</v>
      </c>
      <c r="R132" s="46">
        <f>R131-SUM(R$10:R$64)*business_case_dollars</f>
        <v>0</v>
      </c>
      <c r="S132" s="46">
        <f>S131-SUM(S$10:S$64)*business_case_dollars</f>
        <v>0</v>
      </c>
      <c r="T132" s="46">
        <f>T131-SUM(T$10:T$64)*business_case_dollars</f>
        <v>0</v>
      </c>
      <c r="U132" s="46">
        <f>U131-SUM(U$10:U$64)*business_case_dollars</f>
        <v>0</v>
      </c>
      <c r="V132" s="46">
        <f>V131-SUM(Q$10:U$64)*business_case_dollars</f>
        <v>0</v>
      </c>
      <c r="W132" s="46">
        <f>SUM(Q132:V132)</f>
        <v>0</v>
      </c>
    </row>
  </sheetData>
  <conditionalFormatting sqref="H10:H64">
    <cfRule type="expression" dxfId="21" priority="11">
      <formula>$E10="Contracts"</formula>
    </cfRule>
    <cfRule type="expression" dxfId="20" priority="12">
      <formula>$E10="Materials"</formula>
    </cfRule>
    <cfRule type="expression" dxfId="19" priority="13">
      <formula>$E10="Labour"</formula>
    </cfRule>
  </conditionalFormatting>
  <conditionalFormatting sqref="Q84:V84">
    <cfRule type="expression" dxfId="18" priority="7">
      <formula>ABS(Q84)&gt;0.001</formula>
    </cfRule>
  </conditionalFormatting>
  <conditionalFormatting sqref="Q98:V101">
    <cfRule type="expression" dxfId="17" priority="4">
      <formula>ABS(Q98)&gt;0.001</formula>
    </cfRule>
  </conditionalFormatting>
  <conditionalFormatting sqref="Q119:V119">
    <cfRule type="expression" dxfId="16" priority="8">
      <formula>ABS(Q119)&gt;0.001</formula>
    </cfRule>
  </conditionalFormatting>
  <conditionalFormatting sqref="Q132:V132">
    <cfRule type="expression" dxfId="15" priority="1">
      <formula>ABS(Q132)&gt;0.001</formula>
    </cfRule>
  </conditionalFormatting>
  <conditionalFormatting sqref="W84">
    <cfRule type="expression" dxfId="14" priority="17">
      <formula>ABS(W84)&gt;0.001</formula>
    </cfRule>
  </conditionalFormatting>
  <conditionalFormatting sqref="W98:W101">
    <cfRule type="expression" dxfId="13" priority="5">
      <formula>ABS(W98)&gt;0.001</formula>
    </cfRule>
  </conditionalFormatting>
  <conditionalFormatting sqref="W119">
    <cfRule type="expression" dxfId="12" priority="9">
      <formula>ABS(W119)&gt;0.001</formula>
    </cfRule>
  </conditionalFormatting>
  <conditionalFormatting sqref="W132">
    <cfRule type="expression" dxfId="11" priority="2">
      <formula>ABS(W132)&gt;0.001</formula>
    </cfRule>
  </conditionalFormatting>
  <dataValidations count="3">
    <dataValidation type="list" allowBlank="1" showInputMessage="1" showErrorMessage="1" sqref="F10:F64" xr:uid="{62F3F087-87F3-4E5A-B0D6-C76D92ABBAEF}">
      <formula1>"Recurrent, Non recurrent"</formula1>
    </dataValidation>
    <dataValidation type="list" allowBlank="1" showInputMessage="1" showErrorMessage="1" sqref="D10:D64" xr:uid="{2827424A-175C-47A9-8376-819542451550}">
      <formula1>"Capex, Opex"</formula1>
    </dataValidation>
    <dataValidation type="list" allowBlank="1" showInputMessage="1" showErrorMessage="1" sqref="E10:E64" xr:uid="{B6D77B07-EFAE-4B85-BB1E-63380949B0D0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A95B1-4B3C-46F4-9203-34B6BE8E696F}">
  <dimension ref="A1:Z132"/>
  <sheetViews>
    <sheetView showGridLines="0" zoomScale="80" zoomScaleNormal="80" workbookViewId="0">
      <pane ySplit="9" topLeftCell="A55" activePane="bottomLeft" state="frozen"/>
      <selection activeCell="C14" sqref="C14"/>
      <selection pane="bottomLeft" activeCell="C14" sqref="C14"/>
    </sheetView>
  </sheetViews>
  <sheetFormatPr defaultColWidth="9.140625" defaultRowHeight="12.75" x14ac:dyDescent="0.2"/>
  <cols>
    <col min="1" max="1" width="2.42578125" style="1" customWidth="1"/>
    <col min="2" max="2" width="1.5703125" style="1" customWidth="1"/>
    <col min="3" max="3" width="67.5703125" style="1" customWidth="1"/>
    <col min="4" max="4" width="12.570312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570312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3" style="1" customWidth="1"/>
    <col min="23" max="16384" width="9.140625" style="1"/>
  </cols>
  <sheetData>
    <row r="1" spans="1:26" ht="21" x14ac:dyDescent="0.35">
      <c r="A1" s="62" t="str">
        <f>Project_name</f>
        <v>Customer enablement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9" t="str">
        <f>Business</f>
        <v>CP &amp; PAL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2" customFormat="1" ht="15.75" x14ac:dyDescent="0.25">
      <c r="A3" s="30" t="s">
        <v>19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1"/>
      <c r="T3" s="11"/>
      <c r="U3" s="11"/>
      <c r="W3" s="48" t="b">
        <f>SUM(W7:W65)=0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50" t="s">
        <v>38</v>
      </c>
      <c r="D7" s="65" t="s">
        <v>39</v>
      </c>
      <c r="E7" s="65" t="s">
        <v>40</v>
      </c>
      <c r="F7" s="111" t="s">
        <v>41</v>
      </c>
      <c r="G7" s="16"/>
      <c r="H7" s="19" t="s">
        <v>11</v>
      </c>
      <c r="I7" s="19" t="s">
        <v>42</v>
      </c>
      <c r="K7" s="19" t="s">
        <v>43</v>
      </c>
      <c r="L7" s="20"/>
      <c r="M7" s="20"/>
      <c r="N7" s="20"/>
      <c r="O7" s="20"/>
      <c r="Q7" s="19" t="s">
        <v>44</v>
      </c>
      <c r="R7" s="20"/>
      <c r="S7" s="20"/>
      <c r="T7" s="20"/>
      <c r="U7" s="20"/>
    </row>
    <row r="8" spans="1:26" ht="12.75" customHeight="1" x14ac:dyDescent="0.2">
      <c r="A8" s="4"/>
      <c r="B8" s="4"/>
      <c r="C8" s="100"/>
      <c r="D8" s="100" t="s">
        <v>45</v>
      </c>
      <c r="E8" s="100"/>
      <c r="F8" s="100" t="s">
        <v>46</v>
      </c>
      <c r="G8" s="16"/>
      <c r="H8" s="110" t="s">
        <v>47</v>
      </c>
      <c r="I8" s="100"/>
      <c r="K8" s="51" t="s">
        <v>6</v>
      </c>
      <c r="L8" s="51" t="s">
        <v>7</v>
      </c>
      <c r="M8" s="51" t="s">
        <v>8</v>
      </c>
      <c r="N8" s="51" t="s">
        <v>9</v>
      </c>
      <c r="O8" s="51" t="s">
        <v>10</v>
      </c>
      <c r="Q8" s="51" t="s">
        <v>6</v>
      </c>
      <c r="R8" s="51" t="s">
        <v>7</v>
      </c>
      <c r="S8" s="51" t="s">
        <v>8</v>
      </c>
      <c r="T8" s="51" t="s">
        <v>9</v>
      </c>
      <c r="U8" s="51" t="s">
        <v>10</v>
      </c>
    </row>
    <row r="9" spans="1:26" ht="12.75" customHeight="1" x14ac:dyDescent="0.2">
      <c r="G9" s="16"/>
    </row>
    <row r="10" spans="1:26" ht="12.75" customHeight="1" x14ac:dyDescent="0.2">
      <c r="A10" s="4"/>
      <c r="C10" s="81" t="s">
        <v>48</v>
      </c>
      <c r="D10" s="82" t="s">
        <v>49</v>
      </c>
      <c r="E10" s="82" t="s">
        <v>11</v>
      </c>
      <c r="F10" s="80" t="s">
        <v>50</v>
      </c>
      <c r="G10" s="2"/>
      <c r="H10" s="64">
        <f>IF($E10="Labour",Assumptions!$B$14,)</f>
        <v>145.77740895836223</v>
      </c>
      <c r="I10" s="9" t="str">
        <f>IF($E10="Labour","Hours","$")</f>
        <v>Hours</v>
      </c>
      <c r="J10" s="2"/>
      <c r="K10" s="83"/>
      <c r="L10" s="83"/>
      <c r="M10" s="83">
        <f>900000/H10</f>
        <v>6173.7961075783905</v>
      </c>
      <c r="N10" s="83"/>
      <c r="O10" s="83"/>
      <c r="P10" s="2"/>
      <c r="Q10" s="5">
        <f t="shared" ref="Q10:Q41" si="0">IF($E10="Labour",$H10*K10,K10)</f>
        <v>0</v>
      </c>
      <c r="R10" s="5">
        <f t="shared" ref="R10:R41" si="1">IF($E10="Labour",$H10*L10,L10)</f>
        <v>0</v>
      </c>
      <c r="S10" s="5">
        <f t="shared" ref="S10:S41" si="2">IF($E10="Labour",$H10*M10,M10)</f>
        <v>899999.99999999988</v>
      </c>
      <c r="T10" s="5">
        <f t="shared" ref="T10:T41" si="3">IF($E10="Labour",$H10*N10,N10)</f>
        <v>0</v>
      </c>
      <c r="U10" s="5">
        <f t="shared" ref="U10:U41" si="4">IF($E10="Labour",$H10*O10,O10)</f>
        <v>0</v>
      </c>
    </row>
    <row r="11" spans="1:26" ht="12.75" customHeight="1" x14ac:dyDescent="0.2">
      <c r="A11" s="4"/>
      <c r="C11" s="81" t="s">
        <v>51</v>
      </c>
      <c r="D11" s="82" t="s">
        <v>49</v>
      </c>
      <c r="E11" s="82" t="s">
        <v>11</v>
      </c>
      <c r="F11" s="80" t="s">
        <v>50</v>
      </c>
      <c r="G11" s="2"/>
      <c r="H11" s="64">
        <f>IF($E11="Labour",Assumptions!$B$14,)</f>
        <v>145.77740895836223</v>
      </c>
      <c r="I11" s="9" t="str">
        <f t="shared" ref="I11:I64" si="5">IF($E11="Labour","Hours","$")</f>
        <v>Hours</v>
      </c>
      <c r="J11" s="2"/>
      <c r="K11" s="83"/>
      <c r="L11" s="83"/>
      <c r="M11" s="83">
        <f>1800000/H11</f>
        <v>12347.592215156781</v>
      </c>
      <c r="N11" s="83"/>
      <c r="O11" s="83"/>
      <c r="P11" s="2"/>
      <c r="Q11" s="5">
        <f t="shared" si="0"/>
        <v>0</v>
      </c>
      <c r="R11" s="5">
        <f t="shared" si="1"/>
        <v>0</v>
      </c>
      <c r="S11" s="5">
        <f t="shared" si="2"/>
        <v>1799999.9999999998</v>
      </c>
      <c r="T11" s="5">
        <f t="shared" si="3"/>
        <v>0</v>
      </c>
      <c r="U11" s="5">
        <f t="shared" si="4"/>
        <v>0</v>
      </c>
    </row>
    <row r="12" spans="1:26" ht="12.75" customHeight="1" x14ac:dyDescent="0.2">
      <c r="A12" s="4"/>
      <c r="C12" s="81" t="s">
        <v>52</v>
      </c>
      <c r="D12" s="82" t="s">
        <v>49</v>
      </c>
      <c r="E12" s="82" t="s">
        <v>11</v>
      </c>
      <c r="F12" s="80" t="s">
        <v>50</v>
      </c>
      <c r="G12" s="2"/>
      <c r="H12" s="64">
        <f>IF($E12="Labour",Assumptions!$B$14,)</f>
        <v>145.77740895836223</v>
      </c>
      <c r="I12" s="9" t="str">
        <f t="shared" si="5"/>
        <v>Hours</v>
      </c>
      <c r="J12" s="2"/>
      <c r="K12" s="83"/>
      <c r="L12" s="83"/>
      <c r="M12" s="83">
        <f>3500000/H12</f>
        <v>24009.207085027076</v>
      </c>
      <c r="N12" s="83"/>
      <c r="O12" s="83"/>
      <c r="P12" s="2"/>
      <c r="Q12" s="5">
        <f t="shared" si="0"/>
        <v>0</v>
      </c>
      <c r="R12" s="5">
        <f t="shared" si="1"/>
        <v>0</v>
      </c>
      <c r="S12" s="5">
        <f t="shared" si="2"/>
        <v>3500000</v>
      </c>
      <c r="T12" s="5">
        <f t="shared" si="3"/>
        <v>0</v>
      </c>
      <c r="U12" s="5">
        <f t="shared" si="4"/>
        <v>0</v>
      </c>
    </row>
    <row r="13" spans="1:26" ht="12.75" customHeight="1" x14ac:dyDescent="0.25">
      <c r="A13" s="4"/>
      <c r="C13" s="81" t="s">
        <v>53</v>
      </c>
      <c r="D13" s="82" t="s">
        <v>49</v>
      </c>
      <c r="E13" s="82" t="s">
        <v>11</v>
      </c>
      <c r="F13" s="80" t="s">
        <v>50</v>
      </c>
      <c r="G13" s="2"/>
      <c r="H13" s="64">
        <f>IF($E13="Labour",Assumptions!$B$14,)</f>
        <v>145.77740895836223</v>
      </c>
      <c r="I13" s="9" t="str">
        <f t="shared" si="5"/>
        <v>Hours</v>
      </c>
      <c r="J13" s="2"/>
      <c r="K13" s="83"/>
      <c r="L13" s="83"/>
      <c r="M13" s="83">
        <f>2200000/H13</f>
        <v>15091.501596302733</v>
      </c>
      <c r="N13" s="83"/>
      <c r="O13" s="83"/>
      <c r="P13" s="2"/>
      <c r="Q13" s="5">
        <f t="shared" si="0"/>
        <v>0</v>
      </c>
      <c r="R13" s="5">
        <f t="shared" si="1"/>
        <v>0</v>
      </c>
      <c r="S13" s="5">
        <f t="shared" si="2"/>
        <v>2200000</v>
      </c>
      <c r="T13" s="5">
        <f t="shared" si="3"/>
        <v>0</v>
      </c>
      <c r="U13" s="5">
        <f t="shared" si="4"/>
        <v>0</v>
      </c>
      <c r="Z13"/>
    </row>
    <row r="14" spans="1:26" ht="12.75" customHeight="1" x14ac:dyDescent="0.25">
      <c r="A14" s="4"/>
      <c r="C14" s="81" t="s">
        <v>54</v>
      </c>
      <c r="D14" s="82" t="s">
        <v>49</v>
      </c>
      <c r="E14" s="82" t="s">
        <v>11</v>
      </c>
      <c r="F14" s="80" t="s">
        <v>50</v>
      </c>
      <c r="G14" s="2"/>
      <c r="H14" s="64">
        <f>IF($E14="Labour",Assumptions!$B$14,)</f>
        <v>145.77740895836223</v>
      </c>
      <c r="I14" s="9" t="str">
        <f t="shared" si="5"/>
        <v>Hours</v>
      </c>
      <c r="J14" s="2"/>
      <c r="K14" s="83"/>
      <c r="L14" s="83"/>
      <c r="M14" s="83">
        <f>800000/H14</f>
        <v>5487.8187622919031</v>
      </c>
      <c r="N14" s="83"/>
      <c r="O14" s="83"/>
      <c r="P14" s="2"/>
      <c r="Q14" s="5">
        <f t="shared" si="0"/>
        <v>0</v>
      </c>
      <c r="R14" s="5">
        <f t="shared" si="1"/>
        <v>0</v>
      </c>
      <c r="S14" s="5">
        <f t="shared" si="2"/>
        <v>800000</v>
      </c>
      <c r="T14" s="5">
        <f t="shared" si="3"/>
        <v>0</v>
      </c>
      <c r="U14" s="5">
        <f t="shared" si="4"/>
        <v>0</v>
      </c>
      <c r="Z14"/>
    </row>
    <row r="15" spans="1:26" ht="12.75" customHeight="1" x14ac:dyDescent="0.25">
      <c r="A15" s="4"/>
      <c r="C15" s="81" t="s">
        <v>55</v>
      </c>
      <c r="D15" s="82" t="s">
        <v>49</v>
      </c>
      <c r="E15" s="82" t="s">
        <v>11</v>
      </c>
      <c r="F15" s="80" t="s">
        <v>50</v>
      </c>
      <c r="G15" s="2"/>
      <c r="H15" s="64">
        <f>IF($E15="Labour",Assumptions!$B$14,)</f>
        <v>145.77740895836223</v>
      </c>
      <c r="I15" s="9" t="str">
        <f t="shared" si="5"/>
        <v>Hours</v>
      </c>
      <c r="J15" s="2"/>
      <c r="K15" s="83"/>
      <c r="L15" s="83"/>
      <c r="M15" s="83">
        <f>800000/H15</f>
        <v>5487.8187622919031</v>
      </c>
      <c r="N15" s="83"/>
      <c r="O15" s="83"/>
      <c r="P15" s="2"/>
      <c r="Q15" s="5">
        <f t="shared" si="0"/>
        <v>0</v>
      </c>
      <c r="R15" s="5">
        <f t="shared" si="1"/>
        <v>0</v>
      </c>
      <c r="S15" s="5">
        <f t="shared" si="2"/>
        <v>800000</v>
      </c>
      <c r="T15" s="5">
        <f t="shared" si="3"/>
        <v>0</v>
      </c>
      <c r="U15" s="5">
        <f t="shared" si="4"/>
        <v>0</v>
      </c>
      <c r="Z15"/>
    </row>
    <row r="16" spans="1:26" ht="12.75" customHeight="1" x14ac:dyDescent="0.25">
      <c r="A16" s="4"/>
      <c r="C16" s="81" t="s">
        <v>56</v>
      </c>
      <c r="D16" s="82" t="s">
        <v>49</v>
      </c>
      <c r="E16" s="82" t="s">
        <v>11</v>
      </c>
      <c r="F16" s="80" t="s">
        <v>50</v>
      </c>
      <c r="G16" s="2"/>
      <c r="H16" s="64">
        <f>IF($E16="Labour",Assumptions!$B$14,)</f>
        <v>145.77740895836223</v>
      </c>
      <c r="I16" s="9" t="str">
        <f t="shared" si="5"/>
        <v>Hours</v>
      </c>
      <c r="J16" s="2"/>
      <c r="K16" s="83"/>
      <c r="L16" s="83"/>
      <c r="M16" s="83">
        <f>315000/H16</f>
        <v>2160.828637652437</v>
      </c>
      <c r="N16" s="83">
        <f>315000/H16</f>
        <v>2160.828637652437</v>
      </c>
      <c r="O16" s="83"/>
      <c r="P16" s="2"/>
      <c r="Q16" s="5">
        <f t="shared" si="0"/>
        <v>0</v>
      </c>
      <c r="R16" s="5">
        <f t="shared" si="1"/>
        <v>0</v>
      </c>
      <c r="S16" s="5">
        <f t="shared" si="2"/>
        <v>315000</v>
      </c>
      <c r="T16" s="5">
        <f t="shared" si="3"/>
        <v>315000</v>
      </c>
      <c r="U16" s="5">
        <f t="shared" si="4"/>
        <v>0</v>
      </c>
      <c r="Z16"/>
    </row>
    <row r="17" spans="1:26" ht="12.75" customHeight="1" x14ac:dyDescent="0.25">
      <c r="A17" s="4"/>
      <c r="C17" s="81" t="s">
        <v>57</v>
      </c>
      <c r="D17" s="82" t="s">
        <v>49</v>
      </c>
      <c r="E17" s="82" t="s">
        <v>11</v>
      </c>
      <c r="F17" s="80" t="s">
        <v>50</v>
      </c>
      <c r="G17" s="2"/>
      <c r="H17" s="64">
        <f>IF($E17="Labour",Assumptions!$B$14,)</f>
        <v>145.77740895836223</v>
      </c>
      <c r="I17" s="9" t="str">
        <f t="shared" si="5"/>
        <v>Hours</v>
      </c>
      <c r="J17" s="2"/>
      <c r="K17" s="83"/>
      <c r="L17" s="83"/>
      <c r="M17" s="83">
        <f>630000/H17</f>
        <v>4321.657275304874</v>
      </c>
      <c r="N17" s="83">
        <f>630000/H17</f>
        <v>4321.657275304874</v>
      </c>
      <c r="O17" s="83"/>
      <c r="P17" s="2"/>
      <c r="Q17" s="5">
        <f t="shared" si="0"/>
        <v>0</v>
      </c>
      <c r="R17" s="5">
        <f t="shared" si="1"/>
        <v>0</v>
      </c>
      <c r="S17" s="5">
        <f t="shared" si="2"/>
        <v>630000</v>
      </c>
      <c r="T17" s="5">
        <f t="shared" si="3"/>
        <v>630000</v>
      </c>
      <c r="U17" s="5">
        <f t="shared" si="4"/>
        <v>0</v>
      </c>
      <c r="Z17"/>
    </row>
    <row r="18" spans="1:26" ht="12.75" customHeight="1" x14ac:dyDescent="0.25">
      <c r="A18" s="4"/>
      <c r="C18" s="81" t="s">
        <v>58</v>
      </c>
      <c r="D18" s="82" t="s">
        <v>49</v>
      </c>
      <c r="E18" s="82" t="s">
        <v>11</v>
      </c>
      <c r="F18" s="80" t="s">
        <v>50</v>
      </c>
      <c r="G18" s="2"/>
      <c r="H18" s="64">
        <f>IF($E18="Labour",Assumptions!$B$14,)</f>
        <v>145.77740895836223</v>
      </c>
      <c r="I18" s="9" t="str">
        <f t="shared" si="5"/>
        <v>Hours</v>
      </c>
      <c r="J18" s="2"/>
      <c r="K18" s="83"/>
      <c r="L18" s="83"/>
      <c r="M18" s="83">
        <f>1225000/H18</f>
        <v>8403.2224797594772</v>
      </c>
      <c r="N18" s="83">
        <f>1225000/H18</f>
        <v>8403.2224797594772</v>
      </c>
      <c r="O18" s="83"/>
      <c r="P18" s="2"/>
      <c r="Q18" s="5">
        <f t="shared" si="0"/>
        <v>0</v>
      </c>
      <c r="R18" s="5">
        <f t="shared" si="1"/>
        <v>0</v>
      </c>
      <c r="S18" s="5">
        <f t="shared" si="2"/>
        <v>1225000</v>
      </c>
      <c r="T18" s="5">
        <f t="shared" si="3"/>
        <v>1225000</v>
      </c>
      <c r="U18" s="5">
        <f t="shared" si="4"/>
        <v>0</v>
      </c>
      <c r="Z18"/>
    </row>
    <row r="19" spans="1:26" ht="12.75" customHeight="1" x14ac:dyDescent="0.25">
      <c r="A19" s="4"/>
      <c r="C19" s="81" t="s">
        <v>59</v>
      </c>
      <c r="D19" s="82" t="s">
        <v>49</v>
      </c>
      <c r="E19" s="82" t="s">
        <v>11</v>
      </c>
      <c r="F19" s="80" t="s">
        <v>50</v>
      </c>
      <c r="G19" s="2"/>
      <c r="H19" s="64">
        <f>IF($E19="Labour",Assumptions!$B$14,)</f>
        <v>145.77740895836223</v>
      </c>
      <c r="I19" s="9" t="str">
        <f t="shared" si="5"/>
        <v>Hours</v>
      </c>
      <c r="J19" s="2"/>
      <c r="K19" s="83"/>
      <c r="L19" s="83"/>
      <c r="M19" s="83">
        <f>770000/H19</f>
        <v>5282.0255587059564</v>
      </c>
      <c r="N19" s="83">
        <f>770000/H19</f>
        <v>5282.0255587059564</v>
      </c>
      <c r="O19" s="83"/>
      <c r="P19" s="2"/>
      <c r="Q19" s="5">
        <f t="shared" si="0"/>
        <v>0</v>
      </c>
      <c r="R19" s="5">
        <f t="shared" si="1"/>
        <v>0</v>
      </c>
      <c r="S19" s="5">
        <f t="shared" si="2"/>
        <v>770000</v>
      </c>
      <c r="T19" s="5">
        <f t="shared" si="3"/>
        <v>770000</v>
      </c>
      <c r="U19" s="5">
        <f t="shared" si="4"/>
        <v>0</v>
      </c>
      <c r="Z19"/>
    </row>
    <row r="20" spans="1:26" ht="12.75" customHeight="1" x14ac:dyDescent="0.25">
      <c r="A20" s="4"/>
      <c r="C20" s="81" t="s">
        <v>60</v>
      </c>
      <c r="D20" s="82" t="s">
        <v>49</v>
      </c>
      <c r="E20" s="82" t="s">
        <v>11</v>
      </c>
      <c r="F20" s="80" t="s">
        <v>50</v>
      </c>
      <c r="G20" s="2"/>
      <c r="H20" s="64">
        <f>IF($E20="Labour",Assumptions!$B$14,)</f>
        <v>145.77740895836223</v>
      </c>
      <c r="I20" s="9" t="str">
        <f t="shared" si="5"/>
        <v>Hours</v>
      </c>
      <c r="J20" s="2"/>
      <c r="K20" s="83"/>
      <c r="L20" s="83"/>
      <c r="M20" s="83">
        <f>280000/H20</f>
        <v>1920.7365668021662</v>
      </c>
      <c r="N20" s="83">
        <f>280000/H20</f>
        <v>1920.7365668021662</v>
      </c>
      <c r="O20" s="83"/>
      <c r="P20" s="2"/>
      <c r="Q20" s="5">
        <f t="shared" si="0"/>
        <v>0</v>
      </c>
      <c r="R20" s="5">
        <f t="shared" si="1"/>
        <v>0</v>
      </c>
      <c r="S20" s="5">
        <f t="shared" si="2"/>
        <v>280000</v>
      </c>
      <c r="T20" s="5">
        <f t="shared" si="3"/>
        <v>280000</v>
      </c>
      <c r="U20" s="5">
        <f t="shared" si="4"/>
        <v>0</v>
      </c>
      <c r="Z20"/>
    </row>
    <row r="21" spans="1:26" ht="12.75" customHeight="1" x14ac:dyDescent="0.25">
      <c r="A21" s="4"/>
      <c r="C21" s="81" t="s">
        <v>61</v>
      </c>
      <c r="D21" s="82" t="s">
        <v>49</v>
      </c>
      <c r="E21" s="82" t="s">
        <v>11</v>
      </c>
      <c r="F21" s="80" t="s">
        <v>50</v>
      </c>
      <c r="G21" s="2"/>
      <c r="H21" s="64">
        <f>IF($E21="Labour",Assumptions!$B$14,)</f>
        <v>145.77740895836223</v>
      </c>
      <c r="I21" s="9" t="str">
        <f t="shared" si="5"/>
        <v>Hours</v>
      </c>
      <c r="J21" s="2"/>
      <c r="K21" s="83"/>
      <c r="L21" s="83"/>
      <c r="M21" s="83">
        <f>280000/H21</f>
        <v>1920.7365668021662</v>
      </c>
      <c r="N21" s="83">
        <f>280000/H21</f>
        <v>1920.7365668021662</v>
      </c>
      <c r="O21" s="83"/>
      <c r="P21" s="2"/>
      <c r="Q21" s="5">
        <f t="shared" si="0"/>
        <v>0</v>
      </c>
      <c r="R21" s="5">
        <f t="shared" si="1"/>
        <v>0</v>
      </c>
      <c r="S21" s="5">
        <f t="shared" si="2"/>
        <v>280000</v>
      </c>
      <c r="T21" s="5">
        <f t="shared" si="3"/>
        <v>280000</v>
      </c>
      <c r="U21" s="5">
        <f t="shared" si="4"/>
        <v>0</v>
      </c>
      <c r="Z21"/>
    </row>
    <row r="22" spans="1:26" ht="12.75" customHeight="1" x14ac:dyDescent="0.25">
      <c r="A22" s="4"/>
      <c r="C22" s="81" t="s">
        <v>62</v>
      </c>
      <c r="D22" s="82" t="s">
        <v>49</v>
      </c>
      <c r="E22" s="82" t="s">
        <v>11</v>
      </c>
      <c r="F22" s="80" t="s">
        <v>50</v>
      </c>
      <c r="G22" s="2"/>
      <c r="H22" s="64">
        <f>IF($E22="Labour",Assumptions!$B$14,)</f>
        <v>145.77740895836223</v>
      </c>
      <c r="I22" s="9" t="str">
        <f t="shared" si="5"/>
        <v>Hours</v>
      </c>
      <c r="J22" s="2"/>
      <c r="K22" s="83">
        <f>102384/H22</f>
        <v>702.33104519811775</v>
      </c>
      <c r="L22" s="83"/>
      <c r="M22" s="83"/>
      <c r="N22" s="83"/>
      <c r="O22" s="83"/>
      <c r="P22" s="2"/>
      <c r="Q22" s="5">
        <f t="shared" si="0"/>
        <v>102384</v>
      </c>
      <c r="R22" s="5">
        <f t="shared" si="1"/>
        <v>0</v>
      </c>
      <c r="S22" s="5">
        <f t="shared" si="2"/>
        <v>0</v>
      </c>
      <c r="T22" s="5">
        <f t="shared" si="3"/>
        <v>0</v>
      </c>
      <c r="U22" s="5">
        <f t="shared" si="4"/>
        <v>0</v>
      </c>
      <c r="Z22"/>
    </row>
    <row r="23" spans="1:26" ht="12.75" customHeight="1" x14ac:dyDescent="0.25">
      <c r="A23" s="4"/>
      <c r="C23" s="81" t="s">
        <v>63</v>
      </c>
      <c r="D23" s="82" t="s">
        <v>49</v>
      </c>
      <c r="E23" s="82" t="s">
        <v>11</v>
      </c>
      <c r="F23" s="80" t="s">
        <v>50</v>
      </c>
      <c r="G23" s="2"/>
      <c r="H23" s="64">
        <f>IF($E23="Labour",Assumptions!$B$14,)</f>
        <v>145.77740895836223</v>
      </c>
      <c r="I23" s="9" t="str">
        <f t="shared" si="5"/>
        <v>Hours</v>
      </c>
      <c r="J23" s="2"/>
      <c r="K23" s="83">
        <f>204768/H23</f>
        <v>1404.6620903962355</v>
      </c>
      <c r="L23" s="83"/>
      <c r="M23" s="83"/>
      <c r="N23" s="83"/>
      <c r="O23" s="83"/>
      <c r="P23" s="2"/>
      <c r="Q23" s="5">
        <f t="shared" si="0"/>
        <v>204768</v>
      </c>
      <c r="R23" s="5">
        <f t="shared" si="1"/>
        <v>0</v>
      </c>
      <c r="S23" s="5">
        <f t="shared" si="2"/>
        <v>0</v>
      </c>
      <c r="T23" s="5">
        <f t="shared" si="3"/>
        <v>0</v>
      </c>
      <c r="U23" s="5">
        <f t="shared" si="4"/>
        <v>0</v>
      </c>
      <c r="Z23"/>
    </row>
    <row r="24" spans="1:26" ht="12.75" customHeight="1" x14ac:dyDescent="0.25">
      <c r="A24" s="4"/>
      <c r="C24" s="81" t="s">
        <v>64</v>
      </c>
      <c r="D24" s="82" t="s">
        <v>49</v>
      </c>
      <c r="E24" s="82" t="s">
        <v>11</v>
      </c>
      <c r="F24" s="80" t="s">
        <v>50</v>
      </c>
      <c r="G24" s="2"/>
      <c r="H24" s="64">
        <f>IF($E24="Labour",Assumptions!$B$14,)</f>
        <v>145.77740895836223</v>
      </c>
      <c r="I24" s="9" t="str">
        <f t="shared" si="5"/>
        <v>Hours</v>
      </c>
      <c r="J24" s="2"/>
      <c r="K24" s="83">
        <f>398160/H24</f>
        <v>2731.2873979926803</v>
      </c>
      <c r="L24" s="83"/>
      <c r="M24" s="83"/>
      <c r="N24" s="83"/>
      <c r="O24" s="83"/>
      <c r="P24" s="2"/>
      <c r="Q24" s="5">
        <f t="shared" si="0"/>
        <v>398160</v>
      </c>
      <c r="R24" s="5">
        <f t="shared" si="1"/>
        <v>0</v>
      </c>
      <c r="S24" s="5">
        <f t="shared" si="2"/>
        <v>0</v>
      </c>
      <c r="T24" s="5">
        <f t="shared" si="3"/>
        <v>0</v>
      </c>
      <c r="U24" s="5">
        <f t="shared" si="4"/>
        <v>0</v>
      </c>
      <c r="Z24"/>
    </row>
    <row r="25" spans="1:26" ht="12.75" customHeight="1" x14ac:dyDescent="0.25">
      <c r="A25" s="4"/>
      <c r="C25" s="81" t="s">
        <v>65</v>
      </c>
      <c r="D25" s="82" t="s">
        <v>49</v>
      </c>
      <c r="E25" s="82" t="s">
        <v>11</v>
      </c>
      <c r="F25" s="80" t="s">
        <v>50</v>
      </c>
      <c r="G25" s="2"/>
      <c r="H25" s="64">
        <f>IF($E25="Labour",Assumptions!$B$14,)</f>
        <v>145.77740895836223</v>
      </c>
      <c r="I25" s="9" t="str">
        <f t="shared" si="5"/>
        <v>Hours</v>
      </c>
      <c r="J25" s="2"/>
      <c r="K25" s="83">
        <f>250772/H25</f>
        <v>1720.2391083218315</v>
      </c>
      <c r="L25" s="83"/>
      <c r="M25" s="83"/>
      <c r="N25" s="83"/>
      <c r="O25" s="83"/>
      <c r="P25" s="2"/>
      <c r="Q25" s="5">
        <f t="shared" si="0"/>
        <v>250772.00000000003</v>
      </c>
      <c r="R25" s="5">
        <f t="shared" si="1"/>
        <v>0</v>
      </c>
      <c r="S25" s="5">
        <f t="shared" si="2"/>
        <v>0</v>
      </c>
      <c r="T25" s="5">
        <f t="shared" si="3"/>
        <v>0</v>
      </c>
      <c r="U25" s="5">
        <f t="shared" si="4"/>
        <v>0</v>
      </c>
      <c r="Z25"/>
    </row>
    <row r="26" spans="1:26" ht="12.75" customHeight="1" x14ac:dyDescent="0.25">
      <c r="A26" s="4"/>
      <c r="C26" s="81" t="s">
        <v>66</v>
      </c>
      <c r="D26" s="82" t="s">
        <v>49</v>
      </c>
      <c r="E26" s="82" t="s">
        <v>11</v>
      </c>
      <c r="F26" s="80" t="s">
        <v>50</v>
      </c>
      <c r="G26" s="2"/>
      <c r="H26" s="64">
        <f>IF($E26="Labour",Assumptions!$B$14,)</f>
        <v>145.77740895836223</v>
      </c>
      <c r="I26" s="9" t="str">
        <f t="shared" si="5"/>
        <v>Hours</v>
      </c>
      <c r="J26" s="2"/>
      <c r="K26" s="83">
        <f>91008/H26</f>
        <v>624.29426239832685</v>
      </c>
      <c r="L26" s="83"/>
      <c r="M26" s="83"/>
      <c r="N26" s="83"/>
      <c r="O26" s="83"/>
      <c r="P26" s="2"/>
      <c r="Q26" s="5">
        <f t="shared" si="0"/>
        <v>91008</v>
      </c>
      <c r="R26" s="5">
        <f t="shared" si="1"/>
        <v>0</v>
      </c>
      <c r="S26" s="5">
        <f t="shared" si="2"/>
        <v>0</v>
      </c>
      <c r="T26" s="5">
        <f t="shared" si="3"/>
        <v>0</v>
      </c>
      <c r="U26" s="5">
        <f t="shared" si="4"/>
        <v>0</v>
      </c>
      <c r="Z26"/>
    </row>
    <row r="27" spans="1:26" ht="12.75" customHeight="1" x14ac:dyDescent="0.25">
      <c r="A27" s="4"/>
      <c r="C27" s="81" t="s">
        <v>67</v>
      </c>
      <c r="D27" s="82" t="s">
        <v>49</v>
      </c>
      <c r="E27" s="82" t="s">
        <v>11</v>
      </c>
      <c r="F27" s="80" t="s">
        <v>50</v>
      </c>
      <c r="G27" s="2"/>
      <c r="H27" s="64">
        <f>IF($E27="Labour",Assumptions!$B$14,)</f>
        <v>145.77740895836223</v>
      </c>
      <c r="I27" s="9" t="str">
        <f t="shared" si="5"/>
        <v>Hours</v>
      </c>
      <c r="J27" s="2"/>
      <c r="K27" s="83">
        <f>91008/H27</f>
        <v>624.29426239832685</v>
      </c>
      <c r="L27" s="83"/>
      <c r="M27" s="83"/>
      <c r="N27" s="83"/>
      <c r="O27" s="83"/>
      <c r="P27" s="2"/>
      <c r="Q27" s="5">
        <f t="shared" si="0"/>
        <v>91008</v>
      </c>
      <c r="R27" s="5">
        <f t="shared" si="1"/>
        <v>0</v>
      </c>
      <c r="S27" s="5">
        <f t="shared" si="2"/>
        <v>0</v>
      </c>
      <c r="T27" s="5">
        <f t="shared" si="3"/>
        <v>0</v>
      </c>
      <c r="U27" s="5">
        <f t="shared" si="4"/>
        <v>0</v>
      </c>
      <c r="Z27"/>
    </row>
    <row r="28" spans="1:26" ht="12.75" customHeight="1" x14ac:dyDescent="0.25">
      <c r="A28" s="4"/>
      <c r="C28" s="81" t="s">
        <v>74</v>
      </c>
      <c r="D28" s="82" t="s">
        <v>49</v>
      </c>
      <c r="E28" s="82" t="s">
        <v>11</v>
      </c>
      <c r="F28" s="80" t="s">
        <v>50</v>
      </c>
      <c r="G28" s="2"/>
      <c r="H28" s="64">
        <f>IF($E28="Labour",Assumptions!$B$14,)</f>
        <v>145.77740895836223</v>
      </c>
      <c r="I28" s="9" t="str">
        <f t="shared" si="5"/>
        <v>Hours</v>
      </c>
      <c r="J28" s="2"/>
      <c r="K28" s="83">
        <f>36000/H28</f>
        <v>246.95184430313563</v>
      </c>
      <c r="L28" s="83"/>
      <c r="M28" s="83"/>
      <c r="N28" s="83"/>
      <c r="O28" s="83"/>
      <c r="P28" s="2"/>
      <c r="Q28" s="5">
        <f t="shared" si="0"/>
        <v>36000</v>
      </c>
      <c r="R28" s="5">
        <f t="shared" si="1"/>
        <v>0</v>
      </c>
      <c r="S28" s="5">
        <f t="shared" si="2"/>
        <v>0</v>
      </c>
      <c r="T28" s="5">
        <f t="shared" si="3"/>
        <v>0</v>
      </c>
      <c r="U28" s="5">
        <f t="shared" si="4"/>
        <v>0</v>
      </c>
      <c r="Z28"/>
    </row>
    <row r="29" spans="1:26" ht="12.75" customHeight="1" x14ac:dyDescent="0.25">
      <c r="A29" s="4"/>
      <c r="C29" s="81" t="s">
        <v>75</v>
      </c>
      <c r="D29" s="82" t="s">
        <v>49</v>
      </c>
      <c r="E29" s="82" t="s">
        <v>11</v>
      </c>
      <c r="F29" s="80" t="s">
        <v>50</v>
      </c>
      <c r="G29" s="2"/>
      <c r="H29" s="64">
        <f>IF($E29="Labour",Assumptions!$B$14,)</f>
        <v>145.77740895836223</v>
      </c>
      <c r="I29" s="9" t="str">
        <f t="shared" si="5"/>
        <v>Hours</v>
      </c>
      <c r="J29" s="2"/>
      <c r="K29" s="83">
        <f>72000/H29</f>
        <v>493.90368860627126</v>
      </c>
      <c r="L29" s="83"/>
      <c r="M29" s="83"/>
      <c r="N29" s="83"/>
      <c r="O29" s="83"/>
      <c r="P29" s="2"/>
      <c r="Q29" s="5">
        <f t="shared" si="0"/>
        <v>72000</v>
      </c>
      <c r="R29" s="5">
        <f t="shared" si="1"/>
        <v>0</v>
      </c>
      <c r="S29" s="5">
        <f t="shared" si="2"/>
        <v>0</v>
      </c>
      <c r="T29" s="5">
        <f t="shared" si="3"/>
        <v>0</v>
      </c>
      <c r="U29" s="5">
        <f t="shared" si="4"/>
        <v>0</v>
      </c>
      <c r="Z29"/>
    </row>
    <row r="30" spans="1:26" ht="12.75" customHeight="1" x14ac:dyDescent="0.25">
      <c r="A30" s="4"/>
      <c r="C30" s="81" t="s">
        <v>76</v>
      </c>
      <c r="D30" s="82" t="s">
        <v>49</v>
      </c>
      <c r="E30" s="82" t="s">
        <v>11</v>
      </c>
      <c r="F30" s="80" t="s">
        <v>50</v>
      </c>
      <c r="G30" s="2"/>
      <c r="H30" s="64">
        <f>IF($E30="Labour",Assumptions!$B$14,)</f>
        <v>145.77740895836223</v>
      </c>
      <c r="I30" s="9" t="str">
        <f t="shared" si="5"/>
        <v>Hours</v>
      </c>
      <c r="J30" s="2"/>
      <c r="K30" s="83">
        <f>140000/H30</f>
        <v>960.36828340108309</v>
      </c>
      <c r="L30" s="83"/>
      <c r="M30" s="83"/>
      <c r="N30" s="83"/>
      <c r="O30" s="83"/>
      <c r="P30" s="2"/>
      <c r="Q30" s="5">
        <f t="shared" si="0"/>
        <v>140000</v>
      </c>
      <c r="R30" s="5">
        <f t="shared" si="1"/>
        <v>0</v>
      </c>
      <c r="S30" s="5">
        <f t="shared" si="2"/>
        <v>0</v>
      </c>
      <c r="T30" s="5">
        <f t="shared" si="3"/>
        <v>0</v>
      </c>
      <c r="U30" s="5">
        <f t="shared" si="4"/>
        <v>0</v>
      </c>
      <c r="Z30"/>
    </row>
    <row r="31" spans="1:26" ht="12.75" customHeight="1" x14ac:dyDescent="0.25">
      <c r="A31" s="4"/>
      <c r="C31" s="81" t="s">
        <v>77</v>
      </c>
      <c r="D31" s="82" t="s">
        <v>49</v>
      </c>
      <c r="E31" s="82" t="s">
        <v>11</v>
      </c>
      <c r="F31" s="80" t="s">
        <v>50</v>
      </c>
      <c r="G31" s="2"/>
      <c r="H31" s="64">
        <f>IF($E31="Labour",Assumptions!$B$14,)</f>
        <v>145.77740895836223</v>
      </c>
      <c r="I31" s="9" t="str">
        <f t="shared" si="5"/>
        <v>Hours</v>
      </c>
      <c r="J31" s="2"/>
      <c r="K31" s="83">
        <f>88000/H31</f>
        <v>603.66006385210937</v>
      </c>
      <c r="L31" s="83"/>
      <c r="M31" s="83"/>
      <c r="N31" s="83"/>
      <c r="O31" s="83"/>
      <c r="P31" s="2"/>
      <c r="Q31" s="5">
        <f t="shared" si="0"/>
        <v>88000</v>
      </c>
      <c r="R31" s="5">
        <f t="shared" si="1"/>
        <v>0</v>
      </c>
      <c r="S31" s="5">
        <f t="shared" si="2"/>
        <v>0</v>
      </c>
      <c r="T31" s="5">
        <f t="shared" si="3"/>
        <v>0</v>
      </c>
      <c r="U31" s="5">
        <f t="shared" si="4"/>
        <v>0</v>
      </c>
      <c r="Z31"/>
    </row>
    <row r="32" spans="1:26" ht="12.75" customHeight="1" x14ac:dyDescent="0.25">
      <c r="A32" s="4"/>
      <c r="C32" s="81" t="s">
        <v>78</v>
      </c>
      <c r="D32" s="82" t="s">
        <v>49</v>
      </c>
      <c r="E32" s="82" t="s">
        <v>11</v>
      </c>
      <c r="F32" s="80" t="s">
        <v>50</v>
      </c>
      <c r="G32" s="2"/>
      <c r="H32" s="64">
        <f>IF($E32="Labour",Assumptions!$B$14,)</f>
        <v>145.77740895836223</v>
      </c>
      <c r="I32" s="9" t="str">
        <f t="shared" si="5"/>
        <v>Hours</v>
      </c>
      <c r="J32" s="2"/>
      <c r="K32" s="83">
        <f>32000/H32</f>
        <v>219.51275049167612</v>
      </c>
      <c r="L32" s="83"/>
      <c r="M32" s="83"/>
      <c r="N32" s="83"/>
      <c r="O32" s="83"/>
      <c r="P32" s="2"/>
      <c r="Q32" s="5">
        <f t="shared" si="0"/>
        <v>32000</v>
      </c>
      <c r="R32" s="5">
        <f t="shared" si="1"/>
        <v>0</v>
      </c>
      <c r="S32" s="5">
        <f t="shared" si="2"/>
        <v>0</v>
      </c>
      <c r="T32" s="5">
        <f t="shared" si="3"/>
        <v>0</v>
      </c>
      <c r="U32" s="5">
        <f t="shared" si="4"/>
        <v>0</v>
      </c>
      <c r="Z32"/>
    </row>
    <row r="33" spans="1:26" ht="12.75" customHeight="1" x14ac:dyDescent="0.25">
      <c r="A33" s="4"/>
      <c r="C33" s="81" t="s">
        <v>79</v>
      </c>
      <c r="D33" s="82" t="s">
        <v>49</v>
      </c>
      <c r="E33" s="82" t="s">
        <v>11</v>
      </c>
      <c r="F33" s="80" t="s">
        <v>50</v>
      </c>
      <c r="G33" s="2"/>
      <c r="H33" s="64">
        <f>IF($E33="Labour",Assumptions!$B$14,)</f>
        <v>145.77740895836223</v>
      </c>
      <c r="I33" s="9" t="str">
        <f t="shared" si="5"/>
        <v>Hours</v>
      </c>
      <c r="J33" s="2"/>
      <c r="K33" s="83">
        <f>32000/H33</f>
        <v>219.51275049167612</v>
      </c>
      <c r="L33" s="83"/>
      <c r="M33" s="83"/>
      <c r="N33" s="83"/>
      <c r="O33" s="83"/>
      <c r="P33" s="2"/>
      <c r="Q33" s="5">
        <f t="shared" si="0"/>
        <v>32000</v>
      </c>
      <c r="R33" s="5">
        <f t="shared" si="1"/>
        <v>0</v>
      </c>
      <c r="S33" s="5">
        <f t="shared" si="2"/>
        <v>0</v>
      </c>
      <c r="T33" s="5">
        <f t="shared" si="3"/>
        <v>0</v>
      </c>
      <c r="U33" s="5">
        <f t="shared" si="4"/>
        <v>0</v>
      </c>
      <c r="Z33"/>
    </row>
    <row r="34" spans="1:26" ht="12.75" customHeight="1" x14ac:dyDescent="0.25">
      <c r="A34" s="4"/>
      <c r="C34" s="81" t="s">
        <v>80</v>
      </c>
      <c r="D34" s="82" t="s">
        <v>49</v>
      </c>
      <c r="E34" s="82" t="s">
        <v>11</v>
      </c>
      <c r="F34" s="80" t="s">
        <v>50</v>
      </c>
      <c r="G34" s="2"/>
      <c r="H34" s="64">
        <f>IF($E34="Labour",Assumptions!$B$14,)</f>
        <v>145.77740895836223</v>
      </c>
      <c r="I34" s="9" t="str">
        <f t="shared" si="5"/>
        <v>Hours</v>
      </c>
      <c r="J34" s="2"/>
      <c r="K34" s="83"/>
      <c r="L34" s="83">
        <f>17064/H34</f>
        <v>117.05517419968629</v>
      </c>
      <c r="M34" s="83"/>
      <c r="N34" s="83"/>
      <c r="O34" s="83"/>
      <c r="P34" s="2"/>
      <c r="Q34" s="5">
        <f t="shared" si="0"/>
        <v>0</v>
      </c>
      <c r="R34" s="5">
        <f t="shared" si="1"/>
        <v>17064</v>
      </c>
      <c r="S34" s="5">
        <f t="shared" si="2"/>
        <v>0</v>
      </c>
      <c r="T34" s="5">
        <f t="shared" si="3"/>
        <v>0</v>
      </c>
      <c r="U34" s="5">
        <f t="shared" si="4"/>
        <v>0</v>
      </c>
      <c r="Z34"/>
    </row>
    <row r="35" spans="1:26" ht="12.75" customHeight="1" x14ac:dyDescent="0.25">
      <c r="A35" s="4"/>
      <c r="C35" s="81" t="s">
        <v>81</v>
      </c>
      <c r="D35" s="82" t="s">
        <v>49</v>
      </c>
      <c r="E35" s="82" t="s">
        <v>11</v>
      </c>
      <c r="F35" s="80" t="s">
        <v>50</v>
      </c>
      <c r="G35" s="2"/>
      <c r="H35" s="64">
        <f>IF($E35="Labour",Assumptions!$B$14,)</f>
        <v>145.77740895836223</v>
      </c>
      <c r="I35" s="9" t="str">
        <f t="shared" si="5"/>
        <v>Hours</v>
      </c>
      <c r="J35" s="2"/>
      <c r="K35" s="83"/>
      <c r="L35" s="83">
        <f>34128/H35</f>
        <v>234.11034839937258</v>
      </c>
      <c r="M35" s="83"/>
      <c r="N35" s="83"/>
      <c r="O35" s="83"/>
      <c r="P35" s="2"/>
      <c r="Q35" s="5">
        <f t="shared" si="0"/>
        <v>0</v>
      </c>
      <c r="R35" s="5">
        <f t="shared" si="1"/>
        <v>34128</v>
      </c>
      <c r="S35" s="5">
        <f t="shared" si="2"/>
        <v>0</v>
      </c>
      <c r="T35" s="5">
        <f t="shared" si="3"/>
        <v>0</v>
      </c>
      <c r="U35" s="5">
        <f t="shared" si="4"/>
        <v>0</v>
      </c>
      <c r="Z35"/>
    </row>
    <row r="36" spans="1:26" ht="12.75" customHeight="1" x14ac:dyDescent="0.25">
      <c r="A36" s="4"/>
      <c r="C36" s="81" t="s">
        <v>82</v>
      </c>
      <c r="D36" s="82" t="s">
        <v>49</v>
      </c>
      <c r="E36" s="82" t="s">
        <v>11</v>
      </c>
      <c r="F36" s="80" t="s">
        <v>50</v>
      </c>
      <c r="G36" s="2"/>
      <c r="H36" s="64">
        <f>IF($E36="Labour",Assumptions!$B$14,)</f>
        <v>145.77740895836223</v>
      </c>
      <c r="I36" s="9" t="str">
        <f t="shared" si="5"/>
        <v>Hours</v>
      </c>
      <c r="J36" s="2"/>
      <c r="K36" s="83"/>
      <c r="L36" s="83">
        <f>66360/H36</f>
        <v>455.21456633211335</v>
      </c>
      <c r="M36" s="83"/>
      <c r="N36" s="83"/>
      <c r="O36" s="83"/>
      <c r="P36" s="2"/>
      <c r="Q36" s="5">
        <f t="shared" si="0"/>
        <v>0</v>
      </c>
      <c r="R36" s="5">
        <f t="shared" si="1"/>
        <v>66360</v>
      </c>
      <c r="S36" s="5">
        <f t="shared" si="2"/>
        <v>0</v>
      </c>
      <c r="T36" s="5">
        <f t="shared" si="3"/>
        <v>0</v>
      </c>
      <c r="U36" s="5">
        <f t="shared" si="4"/>
        <v>0</v>
      </c>
      <c r="Z36"/>
    </row>
    <row r="37" spans="1:26" ht="12.75" customHeight="1" x14ac:dyDescent="0.25">
      <c r="A37" s="4"/>
      <c r="C37" s="81" t="s">
        <v>83</v>
      </c>
      <c r="D37" s="82" t="s">
        <v>49</v>
      </c>
      <c r="E37" s="82" t="s">
        <v>11</v>
      </c>
      <c r="F37" s="80" t="s">
        <v>50</v>
      </c>
      <c r="G37" s="2"/>
      <c r="H37" s="64">
        <f>IF($E37="Labour",Assumptions!$B$14,)</f>
        <v>145.77740895836223</v>
      </c>
      <c r="I37" s="9" t="str">
        <f t="shared" si="5"/>
        <v>Hours</v>
      </c>
      <c r="J37" s="2"/>
      <c r="K37" s="83"/>
      <c r="L37" s="83">
        <f>41712/H37</f>
        <v>286.13487026589985</v>
      </c>
      <c r="M37" s="83"/>
      <c r="N37" s="83"/>
      <c r="O37" s="83"/>
      <c r="P37" s="2"/>
      <c r="Q37" s="5">
        <f t="shared" si="0"/>
        <v>0</v>
      </c>
      <c r="R37" s="5">
        <f t="shared" si="1"/>
        <v>41712</v>
      </c>
      <c r="S37" s="5">
        <f t="shared" si="2"/>
        <v>0</v>
      </c>
      <c r="T37" s="5">
        <f t="shared" si="3"/>
        <v>0</v>
      </c>
      <c r="U37" s="5">
        <f t="shared" si="4"/>
        <v>0</v>
      </c>
      <c r="Z37"/>
    </row>
    <row r="38" spans="1:26" ht="12.75" customHeight="1" x14ac:dyDescent="0.25">
      <c r="A38" s="4"/>
      <c r="C38" s="81" t="s">
        <v>84</v>
      </c>
      <c r="D38" s="82" t="s">
        <v>49</v>
      </c>
      <c r="E38" s="82" t="s">
        <v>11</v>
      </c>
      <c r="F38" s="80" t="s">
        <v>50</v>
      </c>
      <c r="G38" s="2"/>
      <c r="H38" s="64">
        <f>IF($E38="Labour",Assumptions!$B$14,)</f>
        <v>145.77740895836223</v>
      </c>
      <c r="I38" s="9" t="str">
        <f t="shared" si="5"/>
        <v>Hours</v>
      </c>
      <c r="J38" s="2"/>
      <c r="K38" s="83"/>
      <c r="L38" s="83">
        <f>15168/H38</f>
        <v>104.04904373305449</v>
      </c>
      <c r="M38" s="83"/>
      <c r="N38" s="83"/>
      <c r="O38" s="83"/>
      <c r="P38" s="2"/>
      <c r="Q38" s="5">
        <f t="shared" si="0"/>
        <v>0</v>
      </c>
      <c r="R38" s="5">
        <f t="shared" si="1"/>
        <v>15168.000000000002</v>
      </c>
      <c r="S38" s="5">
        <f t="shared" si="2"/>
        <v>0</v>
      </c>
      <c r="T38" s="5">
        <f t="shared" si="3"/>
        <v>0</v>
      </c>
      <c r="U38" s="5">
        <f t="shared" si="4"/>
        <v>0</v>
      </c>
      <c r="Z38"/>
    </row>
    <row r="39" spans="1:26" ht="12.75" customHeight="1" x14ac:dyDescent="0.25">
      <c r="A39" s="4"/>
      <c r="C39" s="81" t="s">
        <v>85</v>
      </c>
      <c r="D39" s="82" t="s">
        <v>49</v>
      </c>
      <c r="E39" s="82" t="s">
        <v>11</v>
      </c>
      <c r="F39" s="80" t="s">
        <v>50</v>
      </c>
      <c r="G39" s="2"/>
      <c r="H39" s="64">
        <f>IF($E39="Labour",Assumptions!$B$14,)</f>
        <v>145.77740895836223</v>
      </c>
      <c r="I39" s="9" t="str">
        <f t="shared" si="5"/>
        <v>Hours</v>
      </c>
      <c r="J39" s="2"/>
      <c r="K39" s="83"/>
      <c r="L39" s="83">
        <f>15168/H39</f>
        <v>104.04904373305449</v>
      </c>
      <c r="M39" s="83"/>
      <c r="N39" s="83"/>
      <c r="O39" s="83"/>
      <c r="P39" s="2"/>
      <c r="Q39" s="5">
        <f t="shared" si="0"/>
        <v>0</v>
      </c>
      <c r="R39" s="5">
        <f t="shared" si="1"/>
        <v>15168.000000000002</v>
      </c>
      <c r="S39" s="5">
        <f t="shared" si="2"/>
        <v>0</v>
      </c>
      <c r="T39" s="5">
        <f t="shared" si="3"/>
        <v>0</v>
      </c>
      <c r="U39" s="5">
        <f t="shared" si="4"/>
        <v>0</v>
      </c>
      <c r="Z39"/>
    </row>
    <row r="40" spans="1:26" ht="12.75" customHeight="1" x14ac:dyDescent="0.2">
      <c r="A40" s="4"/>
      <c r="C40" s="81" t="s">
        <v>98</v>
      </c>
      <c r="D40" s="82" t="s">
        <v>49</v>
      </c>
      <c r="E40" s="82" t="s">
        <v>11</v>
      </c>
      <c r="F40" s="80" t="s">
        <v>46</v>
      </c>
      <c r="H40" s="64">
        <f>IF($E40="Labour",Assumptions!$B$14,)</f>
        <v>145.77740895836223</v>
      </c>
      <c r="I40" s="9" t="str">
        <f t="shared" si="5"/>
        <v>Hours</v>
      </c>
      <c r="K40" s="83"/>
      <c r="L40" s="83"/>
      <c r="M40" s="83"/>
      <c r="N40" s="83"/>
      <c r="O40" s="83">
        <f>102384/H40</f>
        <v>702.33104519811775</v>
      </c>
      <c r="Q40" s="5">
        <f t="shared" si="0"/>
        <v>0</v>
      </c>
      <c r="R40" s="5">
        <f t="shared" si="1"/>
        <v>0</v>
      </c>
      <c r="S40" s="5">
        <f t="shared" si="2"/>
        <v>0</v>
      </c>
      <c r="T40" s="5">
        <f t="shared" si="3"/>
        <v>0</v>
      </c>
      <c r="U40" s="5">
        <f t="shared" si="4"/>
        <v>102384</v>
      </c>
    </row>
    <row r="41" spans="1:26" ht="12.75" customHeight="1" x14ac:dyDescent="0.2">
      <c r="A41" s="4"/>
      <c r="C41" s="81" t="s">
        <v>99</v>
      </c>
      <c r="D41" s="82" t="s">
        <v>49</v>
      </c>
      <c r="E41" s="82" t="s">
        <v>11</v>
      </c>
      <c r="F41" s="80" t="s">
        <v>46</v>
      </c>
      <c r="H41" s="64">
        <f>IF($E41="Labour",Assumptions!$B$14,)</f>
        <v>145.77740895836223</v>
      </c>
      <c r="I41" s="9" t="str">
        <f t="shared" si="5"/>
        <v>Hours</v>
      </c>
      <c r="K41" s="83"/>
      <c r="L41" s="83"/>
      <c r="M41" s="83"/>
      <c r="N41" s="83"/>
      <c r="O41" s="83">
        <f>204768/H41</f>
        <v>1404.6620903962355</v>
      </c>
      <c r="Q41" s="5">
        <f t="shared" si="0"/>
        <v>0</v>
      </c>
      <c r="R41" s="5">
        <f t="shared" si="1"/>
        <v>0</v>
      </c>
      <c r="S41" s="5">
        <f t="shared" si="2"/>
        <v>0</v>
      </c>
      <c r="T41" s="5">
        <f t="shared" si="3"/>
        <v>0</v>
      </c>
      <c r="U41" s="5">
        <f t="shared" si="4"/>
        <v>204768</v>
      </c>
    </row>
    <row r="42" spans="1:26" ht="12.75" customHeight="1" x14ac:dyDescent="0.2">
      <c r="A42" s="4"/>
      <c r="C42" s="81" t="s">
        <v>100</v>
      </c>
      <c r="D42" s="82" t="s">
        <v>49</v>
      </c>
      <c r="E42" s="82" t="s">
        <v>11</v>
      </c>
      <c r="F42" s="80" t="s">
        <v>46</v>
      </c>
      <c r="H42" s="64">
        <f>IF($E42="Labour",Assumptions!$B$14,)</f>
        <v>145.77740895836223</v>
      </c>
      <c r="I42" s="9" t="str">
        <f t="shared" si="5"/>
        <v>Hours</v>
      </c>
      <c r="K42" s="83"/>
      <c r="L42" s="83"/>
      <c r="M42" s="83"/>
      <c r="N42" s="83"/>
      <c r="O42" s="83">
        <f>398160/H42</f>
        <v>2731.2873979926803</v>
      </c>
      <c r="Q42" s="5">
        <f t="shared" ref="Q42:Q64" si="6">IF($E42="Labour",$H42*K42,K42)</f>
        <v>0</v>
      </c>
      <c r="R42" s="5">
        <f t="shared" ref="R42:R64" si="7">IF($E42="Labour",$H42*L42,L42)</f>
        <v>0</v>
      </c>
      <c r="S42" s="5">
        <f t="shared" ref="S42:S64" si="8">IF($E42="Labour",$H42*M42,M42)</f>
        <v>0</v>
      </c>
      <c r="T42" s="5">
        <f t="shared" ref="T42:T64" si="9">IF($E42="Labour",$H42*N42,N42)</f>
        <v>0</v>
      </c>
      <c r="U42" s="5">
        <f t="shared" ref="U42:U64" si="10">IF($E42="Labour",$H42*O42,O42)</f>
        <v>398160</v>
      </c>
    </row>
    <row r="43" spans="1:26" ht="12.75" customHeight="1" x14ac:dyDescent="0.2">
      <c r="A43" s="4"/>
      <c r="C43" s="81" t="s">
        <v>101</v>
      </c>
      <c r="D43" s="82" t="s">
        <v>49</v>
      </c>
      <c r="E43" s="82" t="s">
        <v>11</v>
      </c>
      <c r="F43" s="80" t="s">
        <v>46</v>
      </c>
      <c r="H43" s="64">
        <f>IF($E43="Labour",Assumptions!$B$14,)</f>
        <v>145.77740895836223</v>
      </c>
      <c r="I43" s="9" t="str">
        <f t="shared" si="5"/>
        <v>Hours</v>
      </c>
      <c r="K43" s="83"/>
      <c r="L43" s="83"/>
      <c r="M43" s="83"/>
      <c r="N43" s="83"/>
      <c r="O43" s="83">
        <f>250272/H43</f>
        <v>1716.8092215953989</v>
      </c>
      <c r="Q43" s="5">
        <f t="shared" si="6"/>
        <v>0</v>
      </c>
      <c r="R43" s="5">
        <f t="shared" si="7"/>
        <v>0</v>
      </c>
      <c r="S43" s="5">
        <f t="shared" si="8"/>
        <v>0</v>
      </c>
      <c r="T43" s="5">
        <f t="shared" si="9"/>
        <v>0</v>
      </c>
      <c r="U43" s="5">
        <f t="shared" si="10"/>
        <v>250272</v>
      </c>
    </row>
    <row r="44" spans="1:26" ht="12.75" customHeight="1" x14ac:dyDescent="0.2">
      <c r="A44" s="4"/>
      <c r="C44" s="81" t="s">
        <v>102</v>
      </c>
      <c r="D44" s="82" t="s">
        <v>49</v>
      </c>
      <c r="E44" s="82" t="s">
        <v>11</v>
      </c>
      <c r="F44" s="80" t="s">
        <v>46</v>
      </c>
      <c r="H44" s="64">
        <f>IF($E44="Labour",Assumptions!$B$14,)</f>
        <v>145.77740895836223</v>
      </c>
      <c r="I44" s="9" t="str">
        <f t="shared" si="5"/>
        <v>Hours</v>
      </c>
      <c r="K44" s="83"/>
      <c r="L44" s="83"/>
      <c r="M44" s="83"/>
      <c r="N44" s="83"/>
      <c r="O44" s="83">
        <f>91008/H44</f>
        <v>624.29426239832685</v>
      </c>
      <c r="Q44" s="5">
        <f t="shared" si="6"/>
        <v>0</v>
      </c>
      <c r="R44" s="5">
        <f t="shared" si="7"/>
        <v>0</v>
      </c>
      <c r="S44" s="5">
        <f t="shared" si="8"/>
        <v>0</v>
      </c>
      <c r="T44" s="5">
        <f t="shared" si="9"/>
        <v>0</v>
      </c>
      <c r="U44" s="5">
        <f t="shared" si="10"/>
        <v>91008</v>
      </c>
    </row>
    <row r="45" spans="1:26" ht="12.75" customHeight="1" x14ac:dyDescent="0.2">
      <c r="A45" s="4"/>
      <c r="C45" s="81" t="s">
        <v>103</v>
      </c>
      <c r="D45" s="82" t="s">
        <v>49</v>
      </c>
      <c r="E45" s="82" t="s">
        <v>11</v>
      </c>
      <c r="F45" s="80" t="s">
        <v>46</v>
      </c>
      <c r="H45" s="64">
        <f>IF($E45="Labour",Assumptions!$B$14,)</f>
        <v>145.77740895836223</v>
      </c>
      <c r="I45" s="9" t="str">
        <f t="shared" si="5"/>
        <v>Hours</v>
      </c>
      <c r="K45" s="83"/>
      <c r="L45" s="83"/>
      <c r="M45" s="83"/>
      <c r="N45" s="83"/>
      <c r="O45" s="83">
        <f>91008/H45</f>
        <v>624.29426239832685</v>
      </c>
      <c r="Q45" s="5">
        <f t="shared" si="6"/>
        <v>0</v>
      </c>
      <c r="R45" s="5">
        <f t="shared" si="7"/>
        <v>0</v>
      </c>
      <c r="S45" s="5">
        <f t="shared" si="8"/>
        <v>0</v>
      </c>
      <c r="T45" s="5">
        <f t="shared" si="9"/>
        <v>0</v>
      </c>
      <c r="U45" s="5">
        <f t="shared" si="10"/>
        <v>91008</v>
      </c>
    </row>
    <row r="46" spans="1:26" ht="12.75" customHeight="1" x14ac:dyDescent="0.2">
      <c r="A46" s="4"/>
      <c r="C46" s="81"/>
      <c r="D46" s="82"/>
      <c r="E46" s="82"/>
      <c r="F46" s="80"/>
      <c r="H46" s="64">
        <f>IF($E46="Labour",Assumptions!$B$14,)</f>
        <v>0</v>
      </c>
      <c r="I46" s="9" t="str">
        <f t="shared" si="5"/>
        <v>$</v>
      </c>
      <c r="K46" s="83"/>
      <c r="L46" s="83"/>
      <c r="M46" s="83"/>
      <c r="N46" s="83"/>
      <c r="O46" s="83"/>
      <c r="Q46" s="5">
        <f t="shared" si="6"/>
        <v>0</v>
      </c>
      <c r="R46" s="5">
        <f t="shared" si="7"/>
        <v>0</v>
      </c>
      <c r="S46" s="5">
        <f t="shared" si="8"/>
        <v>0</v>
      </c>
      <c r="T46" s="5">
        <f t="shared" si="9"/>
        <v>0</v>
      </c>
      <c r="U46" s="5">
        <f t="shared" si="10"/>
        <v>0</v>
      </c>
    </row>
    <row r="47" spans="1:26" ht="12.75" customHeight="1" x14ac:dyDescent="0.2">
      <c r="A47" s="4"/>
      <c r="C47" s="81"/>
      <c r="D47" s="82"/>
      <c r="E47" s="82"/>
      <c r="F47" s="80"/>
      <c r="H47" s="64">
        <f>IF($E47="Labour",Assumptions!$B$14,)</f>
        <v>0</v>
      </c>
      <c r="I47" s="9" t="str">
        <f t="shared" si="5"/>
        <v>$</v>
      </c>
      <c r="K47" s="83"/>
      <c r="L47" s="83"/>
      <c r="M47" s="83"/>
      <c r="N47" s="83"/>
      <c r="O47" s="83"/>
      <c r="Q47" s="5">
        <f t="shared" si="6"/>
        <v>0</v>
      </c>
      <c r="R47" s="5">
        <f t="shared" si="7"/>
        <v>0</v>
      </c>
      <c r="S47" s="5">
        <f t="shared" si="8"/>
        <v>0</v>
      </c>
      <c r="T47" s="5">
        <f t="shared" si="9"/>
        <v>0</v>
      </c>
      <c r="U47" s="5">
        <f t="shared" si="10"/>
        <v>0</v>
      </c>
    </row>
    <row r="48" spans="1:26" ht="12.75" customHeight="1" x14ac:dyDescent="0.2">
      <c r="A48" s="4"/>
      <c r="C48" s="81"/>
      <c r="D48" s="82"/>
      <c r="E48" s="82"/>
      <c r="F48" s="80"/>
      <c r="H48" s="64">
        <f>IF($E48="Labour",Assumptions!$B$14,)</f>
        <v>0</v>
      </c>
      <c r="I48" s="9" t="str">
        <f t="shared" si="5"/>
        <v>$</v>
      </c>
      <c r="K48" s="83"/>
      <c r="L48" s="83"/>
      <c r="M48" s="83"/>
      <c r="N48" s="83"/>
      <c r="O48" s="83"/>
      <c r="Q48" s="5">
        <f t="shared" si="6"/>
        <v>0</v>
      </c>
      <c r="R48" s="5">
        <f t="shared" si="7"/>
        <v>0</v>
      </c>
      <c r="S48" s="5">
        <f t="shared" si="8"/>
        <v>0</v>
      </c>
      <c r="T48" s="5">
        <f t="shared" si="9"/>
        <v>0</v>
      </c>
      <c r="U48" s="5">
        <f t="shared" si="10"/>
        <v>0</v>
      </c>
    </row>
    <row r="49" spans="1:22" ht="12.75" customHeight="1" x14ac:dyDescent="0.2">
      <c r="A49" s="4"/>
      <c r="C49" s="81"/>
      <c r="D49" s="82"/>
      <c r="E49" s="82"/>
      <c r="F49" s="80"/>
      <c r="H49" s="64">
        <f>IF($E49="Labour",Assumptions!$B$14,)</f>
        <v>0</v>
      </c>
      <c r="I49" s="9" t="str">
        <f t="shared" si="5"/>
        <v>$</v>
      </c>
      <c r="K49" s="83"/>
      <c r="L49" s="83"/>
      <c r="M49" s="83"/>
      <c r="N49" s="83"/>
      <c r="O49" s="83"/>
      <c r="Q49" s="5">
        <f t="shared" si="6"/>
        <v>0</v>
      </c>
      <c r="R49" s="5">
        <f t="shared" si="7"/>
        <v>0</v>
      </c>
      <c r="S49" s="5">
        <f t="shared" si="8"/>
        <v>0</v>
      </c>
      <c r="T49" s="5">
        <f t="shared" si="9"/>
        <v>0</v>
      </c>
      <c r="U49" s="5">
        <f t="shared" si="10"/>
        <v>0</v>
      </c>
    </row>
    <row r="50" spans="1:22" ht="12.75" customHeight="1" x14ac:dyDescent="0.2">
      <c r="A50" s="4"/>
      <c r="C50" s="81"/>
      <c r="D50" s="82"/>
      <c r="E50" s="82"/>
      <c r="F50" s="80"/>
      <c r="H50" s="64">
        <f>IF($E50="Labour",Assumptions!$B$14,)</f>
        <v>0</v>
      </c>
      <c r="I50" s="9" t="str">
        <f t="shared" si="5"/>
        <v>$</v>
      </c>
      <c r="K50" s="83"/>
      <c r="L50" s="83"/>
      <c r="M50" s="83"/>
      <c r="N50" s="83"/>
      <c r="O50" s="83"/>
      <c r="Q50" s="5">
        <f t="shared" si="6"/>
        <v>0</v>
      </c>
      <c r="R50" s="5">
        <f t="shared" si="7"/>
        <v>0</v>
      </c>
      <c r="S50" s="5">
        <f t="shared" si="8"/>
        <v>0</v>
      </c>
      <c r="T50" s="5">
        <f t="shared" si="9"/>
        <v>0</v>
      </c>
      <c r="U50" s="5">
        <f t="shared" si="10"/>
        <v>0</v>
      </c>
    </row>
    <row r="51" spans="1:22" ht="12.75" customHeight="1" x14ac:dyDescent="0.2">
      <c r="A51" s="4"/>
      <c r="C51" s="81"/>
      <c r="D51" s="82"/>
      <c r="E51" s="82"/>
      <c r="F51" s="80"/>
      <c r="H51" s="64">
        <f>IF($E51="Labour",Assumptions!$B$14,)</f>
        <v>0</v>
      </c>
      <c r="I51" s="9" t="str">
        <f t="shared" si="5"/>
        <v>$</v>
      </c>
      <c r="K51" s="83"/>
      <c r="L51" s="83"/>
      <c r="M51" s="83"/>
      <c r="N51" s="83"/>
      <c r="O51" s="83"/>
      <c r="Q51" s="5">
        <f t="shared" si="6"/>
        <v>0</v>
      </c>
      <c r="R51" s="5">
        <f t="shared" si="7"/>
        <v>0</v>
      </c>
      <c r="S51" s="5">
        <f t="shared" si="8"/>
        <v>0</v>
      </c>
      <c r="T51" s="5">
        <f t="shared" si="9"/>
        <v>0</v>
      </c>
      <c r="U51" s="5">
        <f t="shared" si="10"/>
        <v>0</v>
      </c>
    </row>
    <row r="52" spans="1:22" ht="12.75" customHeight="1" x14ac:dyDescent="0.2">
      <c r="A52" s="4"/>
      <c r="C52" s="81"/>
      <c r="D52" s="82"/>
      <c r="E52" s="82"/>
      <c r="F52" s="80"/>
      <c r="H52" s="64">
        <f>IF($E52="Labour",Assumptions!$B$14,)</f>
        <v>0</v>
      </c>
      <c r="I52" s="9" t="str">
        <f t="shared" si="5"/>
        <v>$</v>
      </c>
      <c r="K52" s="83"/>
      <c r="L52" s="83"/>
      <c r="M52" s="83"/>
      <c r="N52" s="83"/>
      <c r="O52" s="83"/>
      <c r="Q52" s="5">
        <f t="shared" si="6"/>
        <v>0</v>
      </c>
      <c r="R52" s="5">
        <f t="shared" si="7"/>
        <v>0</v>
      </c>
      <c r="S52" s="5">
        <f t="shared" si="8"/>
        <v>0</v>
      </c>
      <c r="T52" s="5">
        <f t="shared" si="9"/>
        <v>0</v>
      </c>
      <c r="U52" s="5">
        <f t="shared" si="10"/>
        <v>0</v>
      </c>
    </row>
    <row r="53" spans="1:22" ht="12.75" customHeight="1" x14ac:dyDescent="0.2">
      <c r="A53" s="4"/>
      <c r="C53" s="81"/>
      <c r="D53" s="82"/>
      <c r="E53" s="82"/>
      <c r="F53" s="80"/>
      <c r="H53" s="64">
        <f>IF($E53="Labour",Assumptions!$B$14,)</f>
        <v>0</v>
      </c>
      <c r="I53" s="9" t="str">
        <f t="shared" si="5"/>
        <v>$</v>
      </c>
      <c r="K53" s="83"/>
      <c r="L53" s="83"/>
      <c r="M53" s="83"/>
      <c r="N53" s="83"/>
      <c r="O53" s="83"/>
      <c r="Q53" s="5">
        <f t="shared" si="6"/>
        <v>0</v>
      </c>
      <c r="R53" s="5">
        <f t="shared" si="7"/>
        <v>0</v>
      </c>
      <c r="S53" s="5">
        <f t="shared" si="8"/>
        <v>0</v>
      </c>
      <c r="T53" s="5">
        <f t="shared" si="9"/>
        <v>0</v>
      </c>
      <c r="U53" s="5">
        <f t="shared" si="10"/>
        <v>0</v>
      </c>
    </row>
    <row r="54" spans="1:22" ht="12.75" customHeight="1" x14ac:dyDescent="0.2">
      <c r="A54" s="4"/>
      <c r="C54" s="81"/>
      <c r="D54" s="82"/>
      <c r="E54" s="82"/>
      <c r="F54" s="80"/>
      <c r="H54" s="64">
        <f>IF($E54="Labour",Assumptions!$B$14,)</f>
        <v>0</v>
      </c>
      <c r="I54" s="9" t="str">
        <f t="shared" si="5"/>
        <v>$</v>
      </c>
      <c r="K54" s="83"/>
      <c r="L54" s="83"/>
      <c r="M54" s="83"/>
      <c r="N54" s="83"/>
      <c r="O54" s="83"/>
      <c r="Q54" s="5">
        <f t="shared" si="6"/>
        <v>0</v>
      </c>
      <c r="R54" s="5">
        <f t="shared" si="7"/>
        <v>0</v>
      </c>
      <c r="S54" s="5">
        <f t="shared" si="8"/>
        <v>0</v>
      </c>
      <c r="T54" s="5">
        <f t="shared" si="9"/>
        <v>0</v>
      </c>
      <c r="U54" s="5">
        <f t="shared" si="10"/>
        <v>0</v>
      </c>
    </row>
    <row r="55" spans="1:22" ht="12.75" customHeight="1" x14ac:dyDescent="0.2">
      <c r="A55" s="4"/>
      <c r="C55" s="81"/>
      <c r="D55" s="82"/>
      <c r="E55" s="82"/>
      <c r="F55" s="80"/>
      <c r="H55" s="64">
        <f>IF($E55="Labour",Assumptions!$B$14,)</f>
        <v>0</v>
      </c>
      <c r="I55" s="9" t="str">
        <f t="shared" si="5"/>
        <v>$</v>
      </c>
      <c r="K55" s="83"/>
      <c r="L55" s="83"/>
      <c r="M55" s="83"/>
      <c r="N55" s="83"/>
      <c r="O55" s="83"/>
      <c r="Q55" s="5">
        <f t="shared" si="6"/>
        <v>0</v>
      </c>
      <c r="R55" s="5">
        <f t="shared" si="7"/>
        <v>0</v>
      </c>
      <c r="S55" s="5">
        <f t="shared" si="8"/>
        <v>0</v>
      </c>
      <c r="T55" s="5">
        <f t="shared" si="9"/>
        <v>0</v>
      </c>
      <c r="U55" s="5">
        <f t="shared" si="10"/>
        <v>0</v>
      </c>
    </row>
    <row r="56" spans="1:22" ht="12.75" customHeight="1" x14ac:dyDescent="0.2">
      <c r="A56" s="4"/>
      <c r="C56" s="81"/>
      <c r="D56" s="82"/>
      <c r="E56" s="82"/>
      <c r="F56" s="80"/>
      <c r="H56" s="64">
        <f>IF($E56="Labour",Assumptions!$B$14,)</f>
        <v>0</v>
      </c>
      <c r="I56" s="9" t="str">
        <f t="shared" si="5"/>
        <v>$</v>
      </c>
      <c r="K56" s="83"/>
      <c r="L56" s="83"/>
      <c r="M56" s="83"/>
      <c r="N56" s="83"/>
      <c r="O56" s="83"/>
      <c r="Q56" s="5">
        <f t="shared" si="6"/>
        <v>0</v>
      </c>
      <c r="R56" s="5">
        <f t="shared" si="7"/>
        <v>0</v>
      </c>
      <c r="S56" s="5">
        <f t="shared" si="8"/>
        <v>0</v>
      </c>
      <c r="T56" s="5">
        <f t="shared" si="9"/>
        <v>0</v>
      </c>
      <c r="U56" s="5">
        <f t="shared" si="10"/>
        <v>0</v>
      </c>
    </row>
    <row r="57" spans="1:22" ht="12.75" customHeight="1" x14ac:dyDescent="0.2">
      <c r="A57" s="4"/>
      <c r="C57" s="81"/>
      <c r="D57" s="82"/>
      <c r="E57" s="82"/>
      <c r="F57" s="80"/>
      <c r="H57" s="64">
        <f>IF($E57="Labour",Assumptions!$B$14,)</f>
        <v>0</v>
      </c>
      <c r="I57" s="9" t="str">
        <f t="shared" si="5"/>
        <v>$</v>
      </c>
      <c r="K57" s="83"/>
      <c r="L57" s="83"/>
      <c r="M57" s="83"/>
      <c r="N57" s="83"/>
      <c r="O57" s="83"/>
      <c r="Q57" s="5">
        <f t="shared" si="6"/>
        <v>0</v>
      </c>
      <c r="R57" s="5">
        <f t="shared" si="7"/>
        <v>0</v>
      </c>
      <c r="S57" s="5">
        <f t="shared" si="8"/>
        <v>0</v>
      </c>
      <c r="T57" s="5">
        <f t="shared" si="9"/>
        <v>0</v>
      </c>
      <c r="U57" s="5">
        <f t="shared" si="10"/>
        <v>0</v>
      </c>
    </row>
    <row r="58" spans="1:22" ht="12.75" customHeight="1" x14ac:dyDescent="0.2">
      <c r="A58" s="4"/>
      <c r="C58" s="81"/>
      <c r="D58" s="82"/>
      <c r="E58" s="82"/>
      <c r="F58" s="80"/>
      <c r="H58" s="64">
        <f>IF($E58="Labour",Assumptions!$B$14,)</f>
        <v>0</v>
      </c>
      <c r="I58" s="9" t="str">
        <f t="shared" si="5"/>
        <v>$</v>
      </c>
      <c r="K58" s="83"/>
      <c r="L58" s="83"/>
      <c r="M58" s="83"/>
      <c r="N58" s="83"/>
      <c r="O58" s="83"/>
      <c r="Q58" s="5">
        <f t="shared" si="6"/>
        <v>0</v>
      </c>
      <c r="R58" s="5">
        <f t="shared" si="7"/>
        <v>0</v>
      </c>
      <c r="S58" s="5">
        <f t="shared" si="8"/>
        <v>0</v>
      </c>
      <c r="T58" s="5">
        <f t="shared" si="9"/>
        <v>0</v>
      </c>
      <c r="U58" s="5">
        <f t="shared" si="10"/>
        <v>0</v>
      </c>
    </row>
    <row r="59" spans="1:22" ht="12.75" customHeight="1" x14ac:dyDescent="0.2">
      <c r="A59" s="4"/>
      <c r="C59" s="81"/>
      <c r="D59" s="82"/>
      <c r="E59" s="82"/>
      <c r="F59" s="80"/>
      <c r="H59" s="64">
        <f>IF($E59="Labour",Assumptions!$B$14,)</f>
        <v>0</v>
      </c>
      <c r="I59" s="9" t="str">
        <f t="shared" si="5"/>
        <v>$</v>
      </c>
      <c r="K59" s="83"/>
      <c r="L59" s="83"/>
      <c r="M59" s="83"/>
      <c r="N59" s="83"/>
      <c r="O59" s="83"/>
      <c r="Q59" s="5">
        <f t="shared" si="6"/>
        <v>0</v>
      </c>
      <c r="R59" s="5">
        <f t="shared" si="7"/>
        <v>0</v>
      </c>
      <c r="S59" s="5">
        <f t="shared" si="8"/>
        <v>0</v>
      </c>
      <c r="T59" s="5">
        <f t="shared" si="9"/>
        <v>0</v>
      </c>
      <c r="U59" s="5">
        <f t="shared" si="10"/>
        <v>0</v>
      </c>
    </row>
    <row r="60" spans="1:22" ht="12.75" customHeight="1" x14ac:dyDescent="0.2">
      <c r="A60" s="4"/>
      <c r="C60" s="81"/>
      <c r="D60" s="82"/>
      <c r="E60" s="82"/>
      <c r="F60" s="80"/>
      <c r="H60" s="64">
        <f>IF($E60="Labour",Assumptions!$B$14,)</f>
        <v>0</v>
      </c>
      <c r="I60" s="9" t="str">
        <f t="shared" si="5"/>
        <v>$</v>
      </c>
      <c r="K60" s="83"/>
      <c r="L60" s="83"/>
      <c r="M60" s="83"/>
      <c r="N60" s="83"/>
      <c r="O60" s="83"/>
      <c r="Q60" s="5">
        <f t="shared" si="6"/>
        <v>0</v>
      </c>
      <c r="R60" s="5">
        <f t="shared" si="7"/>
        <v>0</v>
      </c>
      <c r="S60" s="5">
        <f t="shared" si="8"/>
        <v>0</v>
      </c>
      <c r="T60" s="5">
        <f t="shared" si="9"/>
        <v>0</v>
      </c>
      <c r="U60" s="5">
        <f t="shared" si="10"/>
        <v>0</v>
      </c>
    </row>
    <row r="61" spans="1:22" ht="12.75" customHeight="1" x14ac:dyDescent="0.2">
      <c r="A61" s="4"/>
      <c r="C61" s="81"/>
      <c r="D61" s="82"/>
      <c r="E61" s="82"/>
      <c r="F61" s="80"/>
      <c r="H61" s="64">
        <f>IF($E61="Labour",Assumptions!$B$14,)</f>
        <v>0</v>
      </c>
      <c r="I61" s="9" t="str">
        <f t="shared" si="5"/>
        <v>$</v>
      </c>
      <c r="K61" s="83"/>
      <c r="L61" s="83"/>
      <c r="M61" s="83"/>
      <c r="N61" s="83"/>
      <c r="O61" s="83"/>
      <c r="Q61" s="5">
        <f t="shared" si="6"/>
        <v>0</v>
      </c>
      <c r="R61" s="5">
        <f t="shared" si="7"/>
        <v>0</v>
      </c>
      <c r="S61" s="5">
        <f t="shared" si="8"/>
        <v>0</v>
      </c>
      <c r="T61" s="5">
        <f t="shared" si="9"/>
        <v>0</v>
      </c>
      <c r="U61" s="5">
        <f t="shared" si="10"/>
        <v>0</v>
      </c>
    </row>
    <row r="62" spans="1:22" ht="12.75" customHeight="1" x14ac:dyDescent="0.2">
      <c r="A62" s="4"/>
      <c r="C62" s="81"/>
      <c r="D62" s="82"/>
      <c r="E62" s="82"/>
      <c r="F62" s="80"/>
      <c r="H62" s="64">
        <f>IF($E62="Labour",Assumptions!$B$14,)</f>
        <v>0</v>
      </c>
      <c r="I62" s="9" t="str">
        <f t="shared" si="5"/>
        <v>$</v>
      </c>
      <c r="K62" s="83"/>
      <c r="L62" s="83"/>
      <c r="M62" s="83"/>
      <c r="N62" s="83"/>
      <c r="O62" s="83"/>
      <c r="Q62" s="5">
        <f t="shared" si="6"/>
        <v>0</v>
      </c>
      <c r="R62" s="5">
        <f t="shared" si="7"/>
        <v>0</v>
      </c>
      <c r="S62" s="5">
        <f t="shared" si="8"/>
        <v>0</v>
      </c>
      <c r="T62" s="5">
        <f t="shared" si="9"/>
        <v>0</v>
      </c>
      <c r="U62" s="5">
        <f t="shared" si="10"/>
        <v>0</v>
      </c>
    </row>
    <row r="63" spans="1:22" ht="12.75" customHeight="1" x14ac:dyDescent="0.2">
      <c r="A63" s="4"/>
      <c r="C63" s="81"/>
      <c r="D63" s="82"/>
      <c r="E63" s="82"/>
      <c r="F63" s="80"/>
      <c r="H63" s="64">
        <f>IF($E63="Labour",Assumptions!$B$14,)</f>
        <v>0</v>
      </c>
      <c r="I63" s="9" t="str">
        <f t="shared" si="5"/>
        <v>$</v>
      </c>
      <c r="K63" s="83"/>
      <c r="L63" s="83"/>
      <c r="M63" s="83"/>
      <c r="N63" s="83"/>
      <c r="O63" s="83"/>
      <c r="Q63" s="5">
        <f t="shared" si="6"/>
        <v>0</v>
      </c>
      <c r="R63" s="5">
        <f t="shared" si="7"/>
        <v>0</v>
      </c>
      <c r="S63" s="5">
        <f t="shared" si="8"/>
        <v>0</v>
      </c>
      <c r="T63" s="5">
        <f t="shared" si="9"/>
        <v>0</v>
      </c>
      <c r="U63" s="5">
        <f t="shared" si="10"/>
        <v>0</v>
      </c>
    </row>
    <row r="64" spans="1:22" ht="12.75" customHeight="1" x14ac:dyDescent="0.2">
      <c r="A64" s="4"/>
      <c r="C64" s="81"/>
      <c r="D64" s="82"/>
      <c r="E64" s="82"/>
      <c r="F64" s="80"/>
      <c r="H64" s="64">
        <f>IF($E64="Labour",Assumptions!$B$14,)</f>
        <v>0</v>
      </c>
      <c r="I64" s="9" t="str">
        <f t="shared" si="5"/>
        <v>$</v>
      </c>
      <c r="K64" s="83"/>
      <c r="L64" s="83"/>
      <c r="M64" s="83"/>
      <c r="N64" s="83"/>
      <c r="O64" s="83"/>
      <c r="Q64" s="5">
        <f t="shared" si="6"/>
        <v>0</v>
      </c>
      <c r="R64" s="5">
        <f t="shared" si="7"/>
        <v>0</v>
      </c>
      <c r="S64" s="5">
        <f t="shared" si="8"/>
        <v>0</v>
      </c>
      <c r="T64" s="5">
        <f t="shared" si="9"/>
        <v>0</v>
      </c>
      <c r="U64" s="5">
        <f t="shared" si="10"/>
        <v>0</v>
      </c>
      <c r="V64" s="107"/>
    </row>
    <row r="65" spans="3:26" ht="12.75" customHeight="1" x14ac:dyDescent="0.25">
      <c r="G65" s="2"/>
      <c r="J65" s="2"/>
      <c r="P65" s="2"/>
      <c r="Z65"/>
    </row>
    <row r="66" spans="3:26" ht="12.75" customHeight="1" x14ac:dyDescent="0.25">
      <c r="G66" s="2"/>
      <c r="J66" s="2"/>
      <c r="P66" s="2"/>
      <c r="Z66"/>
    </row>
    <row r="67" spans="3:26" ht="12.75" customHeight="1" x14ac:dyDescent="0.25">
      <c r="C67" s="3" t="s">
        <v>68</v>
      </c>
      <c r="G67" s="2"/>
      <c r="J67" s="2"/>
      <c r="P67" s="2"/>
      <c r="Q67" s="69" t="s">
        <v>6</v>
      </c>
      <c r="R67" s="69" t="s">
        <v>7</v>
      </c>
      <c r="S67" s="69" t="s">
        <v>8</v>
      </c>
      <c r="T67" s="69" t="s">
        <v>9</v>
      </c>
      <c r="U67" s="69" t="s">
        <v>10</v>
      </c>
      <c r="V67" s="69" t="s">
        <v>0</v>
      </c>
      <c r="Z67"/>
    </row>
    <row r="68" spans="3:26" ht="12.75" customHeight="1" x14ac:dyDescent="0.2">
      <c r="C68" s="24" t="s">
        <v>11</v>
      </c>
      <c r="D68" s="24" t="s">
        <v>49</v>
      </c>
      <c r="E68" s="24"/>
      <c r="F68" s="24" t="s">
        <v>50</v>
      </c>
      <c r="G68" s="2"/>
      <c r="H68" s="66"/>
      <c r="I68" s="67"/>
      <c r="J68" s="2"/>
      <c r="K68" s="24"/>
      <c r="L68" s="24"/>
      <c r="M68" s="24"/>
      <c r="N68" s="24"/>
      <c r="O68" s="24"/>
      <c r="P68" s="2"/>
      <c r="Q68" s="25">
        <f t="shared" ref="Q68:U73" si="11">SUMIFS(Q$10:Q$64,$E$10:$E$64,$C68,$D$10:$D$64,$D68,$F$10:$F$64,$F68)</f>
        <v>1538100</v>
      </c>
      <c r="R68" s="25">
        <f t="shared" si="11"/>
        <v>189600</v>
      </c>
      <c r="S68" s="25">
        <f t="shared" si="11"/>
        <v>13500000</v>
      </c>
      <c r="T68" s="25">
        <f t="shared" si="11"/>
        <v>3500000</v>
      </c>
      <c r="U68" s="25">
        <f t="shared" si="11"/>
        <v>0</v>
      </c>
      <c r="V68" s="71">
        <f>SUM(Q68:U68)</f>
        <v>18727700</v>
      </c>
    </row>
    <row r="69" spans="3:26" ht="12.75" customHeight="1" x14ac:dyDescent="0.2">
      <c r="C69" s="1" t="s">
        <v>13</v>
      </c>
      <c r="D69" s="1" t="s">
        <v>49</v>
      </c>
      <c r="F69" s="1" t="s">
        <v>50</v>
      </c>
      <c r="G69" s="2"/>
      <c r="H69" s="68"/>
      <c r="J69" s="2"/>
      <c r="P69" s="2"/>
      <c r="Q69" s="6">
        <f t="shared" si="11"/>
        <v>0</v>
      </c>
      <c r="R69" s="6">
        <f t="shared" si="11"/>
        <v>0</v>
      </c>
      <c r="S69" s="6">
        <f t="shared" si="11"/>
        <v>0</v>
      </c>
      <c r="T69" s="6">
        <f t="shared" si="11"/>
        <v>0</v>
      </c>
      <c r="U69" s="6">
        <f t="shared" si="11"/>
        <v>0</v>
      </c>
      <c r="V69" s="72">
        <f t="shared" ref="V69:V83" si="12">SUM(Q69:U69)</f>
        <v>0</v>
      </c>
    </row>
    <row r="70" spans="3:26" ht="12.75" customHeight="1" x14ac:dyDescent="0.2">
      <c r="C70" s="1" t="s">
        <v>14</v>
      </c>
      <c r="D70" s="1" t="s">
        <v>49</v>
      </c>
      <c r="F70" s="1" t="s">
        <v>50</v>
      </c>
      <c r="G70" s="2"/>
      <c r="H70" s="68"/>
      <c r="J70" s="2"/>
      <c r="P70" s="2"/>
      <c r="Q70" s="6">
        <f t="shared" si="11"/>
        <v>0</v>
      </c>
      <c r="R70" s="6">
        <f t="shared" si="11"/>
        <v>0</v>
      </c>
      <c r="S70" s="6">
        <f t="shared" si="11"/>
        <v>0</v>
      </c>
      <c r="T70" s="6">
        <f t="shared" si="11"/>
        <v>0</v>
      </c>
      <c r="U70" s="6">
        <f t="shared" si="11"/>
        <v>0</v>
      </c>
      <c r="V70" s="72">
        <f t="shared" si="12"/>
        <v>0</v>
      </c>
    </row>
    <row r="71" spans="3:26" ht="12.75" customHeight="1" x14ac:dyDescent="0.2">
      <c r="C71" s="1" t="s">
        <v>11</v>
      </c>
      <c r="D71" s="1" t="s">
        <v>49</v>
      </c>
      <c r="F71" s="1" t="s">
        <v>46</v>
      </c>
      <c r="G71" s="2"/>
      <c r="H71" s="68"/>
      <c r="J71" s="2"/>
      <c r="P71" s="2"/>
      <c r="Q71" s="6">
        <f t="shared" si="11"/>
        <v>0</v>
      </c>
      <c r="R71" s="6">
        <f t="shared" si="11"/>
        <v>0</v>
      </c>
      <c r="S71" s="6">
        <f t="shared" si="11"/>
        <v>0</v>
      </c>
      <c r="T71" s="6">
        <f t="shared" si="11"/>
        <v>0</v>
      </c>
      <c r="U71" s="6">
        <f t="shared" si="11"/>
        <v>1137600</v>
      </c>
      <c r="V71" s="72">
        <f t="shared" si="12"/>
        <v>1137600</v>
      </c>
    </row>
    <row r="72" spans="3:26" ht="12.75" customHeight="1" x14ac:dyDescent="0.2">
      <c r="C72" s="1" t="s">
        <v>13</v>
      </c>
      <c r="D72" s="1" t="s">
        <v>49</v>
      </c>
      <c r="F72" s="1" t="s">
        <v>46</v>
      </c>
      <c r="G72" s="2"/>
      <c r="H72" s="68"/>
      <c r="J72" s="2"/>
      <c r="P72" s="2"/>
      <c r="Q72" s="6">
        <f t="shared" si="11"/>
        <v>0</v>
      </c>
      <c r="R72" s="6">
        <f t="shared" si="11"/>
        <v>0</v>
      </c>
      <c r="S72" s="6">
        <f t="shared" si="11"/>
        <v>0</v>
      </c>
      <c r="T72" s="6">
        <f t="shared" si="11"/>
        <v>0</v>
      </c>
      <c r="U72" s="6">
        <f t="shared" si="11"/>
        <v>0</v>
      </c>
      <c r="V72" s="72">
        <f t="shared" si="12"/>
        <v>0</v>
      </c>
    </row>
    <row r="73" spans="3:26" ht="12.75" customHeight="1" x14ac:dyDescent="0.2">
      <c r="C73" s="1" t="s">
        <v>14</v>
      </c>
      <c r="D73" s="1" t="s">
        <v>49</v>
      </c>
      <c r="F73" s="1" t="s">
        <v>46</v>
      </c>
      <c r="G73" s="2"/>
      <c r="H73" s="68"/>
      <c r="J73" s="2"/>
      <c r="P73" s="2"/>
      <c r="Q73" s="6">
        <f t="shared" si="11"/>
        <v>0</v>
      </c>
      <c r="R73" s="6">
        <f t="shared" si="11"/>
        <v>0</v>
      </c>
      <c r="S73" s="6">
        <f t="shared" si="11"/>
        <v>0</v>
      </c>
      <c r="T73" s="6">
        <f t="shared" si="11"/>
        <v>0</v>
      </c>
      <c r="U73" s="6">
        <f t="shared" si="11"/>
        <v>0</v>
      </c>
      <c r="V73" s="72">
        <f t="shared" si="12"/>
        <v>0</v>
      </c>
    </row>
    <row r="74" spans="3:26" ht="12.75" customHeight="1" x14ac:dyDescent="0.2">
      <c r="C74" s="21" t="s">
        <v>15</v>
      </c>
      <c r="D74" s="21" t="s">
        <v>49</v>
      </c>
      <c r="E74" s="102"/>
      <c r="F74" s="103"/>
      <c r="G74" s="2"/>
      <c r="H74" s="103"/>
      <c r="I74" s="105"/>
      <c r="J74" s="104"/>
      <c r="K74" s="102"/>
      <c r="L74" s="102"/>
      <c r="M74" s="102"/>
      <c r="N74" s="102"/>
      <c r="O74" s="102"/>
      <c r="P74" s="2"/>
      <c r="Q74" s="22">
        <f>SUM(Q68:Q73)</f>
        <v>1538100</v>
      </c>
      <c r="R74" s="22">
        <f t="shared" ref="R74:U74" si="13">SUM(R68:R73)</f>
        <v>189600</v>
      </c>
      <c r="S74" s="22">
        <f t="shared" si="13"/>
        <v>13500000</v>
      </c>
      <c r="T74" s="22">
        <f t="shared" si="13"/>
        <v>3500000</v>
      </c>
      <c r="U74" s="22">
        <f t="shared" si="13"/>
        <v>1137600</v>
      </c>
      <c r="V74" s="22">
        <f>SUM(V68:V73)</f>
        <v>19865300</v>
      </c>
    </row>
    <row r="75" spans="3:26" ht="12.75" customHeight="1" x14ac:dyDescent="0.2">
      <c r="C75" s="1" t="s">
        <v>11</v>
      </c>
      <c r="D75" s="1" t="s">
        <v>45</v>
      </c>
      <c r="F75" s="1" t="s">
        <v>50</v>
      </c>
      <c r="G75" s="2"/>
      <c r="H75" s="68"/>
      <c r="J75" s="2"/>
      <c r="P75" s="2"/>
      <c r="Q75" s="6">
        <f t="shared" ref="Q75:U80" si="14">SUMIFS(Q$10:Q$64,$E$10:$E$64,$C75,$D$10:$D$64,$D75,$F$10:$F$64,$F75)</f>
        <v>0</v>
      </c>
      <c r="R75" s="6">
        <f t="shared" si="14"/>
        <v>0</v>
      </c>
      <c r="S75" s="6">
        <f t="shared" si="14"/>
        <v>0</v>
      </c>
      <c r="T75" s="6">
        <f t="shared" si="14"/>
        <v>0</v>
      </c>
      <c r="U75" s="6">
        <f t="shared" si="14"/>
        <v>0</v>
      </c>
      <c r="V75" s="72">
        <f t="shared" si="12"/>
        <v>0</v>
      </c>
    </row>
    <row r="76" spans="3:26" ht="12.75" customHeight="1" x14ac:dyDescent="0.2">
      <c r="C76" s="1" t="s">
        <v>13</v>
      </c>
      <c r="D76" s="1" t="s">
        <v>45</v>
      </c>
      <c r="F76" s="1" t="s">
        <v>50</v>
      </c>
      <c r="G76" s="2"/>
      <c r="H76" s="68"/>
      <c r="J76" s="2"/>
      <c r="P76" s="2"/>
      <c r="Q76" s="6">
        <f t="shared" si="14"/>
        <v>0</v>
      </c>
      <c r="R76" s="6">
        <f t="shared" si="14"/>
        <v>0</v>
      </c>
      <c r="S76" s="6">
        <f t="shared" si="14"/>
        <v>0</v>
      </c>
      <c r="T76" s="6">
        <f t="shared" si="14"/>
        <v>0</v>
      </c>
      <c r="U76" s="6">
        <f t="shared" si="14"/>
        <v>0</v>
      </c>
      <c r="V76" s="72">
        <f t="shared" si="12"/>
        <v>0</v>
      </c>
    </row>
    <row r="77" spans="3:26" ht="12.75" customHeight="1" x14ac:dyDescent="0.2">
      <c r="C77" s="1" t="s">
        <v>14</v>
      </c>
      <c r="D77" s="1" t="s">
        <v>45</v>
      </c>
      <c r="F77" s="1" t="s">
        <v>50</v>
      </c>
      <c r="G77" s="2"/>
      <c r="H77" s="68"/>
      <c r="J77" s="2"/>
      <c r="P77" s="2"/>
      <c r="Q77" s="6">
        <f t="shared" si="14"/>
        <v>0</v>
      </c>
      <c r="R77" s="6">
        <f t="shared" si="14"/>
        <v>0</v>
      </c>
      <c r="S77" s="6">
        <f t="shared" si="14"/>
        <v>0</v>
      </c>
      <c r="T77" s="6">
        <f t="shared" si="14"/>
        <v>0</v>
      </c>
      <c r="U77" s="6">
        <f t="shared" si="14"/>
        <v>0</v>
      </c>
      <c r="V77" s="72">
        <f t="shared" si="12"/>
        <v>0</v>
      </c>
    </row>
    <row r="78" spans="3:26" ht="12.75" customHeight="1" x14ac:dyDescent="0.2">
      <c r="C78" s="1" t="s">
        <v>11</v>
      </c>
      <c r="D78" s="1" t="s">
        <v>45</v>
      </c>
      <c r="F78" s="1" t="s">
        <v>46</v>
      </c>
      <c r="G78" s="2"/>
      <c r="H78" s="68"/>
      <c r="J78" s="2"/>
      <c r="P78" s="2"/>
      <c r="Q78" s="6">
        <f t="shared" si="14"/>
        <v>0</v>
      </c>
      <c r="R78" s="6">
        <f t="shared" si="14"/>
        <v>0</v>
      </c>
      <c r="S78" s="6">
        <f t="shared" si="14"/>
        <v>0</v>
      </c>
      <c r="T78" s="6">
        <f t="shared" si="14"/>
        <v>0</v>
      </c>
      <c r="U78" s="6">
        <f t="shared" si="14"/>
        <v>0</v>
      </c>
      <c r="V78" s="72">
        <f t="shared" si="12"/>
        <v>0</v>
      </c>
    </row>
    <row r="79" spans="3:26" ht="12.75" customHeight="1" x14ac:dyDescent="0.2">
      <c r="C79" s="1" t="s">
        <v>13</v>
      </c>
      <c r="D79" s="1" t="s">
        <v>45</v>
      </c>
      <c r="F79" s="1" t="s">
        <v>46</v>
      </c>
      <c r="G79" s="2"/>
      <c r="H79" s="68"/>
      <c r="J79" s="2"/>
      <c r="P79" s="2"/>
      <c r="Q79" s="6">
        <f t="shared" si="14"/>
        <v>0</v>
      </c>
      <c r="R79" s="6">
        <f t="shared" si="14"/>
        <v>0</v>
      </c>
      <c r="S79" s="6">
        <f t="shared" si="14"/>
        <v>0</v>
      </c>
      <c r="T79" s="6">
        <f t="shared" si="14"/>
        <v>0</v>
      </c>
      <c r="U79" s="6">
        <f t="shared" si="14"/>
        <v>0</v>
      </c>
      <c r="V79" s="72">
        <f t="shared" si="12"/>
        <v>0</v>
      </c>
    </row>
    <row r="80" spans="3:26" ht="12.75" customHeight="1" x14ac:dyDescent="0.2">
      <c r="C80" s="1" t="s">
        <v>14</v>
      </c>
      <c r="D80" s="1" t="s">
        <v>45</v>
      </c>
      <c r="F80" s="1" t="s">
        <v>46</v>
      </c>
      <c r="G80" s="2"/>
      <c r="H80" s="68"/>
      <c r="J80" s="2"/>
      <c r="P80" s="2"/>
      <c r="Q80" s="6">
        <f t="shared" si="14"/>
        <v>0</v>
      </c>
      <c r="R80" s="6">
        <f t="shared" si="14"/>
        <v>0</v>
      </c>
      <c r="S80" s="6">
        <f t="shared" si="14"/>
        <v>0</v>
      </c>
      <c r="T80" s="6">
        <f t="shared" si="14"/>
        <v>0</v>
      </c>
      <c r="U80" s="6">
        <f t="shared" si="14"/>
        <v>0</v>
      </c>
      <c r="V80" s="72">
        <f t="shared" si="12"/>
        <v>0</v>
      </c>
    </row>
    <row r="81" spans="3:23" ht="12.75" customHeight="1" x14ac:dyDescent="0.2">
      <c r="C81" s="21" t="s">
        <v>17</v>
      </c>
      <c r="D81" s="21" t="s">
        <v>45</v>
      </c>
      <c r="E81" s="102"/>
      <c r="F81" s="103"/>
      <c r="G81" s="2"/>
      <c r="H81" s="103"/>
      <c r="I81" s="105"/>
      <c r="J81" s="104"/>
      <c r="K81" s="102"/>
      <c r="L81" s="102"/>
      <c r="M81" s="102"/>
      <c r="N81" s="102"/>
      <c r="O81" s="102"/>
      <c r="P81" s="2"/>
      <c r="Q81" s="22">
        <f>SUM(Q75:Q80)</f>
        <v>0</v>
      </c>
      <c r="R81" s="22">
        <f t="shared" ref="R81:U81" si="15">SUM(R75:R80)</f>
        <v>0</v>
      </c>
      <c r="S81" s="22">
        <f t="shared" si="15"/>
        <v>0</v>
      </c>
      <c r="T81" s="22">
        <f t="shared" si="15"/>
        <v>0</v>
      </c>
      <c r="U81" s="22">
        <f t="shared" si="15"/>
        <v>0</v>
      </c>
      <c r="V81" s="22">
        <f>SUM(V75:V80)</f>
        <v>0</v>
      </c>
    </row>
    <row r="82" spans="3:23" ht="12.75" customHeight="1" x14ac:dyDescent="0.2">
      <c r="F82" s="68"/>
      <c r="G82" s="2"/>
      <c r="H82" s="68"/>
      <c r="J82" s="2"/>
      <c r="P82" s="2"/>
      <c r="Q82" s="6"/>
      <c r="R82" s="6"/>
      <c r="S82" s="6"/>
      <c r="T82" s="6"/>
      <c r="U82" s="6"/>
      <c r="V82" s="72"/>
    </row>
    <row r="83" spans="3:23" ht="12.75" customHeight="1" x14ac:dyDescent="0.2">
      <c r="C83" s="7" t="str">
        <f>"Total Expenditure ($ "&amp;Assumptions!$B$12&amp;")"</f>
        <v>Total Expenditure ($ June 2024)</v>
      </c>
      <c r="D83" s="7"/>
      <c r="E83" s="7"/>
      <c r="F83" s="7"/>
      <c r="G83" s="2"/>
      <c r="H83" s="7"/>
      <c r="I83" s="10"/>
      <c r="J83" s="2"/>
      <c r="K83" s="7"/>
      <c r="L83" s="7"/>
      <c r="M83" s="7"/>
      <c r="N83" s="7"/>
      <c r="O83" s="7"/>
      <c r="P83" s="2"/>
      <c r="Q83" s="8">
        <f>Q74+Q81</f>
        <v>1538100</v>
      </c>
      <c r="R83" s="8">
        <f t="shared" ref="R83:U83" si="16">R74+R81</f>
        <v>189600</v>
      </c>
      <c r="S83" s="8">
        <f t="shared" si="16"/>
        <v>13500000</v>
      </c>
      <c r="T83" s="8">
        <f t="shared" si="16"/>
        <v>3500000</v>
      </c>
      <c r="U83" s="8">
        <f t="shared" si="16"/>
        <v>1137600</v>
      </c>
      <c r="V83" s="73">
        <f t="shared" si="12"/>
        <v>19865300</v>
      </c>
    </row>
    <row r="84" spans="3:23" ht="12.75" customHeight="1" x14ac:dyDescent="0.2">
      <c r="C84" s="45" t="s">
        <v>69</v>
      </c>
      <c r="D84" s="45"/>
      <c r="E84" s="45"/>
      <c r="F84" s="45"/>
      <c r="G84" s="2"/>
      <c r="H84" s="45"/>
      <c r="I84" s="45"/>
      <c r="J84" s="2"/>
      <c r="K84" s="45"/>
      <c r="L84" s="45"/>
      <c r="M84" s="45"/>
      <c r="N84" s="45"/>
      <c r="O84" s="45"/>
      <c r="P84" s="2"/>
      <c r="Q84" s="46">
        <f>Q83-SUM(Q$10:Q$64)</f>
        <v>0</v>
      </c>
      <c r="R84" s="46">
        <f t="shared" ref="R84:U84" si="17">R83-SUM(R$10:R$64)</f>
        <v>0</v>
      </c>
      <c r="S84" s="46">
        <f t="shared" si="17"/>
        <v>0</v>
      </c>
      <c r="T84" s="46">
        <f t="shared" si="17"/>
        <v>0</v>
      </c>
      <c r="U84" s="46">
        <f t="shared" si="17"/>
        <v>0</v>
      </c>
      <c r="V84" s="46">
        <f>V83-SUM(Q$10:U$64)</f>
        <v>0</v>
      </c>
      <c r="W84" s="46">
        <f>SUM(Q84:V84)</f>
        <v>0</v>
      </c>
    </row>
    <row r="85" spans="3:23" ht="12.75" customHeight="1" x14ac:dyDescent="0.2">
      <c r="G85" s="2"/>
      <c r="J85" s="2"/>
      <c r="P85" s="2"/>
    </row>
    <row r="86" spans="3:23" ht="12.75" customHeight="1" x14ac:dyDescent="0.2">
      <c r="C86" s="55" t="str">
        <f>"NPV ($ "&amp;Assumptions!$B$12&amp;")"</f>
        <v>NPV ($ June 2024)</v>
      </c>
      <c r="D86" s="56">
        <f>NPV(Real_Discount_rate,Q83:U83)</f>
        <v>17847183.583392769</v>
      </c>
      <c r="G86" s="2"/>
      <c r="J86" s="2"/>
      <c r="P86" s="2"/>
    </row>
    <row r="87" spans="3:23" ht="12.75" customHeight="1" x14ac:dyDescent="0.2">
      <c r="G87" s="2"/>
      <c r="J87" s="2"/>
      <c r="P87" s="2"/>
    </row>
    <row r="88" spans="3:23" ht="12.75" customHeight="1" x14ac:dyDescent="0.2">
      <c r="G88" s="2"/>
      <c r="J88" s="2"/>
      <c r="P88" s="2"/>
    </row>
    <row r="89" spans="3:23" ht="12.75" customHeight="1" x14ac:dyDescent="0.2">
      <c r="C89" s="4" t="s">
        <v>68</v>
      </c>
      <c r="F89" s="3"/>
      <c r="G89" s="2"/>
      <c r="J89" s="2"/>
      <c r="P89" s="2"/>
      <c r="Q89" s="69" t="s">
        <v>6</v>
      </c>
      <c r="R89" s="69" t="s">
        <v>7</v>
      </c>
      <c r="S89" s="69" t="s">
        <v>8</v>
      </c>
      <c r="T89" s="69" t="s">
        <v>9</v>
      </c>
      <c r="U89" s="69" t="s">
        <v>10</v>
      </c>
      <c r="V89" s="113" t="s">
        <v>0</v>
      </c>
    </row>
    <row r="90" spans="3:23" ht="12.75" customHeight="1" x14ac:dyDescent="0.2">
      <c r="C90" s="24"/>
      <c r="D90" s="24" t="s">
        <v>49</v>
      </c>
      <c r="E90" s="24"/>
      <c r="F90" s="24" t="s">
        <v>50</v>
      </c>
      <c r="G90" s="2"/>
      <c r="H90" s="66"/>
      <c r="I90" s="67"/>
      <c r="J90" s="2"/>
      <c r="K90" s="24"/>
      <c r="L90" s="24"/>
      <c r="M90" s="24"/>
      <c r="N90" s="24"/>
      <c r="O90" s="24"/>
      <c r="P90" s="2"/>
      <c r="Q90" s="25">
        <f t="shared" ref="Q90:U91" si="18">SUMIFS(Q$10:Q$64,$D$10:$D$64,$D90,$F$10:$F$64,$F90)</f>
        <v>1538100</v>
      </c>
      <c r="R90" s="25">
        <f t="shared" si="18"/>
        <v>189600</v>
      </c>
      <c r="S90" s="25">
        <f t="shared" si="18"/>
        <v>13500000</v>
      </c>
      <c r="T90" s="25">
        <f t="shared" si="18"/>
        <v>3500000</v>
      </c>
      <c r="U90" s="25">
        <f t="shared" si="18"/>
        <v>0</v>
      </c>
      <c r="V90" s="72">
        <f t="shared" ref="V90:V91" si="19">SUM(Q90:U90)</f>
        <v>18727700</v>
      </c>
    </row>
    <row r="91" spans="3:23" ht="12.75" customHeight="1" x14ac:dyDescent="0.2">
      <c r="D91" s="1" t="s">
        <v>45</v>
      </c>
      <c r="F91" s="1" t="s">
        <v>50</v>
      </c>
      <c r="G91" s="2"/>
      <c r="J91" s="2"/>
      <c r="P91" s="2"/>
      <c r="Q91" s="112">
        <f t="shared" si="18"/>
        <v>0</v>
      </c>
      <c r="R91" s="112">
        <f t="shared" si="18"/>
        <v>0</v>
      </c>
      <c r="S91" s="112">
        <f t="shared" si="18"/>
        <v>0</v>
      </c>
      <c r="T91" s="112">
        <f t="shared" si="18"/>
        <v>0</v>
      </c>
      <c r="U91" s="112">
        <f t="shared" si="18"/>
        <v>0</v>
      </c>
      <c r="V91" s="72">
        <f t="shared" si="19"/>
        <v>0</v>
      </c>
    </row>
    <row r="92" spans="3:23" ht="12.75" customHeight="1" x14ac:dyDescent="0.2">
      <c r="C92" s="21" t="s">
        <v>70</v>
      </c>
      <c r="D92" s="21"/>
      <c r="E92" s="102"/>
      <c r="F92" s="103"/>
      <c r="G92" s="2"/>
      <c r="H92" s="103"/>
      <c r="I92" s="105"/>
      <c r="J92" s="104"/>
      <c r="K92" s="102"/>
      <c r="L92" s="102"/>
      <c r="M92" s="102"/>
      <c r="N92" s="102"/>
      <c r="O92" s="102"/>
      <c r="P92" s="2"/>
      <c r="Q92" s="22">
        <f>SUM(Q90:Q91)</f>
        <v>1538100</v>
      </c>
      <c r="R92" s="22">
        <f t="shared" ref="R92:V92" si="20">SUM(R90:R91)</f>
        <v>189600</v>
      </c>
      <c r="S92" s="22">
        <f t="shared" si="20"/>
        <v>13500000</v>
      </c>
      <c r="T92" s="22">
        <f t="shared" si="20"/>
        <v>3500000</v>
      </c>
      <c r="U92" s="22">
        <f t="shared" si="20"/>
        <v>0</v>
      </c>
      <c r="V92" s="22">
        <f t="shared" si="20"/>
        <v>18727700</v>
      </c>
    </row>
    <row r="93" spans="3:23" ht="12.75" customHeight="1" x14ac:dyDescent="0.2">
      <c r="C93" s="4"/>
      <c r="D93" s="1" t="s">
        <v>49</v>
      </c>
      <c r="F93" s="1" t="s">
        <v>46</v>
      </c>
      <c r="G93" s="2"/>
      <c r="H93" s="68"/>
      <c r="J93" s="2"/>
      <c r="P93" s="2"/>
      <c r="Q93" s="6">
        <f t="shared" ref="Q93:U94" si="21">SUMIFS(Q$10:Q$64,$D$10:$D$64,$D93,$F$10:$F$64,$F93)</f>
        <v>0</v>
      </c>
      <c r="R93" s="6">
        <f t="shared" si="21"/>
        <v>0</v>
      </c>
      <c r="S93" s="6">
        <f t="shared" si="21"/>
        <v>0</v>
      </c>
      <c r="T93" s="6">
        <f t="shared" si="21"/>
        <v>0</v>
      </c>
      <c r="U93" s="6">
        <f t="shared" si="21"/>
        <v>1137600</v>
      </c>
      <c r="V93" s="72">
        <f t="shared" ref="V93:V94" si="22">SUM(Q93:U93)</f>
        <v>1137600</v>
      </c>
    </row>
    <row r="94" spans="3:23" ht="12.75" customHeight="1" x14ac:dyDescent="0.2">
      <c r="C94" s="4"/>
      <c r="D94" s="1" t="s">
        <v>45</v>
      </c>
      <c r="F94" s="1" t="s">
        <v>46</v>
      </c>
      <c r="G94" s="2"/>
      <c r="H94" s="68"/>
      <c r="J94" s="2"/>
      <c r="P94" s="2"/>
      <c r="Q94" s="6">
        <f t="shared" si="21"/>
        <v>0</v>
      </c>
      <c r="R94" s="6">
        <f t="shared" si="21"/>
        <v>0</v>
      </c>
      <c r="S94" s="6">
        <f t="shared" si="21"/>
        <v>0</v>
      </c>
      <c r="T94" s="6">
        <f t="shared" si="21"/>
        <v>0</v>
      </c>
      <c r="U94" s="6">
        <f t="shared" si="21"/>
        <v>0</v>
      </c>
      <c r="V94" s="72">
        <f t="shared" si="22"/>
        <v>0</v>
      </c>
    </row>
    <row r="95" spans="3:23" ht="12.75" customHeight="1" x14ac:dyDescent="0.2">
      <c r="C95" s="21" t="s">
        <v>71</v>
      </c>
      <c r="D95" s="21"/>
      <c r="E95" s="102"/>
      <c r="F95" s="103"/>
      <c r="G95" s="2"/>
      <c r="H95" s="103"/>
      <c r="I95" s="105"/>
      <c r="J95" s="104"/>
      <c r="K95" s="102"/>
      <c r="L95" s="102"/>
      <c r="M95" s="102"/>
      <c r="N95" s="102"/>
      <c r="O95" s="102"/>
      <c r="P95" s="2"/>
      <c r="Q95" s="22">
        <f>SUM(Q93:Q94)</f>
        <v>0</v>
      </c>
      <c r="R95" s="22">
        <f t="shared" ref="R95:V95" si="23">SUM(R93:R94)</f>
        <v>0</v>
      </c>
      <c r="S95" s="22">
        <f t="shared" si="23"/>
        <v>0</v>
      </c>
      <c r="T95" s="22">
        <f t="shared" si="23"/>
        <v>0</v>
      </c>
      <c r="U95" s="22">
        <f t="shared" si="23"/>
        <v>1137600</v>
      </c>
      <c r="V95" s="22">
        <f t="shared" si="23"/>
        <v>1137600</v>
      </c>
    </row>
    <row r="96" spans="3:23" ht="12.75" customHeight="1" x14ac:dyDescent="0.2">
      <c r="C96" s="4"/>
      <c r="D96" s="4"/>
      <c r="F96" s="68"/>
      <c r="G96" s="2"/>
      <c r="H96" s="68"/>
      <c r="J96" s="2"/>
      <c r="P96" s="2"/>
      <c r="Q96" s="23"/>
      <c r="R96" s="23"/>
      <c r="S96" s="23"/>
      <c r="T96" s="23"/>
      <c r="U96" s="23"/>
      <c r="V96" s="23"/>
    </row>
    <row r="97" spans="3:23" ht="12.75" customHeight="1" x14ac:dyDescent="0.2">
      <c r="C97" s="7" t="str">
        <f>"Total Expenditure ($ "&amp;Assumptions!$B$12&amp;")"</f>
        <v>Total Expenditure ($ June 2024)</v>
      </c>
      <c r="D97" s="7"/>
      <c r="E97" s="7"/>
      <c r="F97" s="7"/>
      <c r="G97" s="2"/>
      <c r="H97" s="7"/>
      <c r="I97" s="10"/>
      <c r="J97" s="2"/>
      <c r="K97" s="7"/>
      <c r="L97" s="7"/>
      <c r="M97" s="7"/>
      <c r="N97" s="7"/>
      <c r="O97" s="7"/>
      <c r="P97" s="2"/>
      <c r="Q97" s="8">
        <f>Q92+Q95</f>
        <v>1538100</v>
      </c>
      <c r="R97" s="8">
        <f t="shared" ref="R97:U97" si="24">R92+R95</f>
        <v>189600</v>
      </c>
      <c r="S97" s="8">
        <f t="shared" si="24"/>
        <v>13500000</v>
      </c>
      <c r="T97" s="8">
        <f t="shared" si="24"/>
        <v>3500000</v>
      </c>
      <c r="U97" s="8">
        <f t="shared" si="24"/>
        <v>1137600</v>
      </c>
      <c r="V97" s="73">
        <f t="shared" ref="V97" si="25">SUM(Q97:U97)</f>
        <v>19865300</v>
      </c>
    </row>
    <row r="98" spans="3:23" ht="12.75" customHeight="1" x14ac:dyDescent="0.2">
      <c r="C98" s="45" t="s">
        <v>69</v>
      </c>
      <c r="D98" s="45"/>
      <c r="E98" s="45"/>
      <c r="F98" s="45"/>
      <c r="G98" s="2"/>
      <c r="H98" s="45"/>
      <c r="I98" s="45"/>
      <c r="J98" s="2"/>
      <c r="K98" s="45"/>
      <c r="L98" s="45"/>
      <c r="M98" s="45"/>
      <c r="N98" s="45"/>
      <c r="O98" s="45"/>
      <c r="P98" s="2"/>
      <c r="Q98" s="46">
        <f>Q97-SUM(Q$10:Q$64)</f>
        <v>0</v>
      </c>
      <c r="R98" s="46">
        <f t="shared" ref="R98:U98" si="26">R97-SUM(R$10:R$64)</f>
        <v>0</v>
      </c>
      <c r="S98" s="46">
        <f t="shared" si="26"/>
        <v>0</v>
      </c>
      <c r="T98" s="46">
        <f t="shared" si="26"/>
        <v>0</v>
      </c>
      <c r="U98" s="46">
        <f t="shared" si="26"/>
        <v>0</v>
      </c>
      <c r="V98" s="46">
        <f>V97-SUM(Q$10:U$64)</f>
        <v>0</v>
      </c>
      <c r="W98" s="46">
        <f>SUM(Q98:V98)</f>
        <v>0</v>
      </c>
    </row>
    <row r="99" spans="3:23" ht="12.75" customHeight="1" x14ac:dyDescent="0.2">
      <c r="C99" s="115"/>
      <c r="D99" s="115"/>
      <c r="E99" s="115"/>
      <c r="F99" s="115"/>
      <c r="G99" s="2"/>
      <c r="H99" s="115"/>
      <c r="I99" s="115"/>
      <c r="J99" s="2"/>
      <c r="K99" s="115"/>
      <c r="L99" s="115"/>
      <c r="M99" s="115"/>
      <c r="N99" s="115"/>
      <c r="O99" s="115"/>
      <c r="P99" s="2"/>
      <c r="Q99" s="116"/>
      <c r="R99" s="116"/>
      <c r="S99" s="116"/>
      <c r="T99" s="116"/>
      <c r="U99" s="116"/>
      <c r="V99" s="116"/>
      <c r="W99" s="116"/>
    </row>
    <row r="100" spans="3:23" ht="12.75" customHeight="1" x14ac:dyDescent="0.2">
      <c r="C100" s="115"/>
      <c r="D100" s="115"/>
      <c r="E100" s="115"/>
      <c r="F100" s="115"/>
      <c r="G100" s="2"/>
      <c r="H100" s="115"/>
      <c r="I100" s="115"/>
      <c r="J100" s="2"/>
      <c r="K100" s="115"/>
      <c r="L100" s="115"/>
      <c r="M100" s="115"/>
      <c r="N100" s="115"/>
      <c r="O100" s="115"/>
      <c r="P100" s="2"/>
      <c r="Q100" s="116"/>
      <c r="R100" s="116"/>
      <c r="S100" s="116"/>
      <c r="T100" s="116"/>
      <c r="U100" s="116"/>
      <c r="V100" s="116"/>
      <c r="W100" s="116"/>
    </row>
    <row r="101" spans="3:23" ht="12.75" customHeight="1" x14ac:dyDescent="0.2">
      <c r="C101" s="115"/>
      <c r="D101" s="115"/>
      <c r="E101" s="115"/>
      <c r="F101" s="115"/>
      <c r="G101" s="2"/>
      <c r="H101" s="115"/>
      <c r="I101" s="115"/>
      <c r="J101" s="2"/>
      <c r="K101" s="115"/>
      <c r="L101" s="115"/>
      <c r="M101" s="115"/>
      <c r="N101" s="115"/>
      <c r="O101" s="115"/>
      <c r="P101" s="2"/>
      <c r="Q101" s="116"/>
      <c r="R101" s="116"/>
      <c r="S101" s="116"/>
      <c r="T101" s="116"/>
      <c r="U101" s="116"/>
      <c r="V101" s="116"/>
      <c r="W101" s="116"/>
    </row>
    <row r="102" spans="3:23" ht="12.75" customHeight="1" x14ac:dyDescent="0.2">
      <c r="C102" s="76" t="s">
        <v>72</v>
      </c>
      <c r="G102" s="2"/>
      <c r="J102" s="2"/>
      <c r="P102" s="2"/>
      <c r="Q102" s="69" t="s">
        <v>6</v>
      </c>
      <c r="R102" s="69" t="s">
        <v>7</v>
      </c>
      <c r="S102" s="69" t="s">
        <v>8</v>
      </c>
      <c r="T102" s="69" t="s">
        <v>9</v>
      </c>
      <c r="U102" s="69" t="s">
        <v>10</v>
      </c>
      <c r="V102" s="69" t="s">
        <v>0</v>
      </c>
    </row>
    <row r="103" spans="3:23" ht="12.75" customHeight="1" x14ac:dyDescent="0.2">
      <c r="C103" s="24" t="s">
        <v>11</v>
      </c>
      <c r="D103" s="24" t="s">
        <v>49</v>
      </c>
      <c r="E103" s="24"/>
      <c r="F103" s="24" t="s">
        <v>50</v>
      </c>
      <c r="G103" s="2"/>
      <c r="H103" s="66"/>
      <c r="I103" s="67"/>
      <c r="J103" s="2"/>
      <c r="K103" s="24"/>
      <c r="L103" s="24"/>
      <c r="M103" s="24"/>
      <c r="N103" s="24"/>
      <c r="O103" s="24"/>
      <c r="P103" s="2"/>
      <c r="Q103" s="34">
        <f t="shared" ref="Q103:U108" si="27">Q68*business_case_dollars</f>
        <v>1711770.9414533672</v>
      </c>
      <c r="R103" s="34">
        <f t="shared" si="27"/>
        <v>211008.23776058672</v>
      </c>
      <c r="S103" s="34">
        <f t="shared" si="27"/>
        <v>15024320.726624055</v>
      </c>
      <c r="T103" s="34">
        <f t="shared" si="27"/>
        <v>3895194.2624580879</v>
      </c>
      <c r="U103" s="34">
        <f t="shared" si="27"/>
        <v>0</v>
      </c>
      <c r="V103" s="71">
        <f>SUM(Q103:U103)</f>
        <v>20842294.168296099</v>
      </c>
    </row>
    <row r="104" spans="3:23" ht="12.75" customHeight="1" x14ac:dyDescent="0.2">
      <c r="C104" s="1" t="s">
        <v>13</v>
      </c>
      <c r="D104" s="1" t="s">
        <v>49</v>
      </c>
      <c r="F104" s="1" t="s">
        <v>50</v>
      </c>
      <c r="G104" s="2"/>
      <c r="H104" s="68"/>
      <c r="J104" s="2"/>
      <c r="P104" s="2"/>
      <c r="Q104" s="6">
        <f t="shared" si="27"/>
        <v>0</v>
      </c>
      <c r="R104" s="6">
        <f t="shared" si="27"/>
        <v>0</v>
      </c>
      <c r="S104" s="6">
        <f t="shared" si="27"/>
        <v>0</v>
      </c>
      <c r="T104" s="6">
        <f t="shared" si="27"/>
        <v>0</v>
      </c>
      <c r="U104" s="6">
        <f t="shared" si="27"/>
        <v>0</v>
      </c>
      <c r="V104" s="72">
        <f t="shared" ref="V104:V118" si="28">SUM(Q104:U104)</f>
        <v>0</v>
      </c>
    </row>
    <row r="105" spans="3:23" ht="12.75" customHeight="1" x14ac:dyDescent="0.2">
      <c r="C105" s="1" t="s">
        <v>14</v>
      </c>
      <c r="D105" s="1" t="s">
        <v>49</v>
      </c>
      <c r="F105" s="1" t="s">
        <v>50</v>
      </c>
      <c r="G105" s="2"/>
      <c r="H105" s="68"/>
      <c r="J105" s="2"/>
      <c r="P105" s="2"/>
      <c r="Q105" s="6">
        <f t="shared" si="27"/>
        <v>0</v>
      </c>
      <c r="R105" s="6">
        <f t="shared" si="27"/>
        <v>0</v>
      </c>
      <c r="S105" s="6">
        <f t="shared" si="27"/>
        <v>0</v>
      </c>
      <c r="T105" s="6">
        <f t="shared" si="27"/>
        <v>0</v>
      </c>
      <c r="U105" s="6">
        <f t="shared" si="27"/>
        <v>0</v>
      </c>
      <c r="V105" s="72">
        <f t="shared" si="28"/>
        <v>0</v>
      </c>
    </row>
    <row r="106" spans="3:23" ht="12.75" customHeight="1" x14ac:dyDescent="0.2">
      <c r="C106" s="1" t="s">
        <v>11</v>
      </c>
      <c r="D106" s="1" t="s">
        <v>49</v>
      </c>
      <c r="F106" s="1" t="s">
        <v>46</v>
      </c>
      <c r="G106" s="2"/>
      <c r="H106" s="68"/>
      <c r="J106" s="2"/>
      <c r="P106" s="2"/>
      <c r="Q106" s="6">
        <f t="shared" si="27"/>
        <v>0</v>
      </c>
      <c r="R106" s="6">
        <f t="shared" si="27"/>
        <v>0</v>
      </c>
      <c r="S106" s="6">
        <f t="shared" si="27"/>
        <v>0</v>
      </c>
      <c r="T106" s="6">
        <f t="shared" si="27"/>
        <v>0</v>
      </c>
      <c r="U106" s="6">
        <f t="shared" si="27"/>
        <v>1266049.4265635202</v>
      </c>
      <c r="V106" s="6">
        <f t="shared" si="28"/>
        <v>1266049.4265635202</v>
      </c>
    </row>
    <row r="107" spans="3:23" ht="12.75" customHeight="1" x14ac:dyDescent="0.2">
      <c r="C107" s="1" t="s">
        <v>13</v>
      </c>
      <c r="D107" s="1" t="s">
        <v>49</v>
      </c>
      <c r="F107" s="1" t="s">
        <v>46</v>
      </c>
      <c r="G107" s="2"/>
      <c r="H107" s="68"/>
      <c r="J107" s="2"/>
      <c r="P107" s="2"/>
      <c r="Q107" s="6">
        <f t="shared" si="27"/>
        <v>0</v>
      </c>
      <c r="R107" s="6">
        <f t="shared" si="27"/>
        <v>0</v>
      </c>
      <c r="S107" s="6">
        <f t="shared" si="27"/>
        <v>0</v>
      </c>
      <c r="T107" s="6">
        <f t="shared" si="27"/>
        <v>0</v>
      </c>
      <c r="U107" s="6">
        <f t="shared" si="27"/>
        <v>0</v>
      </c>
      <c r="V107" s="6">
        <f t="shared" si="28"/>
        <v>0</v>
      </c>
    </row>
    <row r="108" spans="3:23" ht="12.75" customHeight="1" x14ac:dyDescent="0.2">
      <c r="C108" s="1" t="s">
        <v>14</v>
      </c>
      <c r="D108" s="1" t="s">
        <v>49</v>
      </c>
      <c r="F108" s="1" t="s">
        <v>46</v>
      </c>
      <c r="G108" s="2"/>
      <c r="H108" s="68"/>
      <c r="J108" s="2"/>
      <c r="P108" s="2"/>
      <c r="Q108" s="6">
        <f t="shared" si="27"/>
        <v>0</v>
      </c>
      <c r="R108" s="6">
        <f t="shared" si="27"/>
        <v>0</v>
      </c>
      <c r="S108" s="6">
        <f t="shared" si="27"/>
        <v>0</v>
      </c>
      <c r="T108" s="6">
        <f t="shared" si="27"/>
        <v>0</v>
      </c>
      <c r="U108" s="6">
        <f t="shared" si="27"/>
        <v>0</v>
      </c>
      <c r="V108" s="6">
        <f t="shared" si="28"/>
        <v>0</v>
      </c>
    </row>
    <row r="109" spans="3:23" ht="12.75" customHeight="1" x14ac:dyDescent="0.2">
      <c r="C109" s="21" t="s">
        <v>15</v>
      </c>
      <c r="D109" s="21" t="s">
        <v>49</v>
      </c>
      <c r="E109" s="102"/>
      <c r="F109" s="103"/>
      <c r="G109" s="104"/>
      <c r="H109" s="103"/>
      <c r="I109" s="105"/>
      <c r="J109" s="104"/>
      <c r="K109" s="102"/>
      <c r="L109" s="102"/>
      <c r="M109" s="102"/>
      <c r="N109" s="102"/>
      <c r="O109" s="102"/>
      <c r="P109" s="104"/>
      <c r="Q109" s="22">
        <f>SUM(Q103:Q108)</f>
        <v>1711770.9414533672</v>
      </c>
      <c r="R109" s="22">
        <f t="shared" ref="R109:U109" si="29">SUM(R103:R108)</f>
        <v>211008.23776058672</v>
      </c>
      <c r="S109" s="22">
        <f t="shared" si="29"/>
        <v>15024320.726624055</v>
      </c>
      <c r="T109" s="22">
        <f t="shared" si="29"/>
        <v>3895194.2624580879</v>
      </c>
      <c r="U109" s="22">
        <f t="shared" si="29"/>
        <v>1266049.4265635202</v>
      </c>
      <c r="V109" s="22">
        <f>SUM(V103:V108)</f>
        <v>22108343.594859619</v>
      </c>
    </row>
    <row r="110" spans="3:23" ht="12.75" customHeight="1" x14ac:dyDescent="0.2">
      <c r="C110" s="1" t="s">
        <v>11</v>
      </c>
      <c r="D110" s="1" t="s">
        <v>45</v>
      </c>
      <c r="F110" s="1" t="s">
        <v>50</v>
      </c>
      <c r="G110" s="2"/>
      <c r="H110" s="68"/>
      <c r="J110" s="2"/>
      <c r="P110" s="2"/>
      <c r="Q110" s="117">
        <f t="shared" ref="Q110:U115" si="30">Q75*business_case_dollars</f>
        <v>0</v>
      </c>
      <c r="R110" s="117">
        <f t="shared" si="30"/>
        <v>0</v>
      </c>
      <c r="S110" s="117">
        <f t="shared" si="30"/>
        <v>0</v>
      </c>
      <c r="T110" s="117">
        <f t="shared" si="30"/>
        <v>0</v>
      </c>
      <c r="U110" s="117">
        <f t="shared" si="30"/>
        <v>0</v>
      </c>
      <c r="V110" s="72">
        <f>SUM(Q110:U110)</f>
        <v>0</v>
      </c>
    </row>
    <row r="111" spans="3:23" ht="12.75" customHeight="1" x14ac:dyDescent="0.2">
      <c r="C111" s="1" t="s">
        <v>13</v>
      </c>
      <c r="D111" s="1" t="s">
        <v>45</v>
      </c>
      <c r="F111" s="1" t="s">
        <v>50</v>
      </c>
      <c r="G111" s="2"/>
      <c r="H111" s="68"/>
      <c r="J111" s="2"/>
      <c r="P111" s="2"/>
      <c r="Q111" s="6">
        <f t="shared" si="30"/>
        <v>0</v>
      </c>
      <c r="R111" s="6">
        <f t="shared" si="30"/>
        <v>0</v>
      </c>
      <c r="S111" s="6">
        <f t="shared" si="30"/>
        <v>0</v>
      </c>
      <c r="T111" s="6">
        <f t="shared" si="30"/>
        <v>0</v>
      </c>
      <c r="U111" s="6">
        <f t="shared" si="30"/>
        <v>0</v>
      </c>
      <c r="V111" s="72">
        <f t="shared" ref="V111:V115" si="31">SUM(Q111:U111)</f>
        <v>0</v>
      </c>
    </row>
    <row r="112" spans="3:23" ht="12.75" customHeight="1" x14ac:dyDescent="0.2">
      <c r="C112" s="1" t="s">
        <v>14</v>
      </c>
      <c r="D112" s="1" t="s">
        <v>45</v>
      </c>
      <c r="F112" s="1" t="s">
        <v>50</v>
      </c>
      <c r="G112" s="2"/>
      <c r="H112" s="68"/>
      <c r="J112" s="2"/>
      <c r="P112" s="2"/>
      <c r="Q112" s="6">
        <f t="shared" si="30"/>
        <v>0</v>
      </c>
      <c r="R112" s="6">
        <f t="shared" si="30"/>
        <v>0</v>
      </c>
      <c r="S112" s="6">
        <f t="shared" si="30"/>
        <v>0</v>
      </c>
      <c r="T112" s="6">
        <f t="shared" si="30"/>
        <v>0</v>
      </c>
      <c r="U112" s="6">
        <f t="shared" si="30"/>
        <v>0</v>
      </c>
      <c r="V112" s="72">
        <f t="shared" si="31"/>
        <v>0</v>
      </c>
    </row>
    <row r="113" spans="3:23" ht="12.75" customHeight="1" x14ac:dyDescent="0.2">
      <c r="C113" s="1" t="s">
        <v>11</v>
      </c>
      <c r="D113" s="1" t="s">
        <v>45</v>
      </c>
      <c r="F113" s="1" t="s">
        <v>46</v>
      </c>
      <c r="G113" s="2"/>
      <c r="H113" s="68"/>
      <c r="J113" s="2"/>
      <c r="P113" s="2"/>
      <c r="Q113" s="6">
        <f t="shared" si="30"/>
        <v>0</v>
      </c>
      <c r="R113" s="6">
        <f t="shared" si="30"/>
        <v>0</v>
      </c>
      <c r="S113" s="6">
        <f t="shared" si="30"/>
        <v>0</v>
      </c>
      <c r="T113" s="6">
        <f t="shared" si="30"/>
        <v>0</v>
      </c>
      <c r="U113" s="6">
        <f t="shared" si="30"/>
        <v>0</v>
      </c>
      <c r="V113" s="6">
        <f t="shared" si="31"/>
        <v>0</v>
      </c>
    </row>
    <row r="114" spans="3:23" ht="12.75" customHeight="1" x14ac:dyDescent="0.2">
      <c r="C114" s="1" t="s">
        <v>13</v>
      </c>
      <c r="D114" s="1" t="s">
        <v>45</v>
      </c>
      <c r="F114" s="1" t="s">
        <v>46</v>
      </c>
      <c r="G114" s="2"/>
      <c r="H114" s="68"/>
      <c r="J114" s="2"/>
      <c r="P114" s="2"/>
      <c r="Q114" s="6">
        <f t="shared" si="30"/>
        <v>0</v>
      </c>
      <c r="R114" s="6">
        <f t="shared" si="30"/>
        <v>0</v>
      </c>
      <c r="S114" s="6">
        <f t="shared" si="30"/>
        <v>0</v>
      </c>
      <c r="T114" s="6">
        <f t="shared" si="30"/>
        <v>0</v>
      </c>
      <c r="U114" s="6">
        <f t="shared" si="30"/>
        <v>0</v>
      </c>
      <c r="V114" s="6">
        <f t="shared" si="31"/>
        <v>0</v>
      </c>
    </row>
    <row r="115" spans="3:23" ht="12.75" customHeight="1" x14ac:dyDescent="0.2">
      <c r="C115" s="1" t="s">
        <v>14</v>
      </c>
      <c r="D115" s="1" t="s">
        <v>45</v>
      </c>
      <c r="F115" s="1" t="s">
        <v>46</v>
      </c>
      <c r="G115" s="2"/>
      <c r="H115" s="68"/>
      <c r="J115" s="2"/>
      <c r="P115" s="2"/>
      <c r="Q115" s="6">
        <f t="shared" si="30"/>
        <v>0</v>
      </c>
      <c r="R115" s="6">
        <f t="shared" si="30"/>
        <v>0</v>
      </c>
      <c r="S115" s="6">
        <f t="shared" si="30"/>
        <v>0</v>
      </c>
      <c r="T115" s="6">
        <f t="shared" si="30"/>
        <v>0</v>
      </c>
      <c r="U115" s="6">
        <f t="shared" si="30"/>
        <v>0</v>
      </c>
      <c r="V115" s="6">
        <f t="shared" si="31"/>
        <v>0</v>
      </c>
    </row>
    <row r="116" spans="3:23" ht="12.75" customHeight="1" x14ac:dyDescent="0.2">
      <c r="C116" s="21" t="s">
        <v>17</v>
      </c>
      <c r="D116" s="21" t="s">
        <v>45</v>
      </c>
      <c r="E116" s="102"/>
      <c r="F116" s="103"/>
      <c r="G116" s="104"/>
      <c r="H116" s="103"/>
      <c r="I116" s="105"/>
      <c r="J116" s="104"/>
      <c r="K116" s="102"/>
      <c r="L116" s="102"/>
      <c r="M116" s="102"/>
      <c r="N116" s="102"/>
      <c r="O116" s="102"/>
      <c r="P116" s="104"/>
      <c r="Q116" s="22">
        <f>SUM(Q110:Q115)</f>
        <v>0</v>
      </c>
      <c r="R116" s="22">
        <f t="shared" ref="R116:V116" si="32">SUM(R110:R115)</f>
        <v>0</v>
      </c>
      <c r="S116" s="22">
        <f t="shared" si="32"/>
        <v>0</v>
      </c>
      <c r="T116" s="22">
        <f t="shared" si="32"/>
        <v>0</v>
      </c>
      <c r="U116" s="22">
        <f t="shared" si="32"/>
        <v>0</v>
      </c>
      <c r="V116" s="22">
        <f t="shared" si="32"/>
        <v>0</v>
      </c>
    </row>
    <row r="117" spans="3:23" ht="12.75" customHeight="1" x14ac:dyDescent="0.2">
      <c r="G117" s="2"/>
      <c r="H117" s="68"/>
      <c r="J117" s="2"/>
      <c r="P117" s="2"/>
      <c r="Q117" s="6"/>
      <c r="R117" s="6"/>
      <c r="S117" s="6"/>
      <c r="T117" s="6"/>
      <c r="U117" s="6"/>
      <c r="V117" s="72"/>
    </row>
    <row r="118" spans="3:23" x14ac:dyDescent="0.2">
      <c r="C118" s="7" t="str">
        <f>"Total Expenditure ($ "&amp;Assumptions!$C$35&amp;")"</f>
        <v>Total Expenditure ($ June 2026)</v>
      </c>
      <c r="D118" s="7" t="s">
        <v>73</v>
      </c>
      <c r="E118" s="7"/>
      <c r="F118" s="7"/>
      <c r="G118" s="2"/>
      <c r="H118" s="7"/>
      <c r="I118" s="10"/>
      <c r="J118" s="2"/>
      <c r="K118" s="7"/>
      <c r="L118" s="7"/>
      <c r="M118" s="7"/>
      <c r="N118" s="7"/>
      <c r="O118" s="7"/>
      <c r="P118" s="2"/>
      <c r="Q118" s="8">
        <f>Q109+Q116</f>
        <v>1711770.9414533672</v>
      </c>
      <c r="R118" s="8">
        <f t="shared" ref="R118:U118" si="33">R109+R116</f>
        <v>211008.23776058672</v>
      </c>
      <c r="S118" s="8">
        <f t="shared" si="33"/>
        <v>15024320.726624055</v>
      </c>
      <c r="T118" s="8">
        <f t="shared" si="33"/>
        <v>3895194.2624580879</v>
      </c>
      <c r="U118" s="8">
        <f t="shared" si="33"/>
        <v>1266049.4265635202</v>
      </c>
      <c r="V118" s="73">
        <f t="shared" si="28"/>
        <v>22108343.594859619</v>
      </c>
    </row>
    <row r="119" spans="3:23" x14ac:dyDescent="0.2">
      <c r="G119" s="2"/>
      <c r="J119" s="2"/>
      <c r="P119" s="2"/>
      <c r="Q119" s="46">
        <f>SUM(Q10:Q64)*business_case_dollars-Q118</f>
        <v>0</v>
      </c>
      <c r="R119" s="46">
        <f>SUM(R10:R64)*business_case_dollars-R118</f>
        <v>0</v>
      </c>
      <c r="S119" s="46">
        <f>SUM(S10:S64)*business_case_dollars-S118</f>
        <v>0</v>
      </c>
      <c r="T119" s="46">
        <f>SUM(T10:T64)*business_case_dollars-T118</f>
        <v>0</v>
      </c>
      <c r="U119" s="46">
        <f>SUM(U10:U64)*business_case_dollars-U118</f>
        <v>0</v>
      </c>
      <c r="V119" s="46">
        <f>SUM(Q10:U64)*business_case_dollars-V118</f>
        <v>0</v>
      </c>
      <c r="W119" s="46">
        <f>SUM(Q119:V119)</f>
        <v>0</v>
      </c>
    </row>
    <row r="120" spans="3:23" x14ac:dyDescent="0.2">
      <c r="C120" s="55" t="str">
        <f>"NPV ($ "&amp;Assumptions!$C$35&amp;")"</f>
        <v>NPV ($ June 2026)</v>
      </c>
      <c r="D120" s="56">
        <f>NPV(Real_Discount_rate,Q118:U118)</f>
        <v>19862356.312876493</v>
      </c>
      <c r="G120" s="2"/>
      <c r="J120" s="2"/>
      <c r="P120" s="2"/>
      <c r="Q120" s="52"/>
      <c r="R120" s="52"/>
      <c r="S120" s="52"/>
      <c r="T120" s="52"/>
      <c r="U120" s="52"/>
    </row>
    <row r="123" spans="3:23" x14ac:dyDescent="0.2">
      <c r="C123" s="4" t="s">
        <v>68</v>
      </c>
      <c r="F123" s="3"/>
      <c r="G123" s="2"/>
      <c r="J123" s="2"/>
      <c r="P123" s="2"/>
      <c r="Q123" s="69" t="s">
        <v>6</v>
      </c>
      <c r="R123" s="69" t="s">
        <v>7</v>
      </c>
      <c r="S123" s="69" t="s">
        <v>8</v>
      </c>
      <c r="T123" s="69" t="s">
        <v>9</v>
      </c>
      <c r="U123" s="69" t="s">
        <v>10</v>
      </c>
      <c r="V123" s="113" t="s">
        <v>0</v>
      </c>
    </row>
    <row r="124" spans="3:23" x14ac:dyDescent="0.2">
      <c r="C124" s="24"/>
      <c r="D124" s="24" t="s">
        <v>49</v>
      </c>
      <c r="E124" s="24"/>
      <c r="F124" s="24" t="s">
        <v>50</v>
      </c>
      <c r="G124" s="2"/>
      <c r="H124" s="66"/>
      <c r="I124" s="67"/>
      <c r="J124" s="2"/>
      <c r="K124" s="24"/>
      <c r="L124" s="24"/>
      <c r="M124" s="24"/>
      <c r="N124" s="24"/>
      <c r="O124" s="24"/>
      <c r="P124" s="2"/>
      <c r="Q124" s="25">
        <f t="shared" ref="Q124:U125" si="34">Q90*business_case_dollars</f>
        <v>1711770.9414533672</v>
      </c>
      <c r="R124" s="25">
        <f t="shared" si="34"/>
        <v>211008.23776058672</v>
      </c>
      <c r="S124" s="25">
        <f t="shared" si="34"/>
        <v>15024320.726624055</v>
      </c>
      <c r="T124" s="25">
        <f t="shared" si="34"/>
        <v>3895194.2624580879</v>
      </c>
      <c r="U124" s="25">
        <f t="shared" si="34"/>
        <v>0</v>
      </c>
      <c r="V124" s="72">
        <f t="shared" ref="V124:V125" si="35">SUM(Q124:U124)</f>
        <v>20842294.168296099</v>
      </c>
    </row>
    <row r="125" spans="3:23" x14ac:dyDescent="0.2">
      <c r="D125" s="1" t="s">
        <v>45</v>
      </c>
      <c r="F125" s="1" t="s">
        <v>50</v>
      </c>
      <c r="G125" s="2"/>
      <c r="J125" s="2"/>
      <c r="P125" s="2"/>
      <c r="Q125" s="112">
        <f t="shared" si="34"/>
        <v>0</v>
      </c>
      <c r="R125" s="112">
        <f t="shared" si="34"/>
        <v>0</v>
      </c>
      <c r="S125" s="112">
        <f t="shared" si="34"/>
        <v>0</v>
      </c>
      <c r="T125" s="112">
        <f t="shared" si="34"/>
        <v>0</v>
      </c>
      <c r="U125" s="112">
        <f t="shared" si="34"/>
        <v>0</v>
      </c>
      <c r="V125" s="72">
        <f t="shared" si="35"/>
        <v>0</v>
      </c>
    </row>
    <row r="126" spans="3:23" x14ac:dyDescent="0.2">
      <c r="C126" s="21" t="s">
        <v>70</v>
      </c>
      <c r="D126" s="21"/>
      <c r="E126" s="102"/>
      <c r="F126" s="103"/>
      <c r="G126" s="2"/>
      <c r="H126" s="103"/>
      <c r="I126" s="105"/>
      <c r="J126" s="104"/>
      <c r="K126" s="102"/>
      <c r="L126" s="102"/>
      <c r="M126" s="102"/>
      <c r="N126" s="102"/>
      <c r="O126" s="102"/>
      <c r="P126" s="2"/>
      <c r="Q126" s="22">
        <f>SUM(Q124:Q125)</f>
        <v>1711770.9414533672</v>
      </c>
      <c r="R126" s="22">
        <f t="shared" ref="R126:V126" si="36">SUM(R124:R125)</f>
        <v>211008.23776058672</v>
      </c>
      <c r="S126" s="22">
        <f t="shared" si="36"/>
        <v>15024320.726624055</v>
      </c>
      <c r="T126" s="22">
        <f t="shared" si="36"/>
        <v>3895194.2624580879</v>
      </c>
      <c r="U126" s="22">
        <f t="shared" si="36"/>
        <v>0</v>
      </c>
      <c r="V126" s="22">
        <f t="shared" si="36"/>
        <v>20842294.168296099</v>
      </c>
    </row>
    <row r="127" spans="3:23" x14ac:dyDescent="0.2">
      <c r="C127" s="4"/>
      <c r="D127" s="1" t="s">
        <v>49</v>
      </c>
      <c r="F127" s="1" t="s">
        <v>46</v>
      </c>
      <c r="G127" s="2"/>
      <c r="H127" s="68"/>
      <c r="J127" s="2"/>
      <c r="P127" s="2"/>
      <c r="Q127" s="6">
        <f t="shared" ref="Q127:U128" si="37">Q93*business_case_dollars</f>
        <v>0</v>
      </c>
      <c r="R127" s="6">
        <f t="shared" si="37"/>
        <v>0</v>
      </c>
      <c r="S127" s="6">
        <f t="shared" si="37"/>
        <v>0</v>
      </c>
      <c r="T127" s="6">
        <f t="shared" si="37"/>
        <v>0</v>
      </c>
      <c r="U127" s="6">
        <f t="shared" si="37"/>
        <v>1266049.4265635202</v>
      </c>
      <c r="V127" s="72">
        <f t="shared" ref="V127:V128" si="38">SUM(Q127:U127)</f>
        <v>1266049.4265635202</v>
      </c>
    </row>
    <row r="128" spans="3:23" x14ac:dyDescent="0.2">
      <c r="C128" s="4"/>
      <c r="D128" s="1" t="s">
        <v>45</v>
      </c>
      <c r="F128" s="1" t="s">
        <v>46</v>
      </c>
      <c r="G128" s="2"/>
      <c r="H128" s="68"/>
      <c r="J128" s="2"/>
      <c r="P128" s="2"/>
      <c r="Q128" s="6">
        <f t="shared" si="37"/>
        <v>0</v>
      </c>
      <c r="R128" s="6">
        <f t="shared" si="37"/>
        <v>0</v>
      </c>
      <c r="S128" s="6">
        <f t="shared" si="37"/>
        <v>0</v>
      </c>
      <c r="T128" s="6">
        <f t="shared" si="37"/>
        <v>0</v>
      </c>
      <c r="U128" s="6">
        <f t="shared" si="37"/>
        <v>0</v>
      </c>
      <c r="V128" s="72">
        <f t="shared" si="38"/>
        <v>0</v>
      </c>
    </row>
    <row r="129" spans="3:23" x14ac:dyDescent="0.2">
      <c r="C129" s="21" t="s">
        <v>71</v>
      </c>
      <c r="D129" s="21"/>
      <c r="E129" s="102"/>
      <c r="F129" s="103"/>
      <c r="G129" s="2"/>
      <c r="H129" s="103"/>
      <c r="I129" s="105"/>
      <c r="J129" s="104"/>
      <c r="K129" s="102"/>
      <c r="L129" s="102"/>
      <c r="M129" s="102"/>
      <c r="N129" s="102"/>
      <c r="O129" s="102"/>
      <c r="P129" s="2"/>
      <c r="Q129" s="22">
        <f>SUM(Q127:Q128)</f>
        <v>0</v>
      </c>
      <c r="R129" s="22">
        <f t="shared" ref="R129:V129" si="39">SUM(R127:R128)</f>
        <v>0</v>
      </c>
      <c r="S129" s="22">
        <f t="shared" si="39"/>
        <v>0</v>
      </c>
      <c r="T129" s="22">
        <f t="shared" si="39"/>
        <v>0</v>
      </c>
      <c r="U129" s="22">
        <f t="shared" si="39"/>
        <v>1266049.4265635202</v>
      </c>
      <c r="V129" s="22">
        <f t="shared" si="39"/>
        <v>1266049.4265635202</v>
      </c>
    </row>
    <row r="130" spans="3:23" x14ac:dyDescent="0.2">
      <c r="C130" s="4"/>
      <c r="D130" s="4"/>
      <c r="F130" s="68"/>
      <c r="G130" s="2"/>
      <c r="H130" s="68"/>
      <c r="J130" s="2"/>
      <c r="P130" s="2"/>
      <c r="Q130" s="23"/>
      <c r="R130" s="23"/>
      <c r="S130" s="23"/>
      <c r="T130" s="23"/>
      <c r="U130" s="23"/>
      <c r="V130" s="23"/>
    </row>
    <row r="131" spans="3:23" x14ac:dyDescent="0.2">
      <c r="C131" s="7" t="str">
        <f>"Total Expenditure ($ "&amp;Assumptions!$C$35&amp;")"</f>
        <v>Total Expenditure ($ June 2026)</v>
      </c>
      <c r="D131" s="7"/>
      <c r="E131" s="7"/>
      <c r="F131" s="7"/>
      <c r="G131" s="2"/>
      <c r="H131" s="7"/>
      <c r="I131" s="10"/>
      <c r="J131" s="2"/>
      <c r="K131" s="7"/>
      <c r="L131" s="7"/>
      <c r="M131" s="7"/>
      <c r="N131" s="7"/>
      <c r="O131" s="7"/>
      <c r="P131" s="2"/>
      <c r="Q131" s="8">
        <f>Q126+Q129</f>
        <v>1711770.9414533672</v>
      </c>
      <c r="R131" s="8">
        <f t="shared" ref="R131:U131" si="40">R126+R129</f>
        <v>211008.23776058672</v>
      </c>
      <c r="S131" s="8">
        <f t="shared" si="40"/>
        <v>15024320.726624055</v>
      </c>
      <c r="T131" s="8">
        <f t="shared" si="40"/>
        <v>3895194.2624580879</v>
      </c>
      <c r="U131" s="8">
        <f t="shared" si="40"/>
        <v>1266049.4265635202</v>
      </c>
      <c r="V131" s="73">
        <f t="shared" ref="V131" si="41">SUM(Q131:U131)</f>
        <v>22108343.594859619</v>
      </c>
    </row>
    <row r="132" spans="3:23" x14ac:dyDescent="0.2">
      <c r="C132" s="45" t="s">
        <v>69</v>
      </c>
      <c r="D132" s="45"/>
      <c r="E132" s="45"/>
      <c r="F132" s="45"/>
      <c r="G132" s="2"/>
      <c r="H132" s="45"/>
      <c r="I132" s="45"/>
      <c r="J132" s="2"/>
      <c r="K132" s="45"/>
      <c r="L132" s="45"/>
      <c r="M132" s="45"/>
      <c r="N132" s="45"/>
      <c r="O132" s="45"/>
      <c r="P132" s="2"/>
      <c r="Q132" s="46">
        <f>Q131-SUM(Q$10:Q$64)*business_case_dollars</f>
        <v>0</v>
      </c>
      <c r="R132" s="46">
        <f>R131-SUM(R$10:R$64)*business_case_dollars</f>
        <v>0</v>
      </c>
      <c r="S132" s="46">
        <f>S131-SUM(S$10:S$64)*business_case_dollars</f>
        <v>0</v>
      </c>
      <c r="T132" s="46">
        <f>T131-SUM(T$10:T$64)*business_case_dollars</f>
        <v>0</v>
      </c>
      <c r="U132" s="46">
        <f>U131-SUM(U$10:U$64)*business_case_dollars</f>
        <v>0</v>
      </c>
      <c r="V132" s="46">
        <f>V131-SUM(Q$10:U$64)*business_case_dollars</f>
        <v>0</v>
      </c>
      <c r="W132" s="46">
        <f>SUM(Q132:V132)</f>
        <v>0</v>
      </c>
    </row>
  </sheetData>
  <conditionalFormatting sqref="H10:H64">
    <cfRule type="expression" dxfId="10" priority="11">
      <formula>$E10="Contracts"</formula>
    </cfRule>
    <cfRule type="expression" dxfId="9" priority="12">
      <formula>$E10="Materials"</formula>
    </cfRule>
    <cfRule type="expression" dxfId="8" priority="13">
      <formula>$E10="Labour"</formula>
    </cfRule>
  </conditionalFormatting>
  <conditionalFormatting sqref="Q84:V84">
    <cfRule type="expression" dxfId="7" priority="7">
      <formula>ABS(Q84)&gt;0.001</formula>
    </cfRule>
  </conditionalFormatting>
  <conditionalFormatting sqref="Q98:V101">
    <cfRule type="expression" dxfId="6" priority="4">
      <formula>ABS(Q98)&gt;0.001</formula>
    </cfRule>
  </conditionalFormatting>
  <conditionalFormatting sqref="Q119:V119">
    <cfRule type="expression" dxfId="5" priority="8">
      <formula>ABS(Q119)&gt;0.001</formula>
    </cfRule>
  </conditionalFormatting>
  <conditionalFormatting sqref="Q132:V132">
    <cfRule type="expression" dxfId="4" priority="1">
      <formula>ABS(Q132)&gt;0.001</formula>
    </cfRule>
  </conditionalFormatting>
  <conditionalFormatting sqref="W84">
    <cfRule type="expression" dxfId="3" priority="17">
      <formula>ABS(W84)&gt;0.001</formula>
    </cfRule>
  </conditionalFormatting>
  <conditionalFormatting sqref="W98:W101">
    <cfRule type="expression" dxfId="2" priority="5">
      <formula>ABS(W98)&gt;0.001</formula>
    </cfRule>
  </conditionalFormatting>
  <conditionalFormatting sqref="W119">
    <cfRule type="expression" dxfId="1" priority="9">
      <formula>ABS(W119)&gt;0.001</formula>
    </cfRule>
  </conditionalFormatting>
  <conditionalFormatting sqref="W132">
    <cfRule type="expression" dxfId="0" priority="2">
      <formula>ABS(W132)&gt;0.001</formula>
    </cfRule>
  </conditionalFormatting>
  <dataValidations count="3">
    <dataValidation type="list" allowBlank="1" showInputMessage="1" showErrorMessage="1" sqref="F10:F64" xr:uid="{0056677F-06F0-4171-A788-E9800796D01C}">
      <formula1>"Recurrent, Non recurrent"</formula1>
    </dataValidation>
    <dataValidation type="list" allowBlank="1" showInputMessage="1" showErrorMessage="1" sqref="D10:D64" xr:uid="{0BC2CCE9-8E5A-4443-BD56-40A8A3B5E164}">
      <formula1>"Capex, Opex"</formula1>
    </dataValidation>
    <dataValidation type="list" allowBlank="1" showInputMessage="1" showErrorMessage="1" sqref="E10:E64" xr:uid="{848BAEEB-C269-4A94-BE6C-51088AD2356E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Cover</vt:lpstr>
      <vt:lpstr>CitiPower summary</vt:lpstr>
      <vt:lpstr>Project summary</vt:lpstr>
      <vt:lpstr>Assumptions</vt:lpstr>
      <vt:lpstr>Option 1</vt:lpstr>
      <vt:lpstr>Option 2</vt:lpstr>
      <vt:lpstr>Option 3</vt:lpstr>
      <vt:lpstr>Business</vt:lpstr>
      <vt:lpstr>business_case_dollars</vt:lpstr>
      <vt:lpstr>'Project summary'!Print_Area</vt:lpstr>
      <vt:lpstr>Project_name</vt:lpstr>
      <vt:lpstr>Real_Discount_rate</vt:lpstr>
      <vt:lpstr>'Option 1'!years</vt:lpstr>
      <vt:lpstr>'Option 2'!years</vt:lpstr>
      <vt:lpstr>'Option 3'!years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2025-01-21T03:42:16Z</dcterms:created>
  <dcterms:modified xsi:type="dcterms:W3CDTF">2025-01-21T03:56:58Z</dcterms:modified>
  <cp:category/>
  <cp:contentStatus/>
</cp:coreProperties>
</file>