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1B1BBFFF-DFDB-4C10-9C39-246A870DD9B6}" xr6:coauthVersionLast="47" xr6:coauthVersionMax="47" xr10:uidLastSave="{00000000-0000-0000-0000-000000000000}"/>
  <bookViews>
    <workbookView xWindow="-28920" yWindow="-120" windowWidth="29040" windowHeight="15720" tabRatio="896" activeTab="3" xr2:uid="{00000000-000D-0000-FFFF-FFFF00000000}"/>
  </bookViews>
  <sheets>
    <sheet name="Cover" sheetId="92" r:id="rId1"/>
    <sheet name="CitiPower summary" sheetId="93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3" l="1"/>
  <c r="H33" i="93"/>
  <c r="I33" i="93"/>
  <c r="J33" i="93"/>
  <c r="G34" i="93"/>
  <c r="K34" i="93" s="1"/>
  <c r="H34" i="93"/>
  <c r="I34" i="93"/>
  <c r="J34" i="93"/>
  <c r="I36" i="93"/>
  <c r="J36" i="93"/>
  <c r="F34" i="93"/>
  <c r="F33" i="93"/>
  <c r="K33" i="93" s="1"/>
  <c r="G22" i="93"/>
  <c r="H22" i="93"/>
  <c r="H25" i="93" s="1"/>
  <c r="I22" i="93"/>
  <c r="J22" i="93"/>
  <c r="G23" i="93"/>
  <c r="H23" i="93"/>
  <c r="I23" i="93"/>
  <c r="K23" i="93" s="1"/>
  <c r="J23" i="93"/>
  <c r="G25" i="93"/>
  <c r="I25" i="93"/>
  <c r="J25" i="93"/>
  <c r="F23" i="93"/>
  <c r="F22" i="93"/>
  <c r="F16" i="93"/>
  <c r="J14" i="93"/>
  <c r="I14" i="93"/>
  <c r="J12" i="93"/>
  <c r="I12" i="93"/>
  <c r="H12" i="93"/>
  <c r="H14" i="93" s="1"/>
  <c r="G12" i="93"/>
  <c r="G14" i="93" s="1"/>
  <c r="J11" i="93"/>
  <c r="I11" i="93"/>
  <c r="H11" i="93"/>
  <c r="G11" i="93"/>
  <c r="F12" i="93"/>
  <c r="K12" i="93" s="1"/>
  <c r="F11" i="93"/>
  <c r="H36" i="93"/>
  <c r="G36" i="93"/>
  <c r="K22" i="93"/>
  <c r="F14" i="93"/>
  <c r="K11" i="93"/>
  <c r="D6" i="93"/>
  <c r="A3" i="93"/>
  <c r="A1" i="93"/>
  <c r="C121" i="79"/>
  <c r="C121" i="90"/>
  <c r="C121" i="89"/>
  <c r="D6" i="92" a="1"/>
  <c r="D6" i="92" s="1"/>
  <c r="C5" i="92" a="1"/>
  <c r="C5" i="92" s="1"/>
  <c r="K12" i="90"/>
  <c r="K10" i="90"/>
  <c r="L13" i="90"/>
  <c r="L12" i="90"/>
  <c r="L11" i="90"/>
  <c r="L10" i="90"/>
  <c r="K12" i="89"/>
  <c r="K10" i="89"/>
  <c r="L15" i="89"/>
  <c r="L14" i="89"/>
  <c r="L13" i="89"/>
  <c r="L12" i="89"/>
  <c r="L11" i="89"/>
  <c r="L10" i="89"/>
  <c r="M10" i="89"/>
  <c r="M12" i="89"/>
  <c r="K24" i="93" l="1"/>
  <c r="K25" i="93"/>
  <c r="F25" i="93"/>
  <c r="F27" i="93" s="1"/>
  <c r="K13" i="93"/>
  <c r="K14" i="93"/>
  <c r="O12" i="79"/>
  <c r="N12" i="79"/>
  <c r="M12" i="79"/>
  <c r="L12" i="79"/>
  <c r="K12" i="79"/>
  <c r="F36" i="93" l="1"/>
  <c r="F38" i="93" s="1"/>
  <c r="K35" i="93"/>
  <c r="K36" i="93" s="1"/>
  <c r="K19" i="90"/>
  <c r="K23" i="89"/>
  <c r="O11" i="79" l="1"/>
  <c r="N11" i="79"/>
  <c r="M11" i="79"/>
  <c r="L11" i="79"/>
  <c r="K11" i="79"/>
  <c r="O10" i="79"/>
  <c r="O13" i="79" s="1"/>
  <c r="N10" i="79"/>
  <c r="N13" i="79" s="1"/>
  <c r="M10" i="79"/>
  <c r="M13" i="79" s="1"/>
  <c r="L10" i="79"/>
  <c r="L13" i="79" s="1"/>
  <c r="K10" i="79"/>
  <c r="K13" i="79" s="1"/>
  <c r="O12" i="89"/>
  <c r="N12" i="89"/>
  <c r="O10" i="89"/>
  <c r="N10" i="89"/>
  <c r="O12" i="90"/>
  <c r="N12" i="90"/>
  <c r="M12" i="90"/>
  <c r="O10" i="90"/>
  <c r="N10" i="90"/>
  <c r="M10" i="90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I30" i="90"/>
  <c r="H30" i="90"/>
  <c r="I29" i="90"/>
  <c r="U28" i="90"/>
  <c r="T28" i="90"/>
  <c r="S28" i="90"/>
  <c r="R28" i="90"/>
  <c r="Q28" i="90"/>
  <c r="I28" i="90"/>
  <c r="H28" i="90"/>
  <c r="U27" i="90"/>
  <c r="U70" i="90" s="1"/>
  <c r="T27" i="90"/>
  <c r="T70" i="90" s="1"/>
  <c r="S27" i="90"/>
  <c r="S70" i="90" s="1"/>
  <c r="R27" i="90"/>
  <c r="R70" i="90" s="1"/>
  <c r="Q27" i="90"/>
  <c r="Q70" i="90" s="1"/>
  <c r="I27" i="90"/>
  <c r="H27" i="90"/>
  <c r="T26" i="90"/>
  <c r="T63" i="90" s="1"/>
  <c r="S26" i="90"/>
  <c r="S63" i="90" s="1"/>
  <c r="R26" i="90"/>
  <c r="R63" i="90" s="1"/>
  <c r="Q26" i="90"/>
  <c r="Q63" i="90" s="1"/>
  <c r="I26" i="90"/>
  <c r="H26" i="90"/>
  <c r="U26" i="90" s="1"/>
  <c r="U63" i="90" s="1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I20" i="90"/>
  <c r="H20" i="90"/>
  <c r="U20" i="90" s="1"/>
  <c r="U66" i="90" s="1"/>
  <c r="I19" i="90"/>
  <c r="I18" i="90"/>
  <c r="R17" i="90"/>
  <c r="I17" i="90"/>
  <c r="H17" i="90"/>
  <c r="U16" i="90"/>
  <c r="T16" i="90"/>
  <c r="S16" i="90"/>
  <c r="R16" i="90"/>
  <c r="Q16" i="90"/>
  <c r="I16" i="90"/>
  <c r="H16" i="90"/>
  <c r="U15" i="90"/>
  <c r="T15" i="90"/>
  <c r="S15" i="90"/>
  <c r="R15" i="90"/>
  <c r="I15" i="90"/>
  <c r="H15" i="90"/>
  <c r="Q15" i="90" s="1"/>
  <c r="I14" i="90"/>
  <c r="I13" i="90"/>
  <c r="I12" i="90"/>
  <c r="I11" i="90"/>
  <c r="I10" i="90"/>
  <c r="A5" i="90"/>
  <c r="W3" i="90"/>
  <c r="A2" i="90"/>
  <c r="A1" i="90"/>
  <c r="C110" i="89"/>
  <c r="C108" i="89"/>
  <c r="C87" i="89"/>
  <c r="C76" i="89"/>
  <c r="C73" i="89"/>
  <c r="S70" i="89"/>
  <c r="U54" i="89"/>
  <c r="T54" i="89"/>
  <c r="S54" i="89"/>
  <c r="R54" i="89"/>
  <c r="Q54" i="89"/>
  <c r="I54" i="89"/>
  <c r="H54" i="89"/>
  <c r="U53" i="89"/>
  <c r="T53" i="89"/>
  <c r="S53" i="89"/>
  <c r="R53" i="89"/>
  <c r="Q53" i="89"/>
  <c r="I53" i="89"/>
  <c r="H53" i="89"/>
  <c r="U52" i="89"/>
  <c r="T52" i="89"/>
  <c r="S52" i="89"/>
  <c r="R52" i="89"/>
  <c r="Q52" i="89"/>
  <c r="I52" i="89"/>
  <c r="H52" i="89"/>
  <c r="U51" i="89"/>
  <c r="T51" i="89"/>
  <c r="S51" i="89"/>
  <c r="R51" i="89"/>
  <c r="Q51" i="89"/>
  <c r="I51" i="89"/>
  <c r="H51" i="89"/>
  <c r="U50" i="89"/>
  <c r="T50" i="89"/>
  <c r="S50" i="89"/>
  <c r="R50" i="89"/>
  <c r="Q50" i="89"/>
  <c r="I50" i="89"/>
  <c r="H50" i="89"/>
  <c r="U49" i="89"/>
  <c r="T49" i="89"/>
  <c r="S49" i="89"/>
  <c r="R49" i="89"/>
  <c r="Q49" i="89"/>
  <c r="I49" i="89"/>
  <c r="H49" i="89"/>
  <c r="U48" i="89"/>
  <c r="T48" i="89"/>
  <c r="S48" i="89"/>
  <c r="R48" i="89"/>
  <c r="Q48" i="89"/>
  <c r="I48" i="89"/>
  <c r="H48" i="89"/>
  <c r="U47" i="89"/>
  <c r="T47" i="89"/>
  <c r="S47" i="89"/>
  <c r="R47" i="89"/>
  <c r="Q47" i="89"/>
  <c r="I47" i="89"/>
  <c r="H47" i="89"/>
  <c r="U46" i="89"/>
  <c r="T46" i="89"/>
  <c r="S46" i="89"/>
  <c r="R46" i="89"/>
  <c r="Q46" i="89"/>
  <c r="I46" i="89"/>
  <c r="H46" i="89"/>
  <c r="U45" i="89"/>
  <c r="T45" i="89"/>
  <c r="S45" i="89"/>
  <c r="R45" i="89"/>
  <c r="Q45" i="89"/>
  <c r="I45" i="89"/>
  <c r="H45" i="89"/>
  <c r="U44" i="89"/>
  <c r="T44" i="89"/>
  <c r="S44" i="89"/>
  <c r="R44" i="89"/>
  <c r="Q44" i="89"/>
  <c r="I44" i="89"/>
  <c r="H44" i="89"/>
  <c r="U43" i="89"/>
  <c r="T43" i="89"/>
  <c r="S43" i="89"/>
  <c r="R43" i="89"/>
  <c r="Q43" i="89"/>
  <c r="I43" i="89"/>
  <c r="H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U40" i="89"/>
  <c r="T40" i="89"/>
  <c r="S40" i="89"/>
  <c r="R40" i="89"/>
  <c r="Q40" i="89"/>
  <c r="I40" i="89"/>
  <c r="H40" i="89"/>
  <c r="I39" i="89"/>
  <c r="H39" i="89"/>
  <c r="I38" i="89"/>
  <c r="H38" i="89"/>
  <c r="U37" i="89"/>
  <c r="T37" i="89"/>
  <c r="S37" i="89"/>
  <c r="R37" i="89"/>
  <c r="Q37" i="89"/>
  <c r="I37" i="89"/>
  <c r="H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U34" i="89"/>
  <c r="T34" i="89"/>
  <c r="S34" i="89"/>
  <c r="R34" i="89"/>
  <c r="Q34" i="89"/>
  <c r="I34" i="89"/>
  <c r="H34" i="89"/>
  <c r="R33" i="89"/>
  <c r="Q33" i="89"/>
  <c r="I33" i="89"/>
  <c r="H33" i="89"/>
  <c r="U33" i="89" s="1"/>
  <c r="I32" i="89"/>
  <c r="H32" i="89"/>
  <c r="U32" i="89" s="1"/>
  <c r="U31" i="89"/>
  <c r="T31" i="89"/>
  <c r="S31" i="89"/>
  <c r="R31" i="89"/>
  <c r="Q31" i="89"/>
  <c r="I31" i="89"/>
  <c r="H31" i="89"/>
  <c r="U30" i="89"/>
  <c r="T30" i="89"/>
  <c r="S30" i="89"/>
  <c r="R30" i="89"/>
  <c r="Q30" i="89"/>
  <c r="I30" i="89"/>
  <c r="H30" i="89"/>
  <c r="I29" i="89"/>
  <c r="U28" i="89"/>
  <c r="T28" i="89"/>
  <c r="S28" i="89"/>
  <c r="R28" i="89"/>
  <c r="Q28" i="89"/>
  <c r="I28" i="89"/>
  <c r="H28" i="89"/>
  <c r="U27" i="89"/>
  <c r="U70" i="89" s="1"/>
  <c r="T27" i="89"/>
  <c r="T70" i="89" s="1"/>
  <c r="S27" i="89"/>
  <c r="R27" i="89"/>
  <c r="R70" i="89" s="1"/>
  <c r="Q27" i="89"/>
  <c r="Q70" i="89" s="1"/>
  <c r="I27" i="89"/>
  <c r="H27" i="89"/>
  <c r="U26" i="89"/>
  <c r="T26" i="89"/>
  <c r="S26" i="89"/>
  <c r="R26" i="89"/>
  <c r="Q26" i="89"/>
  <c r="I26" i="89"/>
  <c r="H26" i="89"/>
  <c r="I25" i="89"/>
  <c r="H25" i="89"/>
  <c r="Q25" i="89" s="1"/>
  <c r="U24" i="89"/>
  <c r="T24" i="89"/>
  <c r="R24" i="89"/>
  <c r="Q24" i="89"/>
  <c r="I24" i="89"/>
  <c r="H24" i="89"/>
  <c r="S24" i="89" s="1"/>
  <c r="U23" i="89"/>
  <c r="T23" i="89"/>
  <c r="S23" i="89"/>
  <c r="R23" i="89"/>
  <c r="Q23" i="89"/>
  <c r="I23" i="89"/>
  <c r="H23" i="89"/>
  <c r="I22" i="89"/>
  <c r="I21" i="89"/>
  <c r="H21" i="89"/>
  <c r="U20" i="89"/>
  <c r="U66" i="89" s="1"/>
  <c r="T20" i="89"/>
  <c r="T66" i="89" s="1"/>
  <c r="S20" i="89"/>
  <c r="S66" i="89" s="1"/>
  <c r="R20" i="89"/>
  <c r="R66" i="89" s="1"/>
  <c r="Q20" i="89"/>
  <c r="Q66" i="89" s="1"/>
  <c r="I20" i="89"/>
  <c r="H20" i="89"/>
  <c r="I19" i="89"/>
  <c r="U18" i="89"/>
  <c r="T18" i="89"/>
  <c r="S18" i="89"/>
  <c r="S67" i="89" s="1"/>
  <c r="R18" i="89"/>
  <c r="Q18" i="89"/>
  <c r="Q67" i="89" s="1"/>
  <c r="I18" i="89"/>
  <c r="H18" i="89"/>
  <c r="U17" i="89"/>
  <c r="T17" i="89"/>
  <c r="R17" i="89"/>
  <c r="Q17" i="89"/>
  <c r="I17" i="89"/>
  <c r="H17" i="89"/>
  <c r="S17" i="89" s="1"/>
  <c r="I16" i="89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A2" i="89"/>
  <c r="A1" i="89"/>
  <c r="C87" i="79"/>
  <c r="U61" i="79"/>
  <c r="T61" i="79"/>
  <c r="S61" i="79"/>
  <c r="R61" i="79"/>
  <c r="Q61" i="79"/>
  <c r="T30" i="90" l="1"/>
  <c r="T17" i="90"/>
  <c r="U30" i="90"/>
  <c r="Q30" i="90"/>
  <c r="R30" i="90"/>
  <c r="S30" i="90"/>
  <c r="U38" i="89"/>
  <c r="Q38" i="89"/>
  <c r="U21" i="89"/>
  <c r="T21" i="89"/>
  <c r="Q21" i="89"/>
  <c r="R38" i="89"/>
  <c r="S38" i="89"/>
  <c r="T38" i="89"/>
  <c r="Q32" i="89"/>
  <c r="R32" i="89"/>
  <c r="S32" i="89"/>
  <c r="T32" i="89"/>
  <c r="U39" i="89"/>
  <c r="Q39" i="89"/>
  <c r="R39" i="89"/>
  <c r="S39" i="89"/>
  <c r="T39" i="89"/>
  <c r="S33" i="89"/>
  <c r="T33" i="89"/>
  <c r="R20" i="90"/>
  <c r="R66" i="90" s="1"/>
  <c r="S20" i="90"/>
  <c r="S66" i="90" s="1"/>
  <c r="Q20" i="90"/>
  <c r="Q66" i="90" s="1"/>
  <c r="T20" i="90"/>
  <c r="T66" i="90" s="1"/>
  <c r="R21" i="89"/>
  <c r="S21" i="89"/>
  <c r="R67" i="89"/>
  <c r="T67" i="89"/>
  <c r="U67" i="89"/>
  <c r="R25" i="89"/>
  <c r="S25" i="89"/>
  <c r="T25" i="89"/>
  <c r="U25" i="89"/>
  <c r="Q17" i="90"/>
  <c r="S17" i="90"/>
  <c r="U17" i="90"/>
  <c r="S61" i="89"/>
  <c r="R62" i="90"/>
  <c r="R61" i="90"/>
  <c r="S61" i="90"/>
  <c r="U62" i="90"/>
  <c r="S62" i="90"/>
  <c r="Q62" i="90"/>
  <c r="Q69" i="89"/>
  <c r="T83" i="90"/>
  <c r="R69" i="89"/>
  <c r="Q69" i="90"/>
  <c r="U83" i="90"/>
  <c r="S83" i="90"/>
  <c r="V63" i="90"/>
  <c r="V70" i="90"/>
  <c r="T62" i="90"/>
  <c r="R69" i="90"/>
  <c r="S69" i="90"/>
  <c r="T69" i="90"/>
  <c r="U69" i="90"/>
  <c r="Q83" i="90"/>
  <c r="R83" i="90"/>
  <c r="V66" i="89"/>
  <c r="V70" i="89"/>
  <c r="S69" i="89"/>
  <c r="T69" i="89"/>
  <c r="U69" i="89"/>
  <c r="V66" i="90" l="1"/>
  <c r="V67" i="89"/>
  <c r="V69" i="89"/>
  <c r="V69" i="90"/>
  <c r="V83" i="90"/>
  <c r="V62" i="90"/>
  <c r="B14" i="74"/>
  <c r="H18" i="90" l="1"/>
  <c r="H14" i="90"/>
  <c r="H22" i="89"/>
  <c r="H16" i="89"/>
  <c r="H29" i="90"/>
  <c r="H11" i="90"/>
  <c r="H19" i="90"/>
  <c r="H10" i="90"/>
  <c r="H13" i="89"/>
  <c r="H11" i="89"/>
  <c r="H29" i="89"/>
  <c r="H12" i="89"/>
  <c r="H10" i="89"/>
  <c r="H12" i="90"/>
  <c r="H19" i="89"/>
  <c r="H13" i="90"/>
  <c r="C50" i="82"/>
  <c r="C35" i="82"/>
  <c r="C20" i="82"/>
  <c r="A3" i="82"/>
  <c r="S16" i="89" l="1"/>
  <c r="Q16" i="89"/>
  <c r="R16" i="89"/>
  <c r="R61" i="89" s="1"/>
  <c r="T16" i="89"/>
  <c r="T61" i="89" s="1"/>
  <c r="U16" i="89"/>
  <c r="U61" i="89" s="1"/>
  <c r="U22" i="89"/>
  <c r="N22" i="89"/>
  <c r="K22" i="89"/>
  <c r="Q22" i="89"/>
  <c r="S22" i="89"/>
  <c r="T22" i="89"/>
  <c r="R22" i="89"/>
  <c r="U14" i="90"/>
  <c r="U61" i="90" s="1"/>
  <c r="Q14" i="90"/>
  <c r="Q61" i="90" s="1"/>
  <c r="R14" i="90"/>
  <c r="S14" i="90"/>
  <c r="T14" i="90"/>
  <c r="T61" i="90" s="1"/>
  <c r="N18" i="90"/>
  <c r="K18" i="90"/>
  <c r="Q18" i="90" s="1"/>
  <c r="Q67" i="90" s="1"/>
  <c r="R18" i="90"/>
  <c r="R67" i="90" s="1"/>
  <c r="S18" i="90"/>
  <c r="S67" i="90" s="1"/>
  <c r="T18" i="90"/>
  <c r="T67" i="90" s="1"/>
  <c r="U18" i="90"/>
  <c r="U67" i="90" s="1"/>
  <c r="Q29" i="89"/>
  <c r="Q63" i="89" s="1"/>
  <c r="U29" i="89"/>
  <c r="U63" i="89" s="1"/>
  <c r="S29" i="89"/>
  <c r="S63" i="89" s="1"/>
  <c r="T29" i="89"/>
  <c r="T63" i="89" s="1"/>
  <c r="R29" i="89"/>
  <c r="R63" i="89" s="1"/>
  <c r="T11" i="89"/>
  <c r="U11" i="89"/>
  <c r="Q11" i="89"/>
  <c r="R11" i="89"/>
  <c r="S11" i="89"/>
  <c r="U13" i="89"/>
  <c r="R13" i="89"/>
  <c r="Q13" i="89"/>
  <c r="S13" i="89"/>
  <c r="T13" i="89"/>
  <c r="U12" i="89"/>
  <c r="Q12" i="89"/>
  <c r="R12" i="89"/>
  <c r="S12" i="89"/>
  <c r="T12" i="89"/>
  <c r="T19" i="89"/>
  <c r="U19" i="89"/>
  <c r="R19" i="89"/>
  <c r="S19" i="89"/>
  <c r="Q19" i="89"/>
  <c r="T19" i="90"/>
  <c r="U19" i="90"/>
  <c r="S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T11" i="90"/>
  <c r="U11" i="90"/>
  <c r="S11" i="90"/>
  <c r="Q11" i="90"/>
  <c r="R11" i="90"/>
  <c r="U13" i="90"/>
  <c r="Q13" i="90"/>
  <c r="Q59" i="90" s="1"/>
  <c r="S13" i="90"/>
  <c r="S59" i="90" s="1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Q61" i="89" l="1"/>
  <c r="V61" i="89" s="1"/>
  <c r="S60" i="90"/>
  <c r="T80" i="90"/>
  <c r="T59" i="89"/>
  <c r="S59" i="89"/>
  <c r="Q59" i="89"/>
  <c r="R59" i="89"/>
  <c r="U59" i="89"/>
  <c r="Q60" i="89"/>
  <c r="T60" i="89"/>
  <c r="V67" i="90"/>
  <c r="V61" i="90"/>
  <c r="U59" i="90"/>
  <c r="T59" i="90"/>
  <c r="V63" i="89"/>
  <c r="Q62" i="89"/>
  <c r="Q83" i="89"/>
  <c r="S62" i="89"/>
  <c r="S83" i="89"/>
  <c r="U62" i="89"/>
  <c r="U83" i="89"/>
  <c r="T62" i="89"/>
  <c r="T83" i="89"/>
  <c r="R62" i="89"/>
  <c r="R83" i="89"/>
  <c r="R59" i="90"/>
  <c r="S60" i="89"/>
  <c r="R60" i="89"/>
  <c r="T80" i="89"/>
  <c r="U60" i="89"/>
  <c r="S80" i="89"/>
  <c r="U60" i="90"/>
  <c r="R60" i="90"/>
  <c r="Q60" i="90"/>
  <c r="T60" i="90"/>
  <c r="S65" i="89"/>
  <c r="S81" i="89"/>
  <c r="Q58" i="89"/>
  <c r="Q80" i="89"/>
  <c r="T58" i="89"/>
  <c r="U68" i="90"/>
  <c r="U84" i="90"/>
  <c r="S58" i="90"/>
  <c r="R65" i="89"/>
  <c r="R81" i="89"/>
  <c r="R65" i="90"/>
  <c r="R81" i="90"/>
  <c r="U65" i="89"/>
  <c r="U81" i="89"/>
  <c r="Q81" i="90"/>
  <c r="Q65" i="90"/>
  <c r="T65" i="89"/>
  <c r="T81" i="89"/>
  <c r="Q68" i="89"/>
  <c r="Q84" i="89"/>
  <c r="T68" i="90"/>
  <c r="T84" i="90"/>
  <c r="S80" i="90"/>
  <c r="U80" i="90"/>
  <c r="U58" i="90"/>
  <c r="U65" i="90"/>
  <c r="U81" i="90"/>
  <c r="T68" i="89"/>
  <c r="T84" i="89"/>
  <c r="R68" i="90"/>
  <c r="R84" i="90"/>
  <c r="Q58" i="90"/>
  <c r="Q80" i="90"/>
  <c r="T65" i="90"/>
  <c r="T81" i="90"/>
  <c r="R80" i="89"/>
  <c r="S58" i="89"/>
  <c r="S68" i="89"/>
  <c r="S84" i="89"/>
  <c r="U80" i="89"/>
  <c r="U58" i="89"/>
  <c r="S65" i="90"/>
  <c r="S81" i="90"/>
  <c r="R68" i="89"/>
  <c r="R84" i="89"/>
  <c r="S68" i="90"/>
  <c r="S84" i="90"/>
  <c r="Q68" i="90"/>
  <c r="Q84" i="90"/>
  <c r="T58" i="90"/>
  <c r="R58" i="90"/>
  <c r="R80" i="90"/>
  <c r="Q65" i="89"/>
  <c r="Q81" i="89"/>
  <c r="R58" i="89"/>
  <c r="U68" i="89"/>
  <c r="U84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10" i="79"/>
  <c r="C108" i="79"/>
  <c r="C36" i="74"/>
  <c r="C37" i="74" s="1"/>
  <c r="T82" i="90" l="1"/>
  <c r="W3" i="89"/>
  <c r="V59" i="89"/>
  <c r="V59" i="90"/>
  <c r="V83" i="89"/>
  <c r="V62" i="89"/>
  <c r="S114" i="89"/>
  <c r="V60" i="89"/>
  <c r="S82" i="89"/>
  <c r="V60" i="90"/>
  <c r="U100" i="90"/>
  <c r="U71" i="90"/>
  <c r="Q118" i="90"/>
  <c r="Q85" i="90"/>
  <c r="V84" i="90"/>
  <c r="V85" i="90" s="1"/>
  <c r="Q114" i="90"/>
  <c r="V80" i="90"/>
  <c r="Q82" i="90"/>
  <c r="U93" i="90"/>
  <c r="U64" i="90"/>
  <c r="V68" i="89"/>
  <c r="Q103" i="89"/>
  <c r="U100" i="89"/>
  <c r="U71" i="89"/>
  <c r="T93" i="89"/>
  <c r="T64" i="89"/>
  <c r="T100" i="90"/>
  <c r="T71" i="90"/>
  <c r="U118" i="89"/>
  <c r="U85" i="89"/>
  <c r="U82" i="89"/>
  <c r="U114" i="89"/>
  <c r="Q93" i="90"/>
  <c r="V58" i="90"/>
  <c r="Q64" i="90"/>
  <c r="U114" i="90"/>
  <c r="U82" i="90"/>
  <c r="T115" i="89"/>
  <c r="R115" i="90"/>
  <c r="Q114" i="89"/>
  <c r="V80" i="89"/>
  <c r="Q82" i="89"/>
  <c r="Q118" i="89"/>
  <c r="V84" i="89"/>
  <c r="Q85" i="89"/>
  <c r="U64" i="89"/>
  <c r="U93" i="89"/>
  <c r="R93" i="89"/>
  <c r="R64" i="89"/>
  <c r="S118" i="89"/>
  <c r="S85" i="89"/>
  <c r="R85" i="90"/>
  <c r="R118" i="90"/>
  <c r="S114" i="90"/>
  <c r="S82" i="90"/>
  <c r="T100" i="89"/>
  <c r="T71" i="89"/>
  <c r="R100" i="90"/>
  <c r="R71" i="90"/>
  <c r="Q93" i="89"/>
  <c r="V58" i="89"/>
  <c r="Q64" i="89"/>
  <c r="Q115" i="89"/>
  <c r="V81" i="89"/>
  <c r="S103" i="90"/>
  <c r="S103" i="89"/>
  <c r="R103" i="90"/>
  <c r="Q100" i="90"/>
  <c r="V65" i="90"/>
  <c r="Q71" i="90"/>
  <c r="R115" i="89"/>
  <c r="S115" i="89"/>
  <c r="S71" i="90"/>
  <c r="S100" i="90"/>
  <c r="U115" i="89"/>
  <c r="U103" i="89"/>
  <c r="S85" i="90"/>
  <c r="S118" i="90"/>
  <c r="V65" i="89"/>
  <c r="Q71" i="89"/>
  <c r="Q100" i="89"/>
  <c r="R118" i="89"/>
  <c r="R85" i="89"/>
  <c r="S64" i="89"/>
  <c r="S93" i="89"/>
  <c r="T118" i="89"/>
  <c r="T85" i="89"/>
  <c r="V81" i="90"/>
  <c r="Q115" i="90"/>
  <c r="R100" i="89"/>
  <c r="R71" i="89"/>
  <c r="S100" i="89"/>
  <c r="S71" i="89"/>
  <c r="S97" i="90"/>
  <c r="R96" i="79"/>
  <c r="S102" i="89"/>
  <c r="S98" i="89"/>
  <c r="T96" i="79"/>
  <c r="T95" i="89"/>
  <c r="S95" i="90"/>
  <c r="Q96" i="90"/>
  <c r="Q95" i="90"/>
  <c r="Q101" i="89"/>
  <c r="Q98" i="89"/>
  <c r="S97" i="89"/>
  <c r="R97" i="89"/>
  <c r="U96" i="79"/>
  <c r="U101" i="90"/>
  <c r="U102" i="90"/>
  <c r="S101" i="89"/>
  <c r="Q94" i="90"/>
  <c r="R97" i="90"/>
  <c r="T105" i="89"/>
  <c r="T98" i="89"/>
  <c r="U98" i="89"/>
  <c r="T101" i="90"/>
  <c r="S98" i="90"/>
  <c r="U102" i="89"/>
  <c r="Q98" i="90"/>
  <c r="Q97" i="89"/>
  <c r="Q102" i="90"/>
  <c r="Q96" i="79"/>
  <c r="S102" i="90"/>
  <c r="U105" i="89"/>
  <c r="R105" i="90"/>
  <c r="Q96" i="89"/>
  <c r="T105" i="90"/>
  <c r="U94" i="90"/>
  <c r="Q105" i="90"/>
  <c r="R105" i="89"/>
  <c r="R98" i="89"/>
  <c r="U97" i="90"/>
  <c r="T102" i="90"/>
  <c r="U96" i="90"/>
  <c r="R98" i="90"/>
  <c r="T96" i="89"/>
  <c r="T101" i="89"/>
  <c r="Q105" i="89"/>
  <c r="U98" i="90"/>
  <c r="S105" i="89"/>
  <c r="S96" i="89"/>
  <c r="Q104" i="90"/>
  <c r="U96" i="89"/>
  <c r="R102" i="90"/>
  <c r="S96" i="90"/>
  <c r="R101" i="90"/>
  <c r="T102" i="89"/>
  <c r="R102" i="89"/>
  <c r="S105" i="90"/>
  <c r="T98" i="90"/>
  <c r="Q97" i="90"/>
  <c r="Q101" i="90"/>
  <c r="Q102" i="89"/>
  <c r="S96" i="79"/>
  <c r="R96" i="89"/>
  <c r="R101" i="89"/>
  <c r="T96" i="90"/>
  <c r="U101" i="89"/>
  <c r="T97" i="89"/>
  <c r="U97" i="89"/>
  <c r="U105" i="90"/>
  <c r="S101" i="90"/>
  <c r="R96" i="90"/>
  <c r="Q95" i="89"/>
  <c r="R104" i="89"/>
  <c r="U104" i="89"/>
  <c r="T95" i="90"/>
  <c r="T117" i="90"/>
  <c r="R94" i="90"/>
  <c r="U117" i="90"/>
  <c r="T104" i="90"/>
  <c r="S104" i="90"/>
  <c r="T94" i="90"/>
  <c r="U117" i="89"/>
  <c r="R117" i="90"/>
  <c r="S117" i="89"/>
  <c r="T97" i="90"/>
  <c r="U95" i="90"/>
  <c r="U104" i="90"/>
  <c r="R117" i="89"/>
  <c r="S94" i="89"/>
  <c r="R95" i="90"/>
  <c r="U95" i="89"/>
  <c r="U94" i="89"/>
  <c r="J42" i="82" s="1"/>
  <c r="T94" i="89"/>
  <c r="Q94" i="89"/>
  <c r="T117" i="89"/>
  <c r="T104" i="89"/>
  <c r="R104" i="90"/>
  <c r="Q117" i="89"/>
  <c r="S104" i="89"/>
  <c r="Q104" i="89"/>
  <c r="S94" i="90"/>
  <c r="S117" i="90"/>
  <c r="Q117" i="90"/>
  <c r="S95" i="89"/>
  <c r="R94" i="89"/>
  <c r="R95" i="89"/>
  <c r="R103" i="89"/>
  <c r="R114" i="89"/>
  <c r="R82" i="89"/>
  <c r="T103" i="89"/>
  <c r="T85" i="90"/>
  <c r="T118" i="90"/>
  <c r="T82" i="89"/>
  <c r="S64" i="90"/>
  <c r="S93" i="90"/>
  <c r="T93" i="90"/>
  <c r="T64" i="90"/>
  <c r="U103" i="90"/>
  <c r="V68" i="90"/>
  <c r="Q103" i="90"/>
  <c r="R114" i="90"/>
  <c r="R82" i="90"/>
  <c r="R93" i="90"/>
  <c r="R64" i="90"/>
  <c r="R73" i="90" s="1"/>
  <c r="R74" i="90" s="1"/>
  <c r="S115" i="90"/>
  <c r="T115" i="90"/>
  <c r="U115" i="90"/>
  <c r="T103" i="90"/>
  <c r="T114" i="89"/>
  <c r="U118" i="90"/>
  <c r="U85" i="90"/>
  <c r="T114" i="90"/>
  <c r="T87" i="90" l="1"/>
  <c r="T88" i="90" s="1"/>
  <c r="V85" i="89"/>
  <c r="U119" i="89"/>
  <c r="S87" i="89"/>
  <c r="S88" i="89" s="1"/>
  <c r="R87" i="90"/>
  <c r="R88" i="90" s="1"/>
  <c r="T119" i="89"/>
  <c r="V64" i="89"/>
  <c r="T116" i="89"/>
  <c r="S116" i="89"/>
  <c r="G43" i="82"/>
  <c r="J47" i="82"/>
  <c r="G42" i="82"/>
  <c r="T119" i="90"/>
  <c r="G27" i="82"/>
  <c r="R116" i="90"/>
  <c r="G47" i="82"/>
  <c r="U73" i="89"/>
  <c r="U74" i="89" s="1"/>
  <c r="V103" i="90"/>
  <c r="I32" i="82"/>
  <c r="U73" i="90"/>
  <c r="U74" i="90" s="1"/>
  <c r="G28" i="82"/>
  <c r="T73" i="90"/>
  <c r="T74" i="90" s="1"/>
  <c r="V104" i="90"/>
  <c r="T116" i="90"/>
  <c r="T73" i="89"/>
  <c r="T74" i="89" s="1"/>
  <c r="V117" i="89"/>
  <c r="R73" i="89"/>
  <c r="R74" i="89" s="1"/>
  <c r="R87" i="89"/>
  <c r="R88" i="89" s="1"/>
  <c r="R119" i="89"/>
  <c r="J46" i="82"/>
  <c r="V96" i="89"/>
  <c r="H46" i="82"/>
  <c r="I43" i="82"/>
  <c r="S73" i="89"/>
  <c r="S74" i="89" s="1"/>
  <c r="I42" i="82"/>
  <c r="I46" i="82"/>
  <c r="Q87" i="89"/>
  <c r="Q88" i="89" s="1"/>
  <c r="V71" i="89"/>
  <c r="Q87" i="90"/>
  <c r="S119" i="90"/>
  <c r="V64" i="90"/>
  <c r="G31" i="82"/>
  <c r="V117" i="90"/>
  <c r="J31" i="82"/>
  <c r="I31" i="82"/>
  <c r="H32" i="82"/>
  <c r="H27" i="82"/>
  <c r="G32" i="82"/>
  <c r="Q73" i="90"/>
  <c r="F28" i="82"/>
  <c r="V95" i="90"/>
  <c r="I45" i="82"/>
  <c r="T106" i="89"/>
  <c r="R99" i="89"/>
  <c r="G41" i="82"/>
  <c r="Q116" i="90"/>
  <c r="V114" i="90"/>
  <c r="H42" i="82"/>
  <c r="I27" i="82"/>
  <c r="J32" i="82"/>
  <c r="V96" i="90"/>
  <c r="F45" i="82"/>
  <c r="Q106" i="89"/>
  <c r="V100" i="89"/>
  <c r="F41" i="82"/>
  <c r="V93" i="89"/>
  <c r="Q99" i="89"/>
  <c r="V103" i="89"/>
  <c r="F30" i="82"/>
  <c r="V100" i="90"/>
  <c r="Q106" i="90"/>
  <c r="H43" i="82"/>
  <c r="V104" i="89"/>
  <c r="V95" i="89"/>
  <c r="F43" i="82"/>
  <c r="G46" i="82"/>
  <c r="H28" i="82"/>
  <c r="T87" i="89"/>
  <c r="T88" i="89" s="1"/>
  <c r="S106" i="90"/>
  <c r="H30" i="82"/>
  <c r="S116" i="90"/>
  <c r="U99" i="89"/>
  <c r="J41" i="82"/>
  <c r="V82" i="89"/>
  <c r="F26" i="82"/>
  <c r="Q99" i="90"/>
  <c r="V93" i="90"/>
  <c r="T106" i="90"/>
  <c r="I30" i="82"/>
  <c r="Q119" i="90"/>
  <c r="V118" i="90"/>
  <c r="S106" i="89"/>
  <c r="H45" i="82"/>
  <c r="Q116" i="89"/>
  <c r="V114" i="89"/>
  <c r="G26" i="82"/>
  <c r="R99" i="90"/>
  <c r="T99" i="90"/>
  <c r="I26" i="82"/>
  <c r="F42" i="82"/>
  <c r="V94" i="89"/>
  <c r="J28" i="82"/>
  <c r="U119" i="90"/>
  <c r="H31" i="82"/>
  <c r="V105" i="89"/>
  <c r="V96" i="79"/>
  <c r="S99" i="89"/>
  <c r="H41" i="82"/>
  <c r="U116" i="89"/>
  <c r="U121" i="89" s="1"/>
  <c r="U122" i="89" s="1"/>
  <c r="T99" i="89"/>
  <c r="I41" i="82"/>
  <c r="U99" i="90"/>
  <c r="J26" i="82"/>
  <c r="U87" i="89"/>
  <c r="U88" i="89" s="1"/>
  <c r="J30" i="82"/>
  <c r="U106" i="90"/>
  <c r="V102" i="89"/>
  <c r="F47" i="82"/>
  <c r="V105" i="90"/>
  <c r="I47" i="82"/>
  <c r="R106" i="89"/>
  <c r="G45" i="82"/>
  <c r="S99" i="90"/>
  <c r="H26" i="82"/>
  <c r="R116" i="89"/>
  <c r="F31" i="82"/>
  <c r="V101" i="90"/>
  <c r="J27" i="82"/>
  <c r="V97" i="89"/>
  <c r="V98" i="89"/>
  <c r="H47" i="82"/>
  <c r="S87" i="90"/>
  <c r="S88" i="90" s="1"/>
  <c r="V115" i="89"/>
  <c r="S119" i="89"/>
  <c r="U87" i="90"/>
  <c r="U88" i="90" s="1"/>
  <c r="V102" i="90"/>
  <c r="F32" i="82"/>
  <c r="G30" i="82"/>
  <c r="R106" i="90"/>
  <c r="S73" i="90"/>
  <c r="S74" i="90" s="1"/>
  <c r="J43" i="82"/>
  <c r="R119" i="90"/>
  <c r="I28" i="82"/>
  <c r="V97" i="90"/>
  <c r="V98" i="90"/>
  <c r="V94" i="90"/>
  <c r="F27" i="82"/>
  <c r="V101" i="89"/>
  <c r="F46" i="82"/>
  <c r="V115" i="90"/>
  <c r="V71" i="90"/>
  <c r="Q73" i="89"/>
  <c r="D76" i="89" s="1"/>
  <c r="Q119" i="89"/>
  <c r="V118" i="89"/>
  <c r="U116" i="90"/>
  <c r="J45" i="82"/>
  <c r="U106" i="89"/>
  <c r="V82" i="90"/>
  <c r="C76" i="79"/>
  <c r="Q74" i="90" l="1"/>
  <c r="D76" i="90"/>
  <c r="R121" i="90"/>
  <c r="R122" i="90" s="1"/>
  <c r="T121" i="90"/>
  <c r="T122" i="90" s="1"/>
  <c r="S121" i="89"/>
  <c r="S122" i="89" s="1"/>
  <c r="T121" i="89"/>
  <c r="T122" i="89" s="1"/>
  <c r="S121" i="90"/>
  <c r="S122" i="90" s="1"/>
  <c r="U108" i="90"/>
  <c r="U109" i="90" s="1"/>
  <c r="Q108" i="90"/>
  <c r="V87" i="90"/>
  <c r="V88" i="90" s="1"/>
  <c r="U121" i="90"/>
  <c r="U122" i="90" s="1"/>
  <c r="R121" i="89"/>
  <c r="R122" i="89" s="1"/>
  <c r="T108" i="89"/>
  <c r="T109" i="89" s="1"/>
  <c r="V119" i="89"/>
  <c r="K47" i="82"/>
  <c r="R108" i="89"/>
  <c r="R109" i="89" s="1"/>
  <c r="Q108" i="89"/>
  <c r="Q88" i="90"/>
  <c r="S108" i="90"/>
  <c r="S109" i="90" s="1"/>
  <c r="V119" i="90"/>
  <c r="R108" i="90"/>
  <c r="R109" i="90" s="1"/>
  <c r="V116" i="89"/>
  <c r="V99" i="90"/>
  <c r="V87" i="89"/>
  <c r="V88" i="89" s="1"/>
  <c r="W88" i="89" s="1"/>
  <c r="Q121" i="89"/>
  <c r="V73" i="90"/>
  <c r="V99" i="89"/>
  <c r="V73" i="89"/>
  <c r="Q74" i="89"/>
  <c r="S108" i="89"/>
  <c r="S109" i="89" s="1"/>
  <c r="V116" i="90"/>
  <c r="T108" i="90"/>
  <c r="T109" i="90" s="1"/>
  <c r="U108" i="89"/>
  <c r="U109" i="89" s="1"/>
  <c r="V106" i="90"/>
  <c r="V106" i="89"/>
  <c r="Q121" i="90"/>
  <c r="K32" i="82"/>
  <c r="G48" i="82"/>
  <c r="J33" i="82"/>
  <c r="J48" i="82"/>
  <c r="I33" i="82"/>
  <c r="H33" i="82"/>
  <c r="K45" i="82"/>
  <c r="F48" i="82"/>
  <c r="G33" i="82"/>
  <c r="F33" i="82"/>
  <c r="K30" i="82"/>
  <c r="I48" i="82"/>
  <c r="H48" i="82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U22" i="79"/>
  <c r="T22" i="79"/>
  <c r="S22" i="79"/>
  <c r="R22" i="79"/>
  <c r="Q22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9" i="79" s="1"/>
  <c r="U65" i="79" s="1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U16" i="79"/>
  <c r="T16" i="79"/>
  <c r="S16" i="79"/>
  <c r="R16" i="79"/>
  <c r="Q16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Q109" i="90" l="1"/>
  <c r="D110" i="90"/>
  <c r="Q109" i="89"/>
  <c r="D110" i="89"/>
  <c r="W88" i="90"/>
  <c r="V108" i="89"/>
  <c r="Q122" i="90"/>
  <c r="V121" i="90"/>
  <c r="V122" i="90" s="1"/>
  <c r="V108" i="90"/>
  <c r="V74" i="89"/>
  <c r="W74" i="89" s="1"/>
  <c r="Q122" i="89"/>
  <c r="V121" i="89"/>
  <c r="V122" i="89" s="1"/>
  <c r="V74" i="90"/>
  <c r="W74" i="90" s="1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U100" i="79"/>
  <c r="Q19" i="79"/>
  <c r="Q65" i="79" s="1"/>
  <c r="R19" i="79"/>
  <c r="R65" i="79" s="1"/>
  <c r="S19" i="79"/>
  <c r="S65" i="79" s="1"/>
  <c r="T19" i="79"/>
  <c r="T65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K31" i="82"/>
  <c r="K33" i="82" s="1"/>
  <c r="K46" i="82"/>
  <c r="K48" i="82" s="1"/>
  <c r="T12" i="79"/>
  <c r="U12" i="79"/>
  <c r="U24" i="79"/>
  <c r="T24" i="79"/>
  <c r="R24" i="79"/>
  <c r="S24" i="79"/>
  <c r="R12" i="79"/>
  <c r="S12" i="79"/>
  <c r="R21" i="79"/>
  <c r="Q21" i="79"/>
  <c r="Q59" i="79" s="1"/>
  <c r="Q94" i="79" s="1"/>
  <c r="T21" i="79"/>
  <c r="S21" i="79"/>
  <c r="Q10" i="79"/>
  <c r="U11" i="79"/>
  <c r="T10" i="79"/>
  <c r="S11" i="79"/>
  <c r="R10" i="79"/>
  <c r="S10" i="79"/>
  <c r="R11" i="79"/>
  <c r="Q13" i="79"/>
  <c r="R13" i="79"/>
  <c r="Q11" i="79"/>
  <c r="Q60" i="79" s="1"/>
  <c r="S13" i="79"/>
  <c r="T13" i="79"/>
  <c r="S60" i="79" l="1"/>
  <c r="T60" i="79"/>
  <c r="U60" i="79"/>
  <c r="V109" i="89"/>
  <c r="W109" i="89" s="1"/>
  <c r="R60" i="79"/>
  <c r="J16" i="82"/>
  <c r="F12" i="82"/>
  <c r="W122" i="89"/>
  <c r="V109" i="90"/>
  <c r="W109" i="90" s="1"/>
  <c r="W122" i="90"/>
  <c r="Q95" i="79"/>
  <c r="F13" i="82" s="1"/>
  <c r="S102" i="79"/>
  <c r="H17" i="82" s="1"/>
  <c r="Q119" i="79"/>
  <c r="Q101" i="79"/>
  <c r="V104" i="79"/>
  <c r="H16" i="82"/>
  <c r="I16" i="82"/>
  <c r="S95" i="79"/>
  <c r="H13" i="82" s="1"/>
  <c r="Q102" i="79"/>
  <c r="G16" i="82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J17" i="82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T95" i="79" l="1"/>
  <c r="I13" i="82" s="1"/>
  <c r="U95" i="79"/>
  <c r="J13" i="82" s="1"/>
  <c r="V60" i="79"/>
  <c r="S116" i="79"/>
  <c r="R95" i="79"/>
  <c r="G13" i="82" s="1"/>
  <c r="I12" i="82"/>
  <c r="G12" i="82"/>
  <c r="V97" i="79"/>
  <c r="V115" i="79"/>
  <c r="U82" i="79"/>
  <c r="U114" i="79"/>
  <c r="U116" i="79" s="1"/>
  <c r="T103" i="79"/>
  <c r="I15" i="82" s="1"/>
  <c r="V84" i="79"/>
  <c r="R118" i="79"/>
  <c r="V118" i="79" s="1"/>
  <c r="T85" i="79"/>
  <c r="T117" i="79"/>
  <c r="T119" i="79" s="1"/>
  <c r="T102" i="79"/>
  <c r="I17" i="82" s="1"/>
  <c r="S85" i="79"/>
  <c r="S117" i="79"/>
  <c r="S119" i="79" s="1"/>
  <c r="V101" i="79"/>
  <c r="F16" i="82"/>
  <c r="R116" i="79"/>
  <c r="T116" i="79"/>
  <c r="R102" i="79"/>
  <c r="G17" i="82" s="1"/>
  <c r="Q116" i="79"/>
  <c r="Q121" i="79" s="1"/>
  <c r="U85" i="79"/>
  <c r="U117" i="79"/>
  <c r="U119" i="79" s="1"/>
  <c r="F17" i="82"/>
  <c r="J12" i="82"/>
  <c r="H12" i="82"/>
  <c r="U103" i="79"/>
  <c r="J15" i="82" s="1"/>
  <c r="Q106" i="79"/>
  <c r="F15" i="82"/>
  <c r="G15" i="82"/>
  <c r="S106" i="79"/>
  <c r="H15" i="82"/>
  <c r="H18" i="82" s="1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S121" i="79" l="1"/>
  <c r="S122" i="79" s="1"/>
  <c r="T87" i="79"/>
  <c r="T88" i="79" s="1"/>
  <c r="U87" i="79"/>
  <c r="U88" i="79" s="1"/>
  <c r="V117" i="79"/>
  <c r="V119" i="79" s="1"/>
  <c r="T121" i="79"/>
  <c r="T122" i="79" s="1"/>
  <c r="V103" i="79"/>
  <c r="U106" i="79"/>
  <c r="R106" i="79"/>
  <c r="R73" i="79"/>
  <c r="R74" i="79" s="1"/>
  <c r="S87" i="79"/>
  <c r="S88" i="79" s="1"/>
  <c r="V114" i="79"/>
  <c r="V116" i="79" s="1"/>
  <c r="V102" i="79"/>
  <c r="U121" i="79"/>
  <c r="U122" i="79" s="1"/>
  <c r="Q122" i="79"/>
  <c r="V85" i="79"/>
  <c r="T106" i="79"/>
  <c r="R119" i="79"/>
  <c r="R121" i="79" s="1"/>
  <c r="K15" i="82"/>
  <c r="G18" i="82"/>
  <c r="U73" i="79"/>
  <c r="U74" i="79" s="1"/>
  <c r="V71" i="79"/>
  <c r="K17" i="82"/>
  <c r="T73" i="79"/>
  <c r="T74" i="79" s="1"/>
  <c r="J18" i="82"/>
  <c r="I18" i="82"/>
  <c r="R87" i="79"/>
  <c r="R88" i="79" s="1"/>
  <c r="V82" i="79"/>
  <c r="Q88" i="79"/>
  <c r="V64" i="79"/>
  <c r="K16" i="82"/>
  <c r="F18" i="82"/>
  <c r="Q74" i="79"/>
  <c r="D76" i="79" l="1"/>
  <c r="V106" i="79"/>
  <c r="R122" i="79"/>
  <c r="V121" i="79"/>
  <c r="K18" i="82"/>
  <c r="V87" i="79"/>
  <c r="V88" i="79" s="1"/>
  <c r="W88" i="79" s="1"/>
  <c r="V73" i="79"/>
  <c r="V122" i="79" l="1"/>
  <c r="W122" i="79" s="1"/>
  <c r="V74" i="79"/>
  <c r="W74" i="79" s="1"/>
  <c r="U93" i="79" l="1"/>
  <c r="T93" i="79"/>
  <c r="R93" i="79"/>
  <c r="S93" i="79"/>
  <c r="Q93" i="79"/>
  <c r="T99" i="79" l="1"/>
  <c r="T108" i="79" s="1"/>
  <c r="T109" i="79" s="1"/>
  <c r="I11" i="82"/>
  <c r="I14" i="82" s="1"/>
  <c r="Q99" i="79"/>
  <c r="Q108" i="79" s="1"/>
  <c r="F11" i="82"/>
  <c r="F14" i="82" s="1"/>
  <c r="U99" i="79"/>
  <c r="U108" i="79" s="1"/>
  <c r="U109" i="79" s="1"/>
  <c r="J11" i="82"/>
  <c r="J14" i="82" s="1"/>
  <c r="S99" i="79"/>
  <c r="S108" i="79" s="1"/>
  <c r="S109" i="79" s="1"/>
  <c r="H11" i="82"/>
  <c r="H14" i="82" s="1"/>
  <c r="R99" i="79"/>
  <c r="R108" i="79" s="1"/>
  <c r="R109" i="79" s="1"/>
  <c r="G11" i="82"/>
  <c r="G14" i="82" s="1"/>
  <c r="F44" i="82"/>
  <c r="F29" i="82"/>
  <c r="F35" i="82" s="1"/>
  <c r="V95" i="79"/>
  <c r="V94" i="79"/>
  <c r="V93" i="79"/>
  <c r="Q109" i="79" l="1"/>
  <c r="D110" i="79"/>
  <c r="F50" i="82"/>
  <c r="V99" i="79"/>
  <c r="F20" i="82"/>
  <c r="J20" i="82"/>
  <c r="G20" i="82"/>
  <c r="H20" i="82"/>
  <c r="I20" i="82"/>
  <c r="H29" i="82"/>
  <c r="H35" i="82" s="1"/>
  <c r="I44" i="82"/>
  <c r="J44" i="82"/>
  <c r="G44" i="82"/>
  <c r="J29" i="82"/>
  <c r="J35" i="82" s="1"/>
  <c r="H44" i="82"/>
  <c r="I29" i="82"/>
  <c r="I35" i="82" s="1"/>
  <c r="G29" i="82"/>
  <c r="G35" i="82" s="1"/>
  <c r="K11" i="82"/>
  <c r="K12" i="82"/>
  <c r="K13" i="82"/>
  <c r="K42" i="82"/>
  <c r="K41" i="82"/>
  <c r="K43" i="82"/>
  <c r="V108" i="79"/>
  <c r="F37" i="82" l="1"/>
  <c r="F22" i="82"/>
  <c r="H50" i="82"/>
  <c r="I50" i="82"/>
  <c r="G50" i="82"/>
  <c r="J50" i="82"/>
  <c r="V109" i="79"/>
  <c r="W109" i="79" s="1"/>
  <c r="K44" i="82"/>
  <c r="K50" i="82" s="1"/>
  <c r="K14" i="82"/>
  <c r="K20" i="82" s="1"/>
  <c r="L20" i="82" s="1"/>
  <c r="F52" i="82" l="1"/>
  <c r="L50" i="82"/>
  <c r="K26" i="82" l="1"/>
  <c r="K27" i="82" l="1"/>
  <c r="K28" i="82" l="1"/>
  <c r="K29" i="82" s="1"/>
  <c r="K35" i="82" s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<sst xmlns="http://schemas.openxmlformats.org/spreadsheetml/2006/main" count="736" uniqueCount="95">
  <si>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</si>
  <si>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</si>
  <si>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</si>
  <si>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</si>
  <si>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</si>
  <si>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</si>
  <si>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</si>
  <si>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</si>
  <si>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</si>
  <si>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</si>
  <si>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</si>
  <si>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</si>
  <si>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</si>
  <si>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</si>
  <si>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</si>
  <si>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</si>
  <si>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</si>
  <si>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</si>
  <si>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</si>
  <si>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</si>
  <si>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</si>
  <si>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</si>
  <si>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</si>
  <si>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</si>
  <si>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</si>
  <si>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</si>
  <si>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</si>
  <si>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</si>
  <si>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</si>
  <si>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</si>
  <si>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</si>
  <si>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</si>
  <si>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</si>
  <si>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</si>
  <si>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</si>
  <si>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</si>
  <si>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</si>
  <si>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</si>
  <si>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Capex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</si>
  <si>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</si>
  <si>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</si>
  <si>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</si>
  <si>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</si>
  <si>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</si>
  <si>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</si>
  <si>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</si>
  <si>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</si>
  <si>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</si>
  <si>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</si>
  <si>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Contact Centre - Internal Labour</t>
  </si>
  <si>
    <t>Recurrent</t>
  </si>
  <si>
    <t>Contact Centre - Fixed Labour Contracts</t>
  </si>
  <si>
    <t>Corporate Telephony - Internal Labour</t>
  </si>
  <si>
    <t>Corporate Telephony - Fixed Labour Contracts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</si>
  <si>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</si>
  <si>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</si>
  <si>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</si>
  <si>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</si>
  <si>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</si>
  <si>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</si>
  <si>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Contact Centre - External Labour</t>
  </si>
  <si>
    <t>Contact Centre - Hardware - phones/headsets</t>
  </si>
  <si>
    <t>Corporate Telephony - External Labour</t>
  </si>
  <si>
    <t>Corporate Telephony - Hardware - phones/headsets</t>
  </si>
  <si>
    <t>Contact Centre - New voice carriage services</t>
  </si>
  <si>
    <t>Contact Centre - New network services</t>
  </si>
  <si>
    <t>Corporate Telephony - New voice carriage services</t>
  </si>
  <si>
    <t>Corporate Telephony - New network services</t>
  </si>
  <si>
    <t>NC&amp;O  - Extended Support (on best efforts basis)</t>
  </si>
  <si>
    <t>NC&amp;O - Project Labour Cost</t>
  </si>
  <si>
    <t>NC&amp;O - Project Contracts Cost (vendor evidence as part of project delivered in 2023)</t>
  </si>
  <si>
    <t>NC&amp;O - Project Materials Cost  (vendor evidence as part of project delivered in 2023)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</si>
  <si>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</si>
  <si>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</si>
  <si>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</si>
  <si>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</si>
  <si>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</si>
  <si>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</si>
  <si>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</si>
  <si>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</si>
  <si>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</si>
  <si>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</si>
  <si>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Telephony</t>
  </si>
  <si>
    <t>Totex</t>
  </si>
  <si>
    <t>CP &amp; PAL</t>
  </si>
  <si>
    <t>Escalation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</si>
  <si>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</si>
  <si>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</si>
  <si>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</si>
  <si>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</si>
  <si>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</si>
  <si>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</si>
  <si>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>Do not maintain currency</t>
  </si>
  <si>
    <t>Basic currency</t>
  </si>
  <si>
    <t>Modern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</si>
</sst>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166" fontId="12" fillId="0" borderId="0" xfId="0" applyNumberFormat="1" applyFont="1"/>
    <xf numFmtId="166" fontId="13" fillId="0" borderId="0" xfId="0" applyNumberFormat="1" applyFont="1"/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2" fontId="48" fillId="0" borderId="0" xfId="33" applyNumberFormat="1" applyFont="1" applyAlignment="1">
      <alignment horizontal="left"/>
    </xf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0" fontId="23" fillId="0" borderId="3" xfId="0" applyFont="1" applyBorder="1"/>
    <xf numFmtId="6" fontId="52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618089E-D916-4751-966A-7AA90547C555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59F8D08D-BCB5-46D0-85EA-D350805B82C4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5FFD06BA-A984-4824-B61A-7B8C094B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8781-C656-4668-9215-C25C583A14C1}">
  <dimension ref="A1:K43"/>
  <sheetViews>
    <sheetView showGridLines="0" workbookViewId="0">
      <selection activeCell="F21" sqref="F21"/>
    </sheetView>
  </sheetViews>
  <sheetFormatPr defaultColWidth="0" defaultRowHeight="12.95" customHeight="1" zeroHeight="1" x14ac:dyDescent="0.2"/>
  <cols>
    <col min="1" max="1" width="12.85546875" style="127" customWidth="1"/>
    <col min="2" max="2" width="2.5703125" style="127" customWidth="1"/>
    <col min="3" max="3" width="16.85546875" style="127" customWidth="1"/>
    <col min="4" max="11" width="10.5703125" style="127" customWidth="1"/>
    <col min="12" max="16384" width="10.5703125" style="127" hidden="1"/>
  </cols>
  <sheetData>
    <row r="1" spans="1:11" ht="15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3.25" x14ac:dyDescent="0.35">
      <c r="A2" s="125"/>
      <c r="B2" s="126"/>
      <c r="C2" s="128" t="s">
        <v>31</v>
      </c>
      <c r="D2" s="129"/>
      <c r="E2" s="129"/>
      <c r="F2" s="126"/>
      <c r="G2" s="126"/>
      <c r="H2" s="126"/>
      <c r="I2" s="126"/>
      <c r="J2" s="126"/>
      <c r="K2" s="126"/>
    </row>
    <row r="3" spans="1:11" ht="15.75" x14ac:dyDescent="0.25">
      <c r="A3" s="125"/>
      <c r="B3" s="126"/>
      <c r="C3" s="130" t="s">
        <v>73</v>
      </c>
      <c r="D3" s="129"/>
      <c r="E3" s="129"/>
      <c r="F3" s="126"/>
      <c r="G3" s="126"/>
      <c r="H3" s="126"/>
      <c r="I3" s="126"/>
      <c r="J3" s="126"/>
      <c r="K3" s="126"/>
    </row>
    <row r="4" spans="1:11" ht="15" x14ac:dyDescent="0.25">
      <c r="A4" s="125"/>
      <c r="B4" s="126"/>
      <c r="C4" s="126"/>
      <c r="D4" s="129"/>
      <c r="E4" s="129"/>
      <c r="F4" s="126"/>
      <c r="G4" s="126"/>
      <c r="H4" s="126"/>
      <c r="I4" s="126"/>
      <c r="J4" s="126"/>
      <c r="K4" s="126"/>
    </row>
    <row r="5" spans="1:11" ht="15" x14ac:dyDescent="0.25">
      <c r="A5" s="125"/>
      <c r="B5" s="126"/>
      <c r="C5" s="131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Telephony cost</v>
      </c>
      <c r="D5" s="126"/>
      <c r="E5" s="126"/>
      <c r="F5" s="126"/>
      <c r="G5" s="126"/>
      <c r="H5" s="126"/>
      <c r="I5" s="126"/>
      <c r="J5" s="126"/>
      <c r="K5" s="126"/>
    </row>
    <row r="6" spans="1:11" ht="15" x14ac:dyDescent="0.25">
      <c r="A6" s="125"/>
      <c r="B6" s="126"/>
      <c r="C6" s="132" t="s">
        <v>74</v>
      </c>
      <c r="D6" s="133" t="str" cm="1">
        <f t="array" aca="1" ref="D6" ca="1">LEFT(_xlfn.TEXTAFTER(CELL("filename")," MOD "),FIND(" - ",_xlfn.TEXTAFTER(CELL("filename")," MOD "),1)-1)</f>
        <v>6.18</v>
      </c>
      <c r="E6" s="132"/>
      <c r="F6" s="126"/>
      <c r="G6" s="126"/>
      <c r="H6" s="126"/>
      <c r="I6" s="126"/>
      <c r="J6" s="126"/>
      <c r="K6" s="126"/>
    </row>
    <row r="7" spans="1:11" ht="15" x14ac:dyDescent="0.25">
      <c r="A7" s="125"/>
      <c r="B7" s="126"/>
      <c r="C7" s="126"/>
      <c r="D7" s="126"/>
      <c r="E7" s="126"/>
      <c r="F7" s="134"/>
      <c r="G7" s="134"/>
      <c r="H7" s="134"/>
      <c r="I7" s="126"/>
      <c r="J7" s="134"/>
      <c r="K7" s="134"/>
    </row>
    <row r="8" spans="1:11" ht="15" x14ac:dyDescent="0.25">
      <c r="A8" s="125"/>
      <c r="B8" s="126"/>
      <c r="C8" s="135">
        <v>45688</v>
      </c>
      <c r="D8" s="126"/>
      <c r="E8" s="126"/>
      <c r="F8" s="134"/>
      <c r="G8" s="134"/>
      <c r="H8" s="134"/>
      <c r="I8" s="126"/>
      <c r="J8" s="134"/>
      <c r="K8" s="134"/>
    </row>
    <row r="9" spans="1:11" ht="15" x14ac:dyDescent="0.25">
      <c r="A9" s="125"/>
      <c r="B9" s="126"/>
      <c r="C9" s="136"/>
      <c r="D9" s="136"/>
      <c r="E9" s="126"/>
      <c r="F9" s="134"/>
      <c r="G9" s="134"/>
      <c r="H9" s="134"/>
      <c r="I9" s="134"/>
      <c r="J9" s="134"/>
      <c r="K9" s="134"/>
    </row>
    <row r="10" spans="1:11" ht="15" x14ac:dyDescent="0.25">
      <c r="A10" s="125"/>
      <c r="B10" s="126"/>
      <c r="C10" s="136"/>
      <c r="D10" s="136"/>
      <c r="E10" s="126"/>
      <c r="F10" s="134"/>
      <c r="G10" s="134"/>
      <c r="H10" s="134"/>
      <c r="I10" s="134"/>
      <c r="J10" s="134"/>
      <c r="K10" s="134"/>
    </row>
    <row r="11" spans="1:11" ht="15" x14ac:dyDescent="0.25">
      <c r="A11" s="125"/>
      <c r="B11" s="126"/>
      <c r="C11" s="136"/>
      <c r="D11" s="136"/>
      <c r="E11" s="126"/>
      <c r="F11" s="134"/>
      <c r="G11" s="134"/>
      <c r="H11" s="134"/>
      <c r="I11" s="134"/>
      <c r="J11" s="134"/>
      <c r="K11" s="134"/>
    </row>
    <row r="12" spans="1:11" ht="15" x14ac:dyDescent="0.25">
      <c r="A12" s="125"/>
      <c r="B12" s="126"/>
      <c r="C12" s="136"/>
      <c r="D12" s="136"/>
      <c r="E12" s="126"/>
      <c r="F12" s="134"/>
      <c r="G12" s="134"/>
      <c r="H12" s="134"/>
      <c r="I12" s="134"/>
      <c r="J12" s="134"/>
      <c r="K12" s="134"/>
    </row>
    <row r="13" spans="1:11" ht="15" x14ac:dyDescent="0.25">
      <c r="A13" s="125"/>
      <c r="B13" s="126"/>
      <c r="C13" s="136"/>
      <c r="D13" s="136"/>
      <c r="E13" s="126"/>
      <c r="F13" s="134"/>
      <c r="G13" s="134"/>
      <c r="H13" s="134"/>
      <c r="I13" s="134"/>
      <c r="J13" s="134"/>
      <c r="K13" s="134"/>
    </row>
    <row r="14" spans="1:11" ht="15" x14ac:dyDescent="0.25">
      <c r="A14" s="125"/>
      <c r="B14" s="126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15" x14ac:dyDescent="0.25">
      <c r="A15" s="125"/>
      <c r="B15" s="126"/>
      <c r="C15" s="131"/>
      <c r="D15" s="134"/>
      <c r="E15" s="134"/>
      <c r="F15" s="134"/>
      <c r="G15" s="134"/>
      <c r="H15" s="134"/>
      <c r="I15" s="134"/>
      <c r="J15" s="134"/>
      <c r="K15" s="134"/>
    </row>
    <row r="16" spans="1:11" ht="15" x14ac:dyDescent="0.25">
      <c r="A16" s="125"/>
      <c r="B16" s="126"/>
      <c r="C16" s="131"/>
      <c r="D16" s="134"/>
      <c r="E16" s="134"/>
      <c r="F16" s="134"/>
      <c r="G16" s="134"/>
      <c r="H16" s="134"/>
      <c r="I16" s="134"/>
      <c r="J16" s="134"/>
      <c r="K16" s="134"/>
    </row>
    <row r="17" spans="1:11" ht="15" x14ac:dyDescent="0.25">
      <c r="A17" s="125"/>
      <c r="B17" s="126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1" ht="15" x14ac:dyDescent="0.25">
      <c r="A18" s="125"/>
      <c r="B18" s="126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ht="15" x14ac:dyDescent="0.25">
      <c r="A19" s="125"/>
      <c r="B19" s="126"/>
      <c r="C19" s="134"/>
      <c r="D19" s="134"/>
      <c r="E19" s="134"/>
      <c r="F19" s="134"/>
      <c r="H19" s="134"/>
      <c r="I19" s="134"/>
      <c r="J19" s="134"/>
      <c r="K19" s="134"/>
    </row>
    <row r="20" spans="1:11" ht="15" x14ac:dyDescent="0.25">
      <c r="A20" s="125"/>
      <c r="B20" s="126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15" x14ac:dyDescent="0.25">
      <c r="A21" s="125"/>
      <c r="B21" s="126"/>
      <c r="C21" s="134"/>
      <c r="D21" s="134"/>
      <c r="E21" s="134"/>
      <c r="F21" s="134"/>
      <c r="G21" s="134"/>
      <c r="H21" s="134"/>
      <c r="I21" s="134"/>
      <c r="J21" s="134"/>
      <c r="K21" s="134"/>
    </row>
    <row r="22" spans="1:11" ht="15" x14ac:dyDescent="0.25">
      <c r="A22" s="125"/>
      <c r="B22" s="126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1" ht="15" x14ac:dyDescent="0.25">
      <c r="A23" s="125"/>
      <c r="B23" s="126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ht="15" x14ac:dyDescent="0.25">
      <c r="A24" s="125"/>
      <c r="B24" s="126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ht="15" x14ac:dyDescent="0.25">
      <c r="A25" s="125"/>
      <c r="B25" s="126"/>
      <c r="C25" s="134"/>
      <c r="D25" s="134"/>
      <c r="E25" s="134"/>
      <c r="F25" s="134"/>
      <c r="G25" s="134"/>
      <c r="H25" s="134"/>
      <c r="I25" s="134"/>
      <c r="J25" s="134"/>
      <c r="K25" s="134"/>
    </row>
    <row r="26" spans="1:11" ht="15" x14ac:dyDescent="0.25">
      <c r="A26" s="125"/>
      <c r="B26" s="126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ht="15" x14ac:dyDescent="0.25">
      <c r="A27" s="125"/>
      <c r="B27" s="126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ht="15" x14ac:dyDescent="0.25">
      <c r="A28" s="125"/>
      <c r="B28" s="126"/>
      <c r="C28" s="134"/>
      <c r="D28" s="134"/>
      <c r="E28" s="134"/>
      <c r="F28" s="134"/>
      <c r="G28" s="134"/>
      <c r="H28" s="134"/>
      <c r="I28" s="134"/>
      <c r="J28" s="134"/>
      <c r="K28" s="134"/>
    </row>
    <row r="29" spans="1:11" ht="15" x14ac:dyDescent="0.25">
      <c r="A29" s="125"/>
      <c r="B29" s="126"/>
      <c r="C29" s="134"/>
      <c r="D29" s="134"/>
      <c r="E29" s="134"/>
      <c r="F29" s="134"/>
      <c r="G29" s="134"/>
      <c r="H29" s="134"/>
      <c r="I29" s="134"/>
      <c r="J29" s="134"/>
      <c r="K29" s="134"/>
    </row>
    <row r="30" spans="1:11" ht="15" x14ac:dyDescent="0.25">
      <c r="A30" s="125"/>
      <c r="B30" s="126"/>
      <c r="C30" s="134"/>
      <c r="D30" s="126"/>
      <c r="E30" s="134"/>
      <c r="F30" s="134"/>
      <c r="G30" s="134"/>
      <c r="H30" s="134"/>
      <c r="I30" s="134"/>
      <c r="J30" s="134"/>
      <c r="K30" s="134"/>
    </row>
    <row r="31" spans="1:11" ht="15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5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5" x14ac:dyDescent="0.2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15" x14ac:dyDescent="0.25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5" x14ac:dyDescent="0.2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5" x14ac:dyDescent="0.2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" x14ac:dyDescent="0.25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15" x14ac:dyDescent="0.25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5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15" x14ac:dyDescent="0.25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15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15" x14ac:dyDescent="0.2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" x14ac:dyDescent="0.2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E1A9-9ADE-454E-8CB3-9AA1595D9FD5}">
  <dimension ref="A1:P40"/>
  <sheetViews>
    <sheetView showGridLines="0" workbookViewId="0">
      <selection activeCell="O12" sqref="O12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31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38</v>
      </c>
      <c r="D11" s="107"/>
      <c r="E11" s="2"/>
      <c r="F11" s="6">
        <f>'Project summary'!F14*Assumptions!$B$19</f>
        <v>147987.62979053907</v>
      </c>
      <c r="G11" s="6">
        <f>'Project summary'!G14*Assumptions!$B$19</f>
        <v>147987.62979053907</v>
      </c>
      <c r="H11" s="6">
        <f>'Project summary'!H14*Assumptions!$B$19</f>
        <v>147987.62979053907</v>
      </c>
      <c r="I11" s="6">
        <f>'Project summary'!I14*Assumptions!$B$19</f>
        <v>147987.62979053907</v>
      </c>
      <c r="J11" s="6">
        <f>'Project summary'!J14*Assumptions!$B$19</f>
        <v>147987.62979053907</v>
      </c>
      <c r="K11" s="6">
        <f>SUM(F11:J11)</f>
        <v>739938.14895269531</v>
      </c>
      <c r="L11" s="6"/>
      <c r="M11" s="98"/>
      <c r="P11"/>
    </row>
    <row r="12" spans="1:16" ht="12.75" customHeight="1" x14ac:dyDescent="0.25">
      <c r="C12" s="1" t="s">
        <v>86</v>
      </c>
      <c r="D12" s="107"/>
      <c r="E12" s="2"/>
      <c r="F12" s="6">
        <f>'Project summary'!F18*Assumptions!$B$19</f>
        <v>0</v>
      </c>
      <c r="G12" s="6">
        <f>'Project summary'!G18*Assumptions!$B$19</f>
        <v>35874.73915723899</v>
      </c>
      <c r="H12" s="6">
        <f>'Project summary'!H18*Assumptions!$B$19</f>
        <v>39462.213072962892</v>
      </c>
      <c r="I12" s="6">
        <f>'Project summary'!I18*Assumptions!$B$19</f>
        <v>43408.601317156135</v>
      </c>
      <c r="J12" s="6">
        <f>'Project summary'!J18*Assumptions!$B$19</f>
        <v>47749.294511974796</v>
      </c>
      <c r="K12" s="6">
        <f>SUM(F12:J12)</f>
        <v>166494.84805933281</v>
      </c>
      <c r="M12" s="98"/>
      <c r="P12"/>
    </row>
    <row r="13" spans="1:16" x14ac:dyDescent="0.2">
      <c r="C13" s="1" t="s">
        <v>87</v>
      </c>
      <c r="D13" s="107"/>
      <c r="F13" s="6">
        <v>0</v>
      </c>
      <c r="G13" s="6">
        <v>37601.70761981167</v>
      </c>
      <c r="H13" s="6">
        <v>41741.364559310205</v>
      </c>
      <c r="I13" s="6">
        <v>46380.969239904334</v>
      </c>
      <c r="J13" s="6">
        <v>51513.00436353893</v>
      </c>
      <c r="K13" s="6">
        <f>SUM(F13:J13)</f>
        <v>177237.04578256514</v>
      </c>
      <c r="M13" s="98"/>
    </row>
    <row r="14" spans="1:16" x14ac:dyDescent="0.2">
      <c r="C14" s="101" t="s">
        <v>83</v>
      </c>
      <c r="D14" s="138" t="s">
        <v>88</v>
      </c>
      <c r="E14" s="101"/>
      <c r="F14" s="105">
        <f>F11+F13</f>
        <v>147987.62979053907</v>
      </c>
      <c r="G14" s="105">
        <f t="shared" ref="G14:K14" si="0">G11+G13</f>
        <v>185589.33741035074</v>
      </c>
      <c r="H14" s="105">
        <f t="shared" si="0"/>
        <v>189728.99434984926</v>
      </c>
      <c r="I14" s="105">
        <f t="shared" si="0"/>
        <v>194368.59903044341</v>
      </c>
      <c r="J14" s="105">
        <f t="shared" si="0"/>
        <v>199500.634154078</v>
      </c>
      <c r="K14" s="105">
        <f t="shared" si="0"/>
        <v>917175.19473526045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8"/>
      <c r="E16" s="138"/>
      <c r="F16" s="144">
        <f>NPV(Real_Discount_rate,F14:J14)</f>
        <v>824712.71770570893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89</v>
      </c>
    </row>
    <row r="21" spans="2:11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3" t="s">
        <v>0</v>
      </c>
    </row>
    <row r="22" spans="2:11" x14ac:dyDescent="0.2">
      <c r="C22" s="1" t="s">
        <v>38</v>
      </c>
      <c r="D22" s="107"/>
      <c r="E22" s="2"/>
      <c r="F22" s="6">
        <f>'Project summary'!F29*Assumptions!$B$19</f>
        <v>273135.70298364182</v>
      </c>
      <c r="G22" s="6">
        <f>'Project summary'!G29*Assumptions!$B$19</f>
        <v>765703.35791090445</v>
      </c>
      <c r="H22" s="6">
        <f>'Project summary'!H29*Assumptions!$B$19</f>
        <v>484180.04361581896</v>
      </c>
      <c r="I22" s="6">
        <f>'Project summary'!I29*Assumptions!$B$19</f>
        <v>430002.69922231883</v>
      </c>
      <c r="J22" s="6">
        <f>'Project summary'!J29*Assumptions!$B$19</f>
        <v>71858.951469345237</v>
      </c>
      <c r="K22" s="6">
        <f>SUM(F22:J22)</f>
        <v>2024880.7552020294</v>
      </c>
    </row>
    <row r="23" spans="2:11" x14ac:dyDescent="0.2">
      <c r="C23" s="1" t="s">
        <v>86</v>
      </c>
      <c r="D23" s="107"/>
      <c r="E23" s="2"/>
      <c r="F23" s="6">
        <f>'Project summary'!F33*Assumptions!$B$19</f>
        <v>0</v>
      </c>
      <c r="G23" s="6">
        <f>'Project summary'!G33*Assumptions!$B$19</f>
        <v>0</v>
      </c>
      <c r="H23" s="6">
        <f>'Project summary'!H33*Assumptions!$B$19</f>
        <v>0</v>
      </c>
      <c r="I23" s="6">
        <f>'Project summary'!I33*Assumptions!$B$19</f>
        <v>0</v>
      </c>
      <c r="J23" s="6">
        <f>'Project summary'!J33*Assumptions!$B$19</f>
        <v>0</v>
      </c>
      <c r="K23" s="6">
        <f>SUM(F23:J23)</f>
        <v>0</v>
      </c>
    </row>
    <row r="24" spans="2:11" x14ac:dyDescent="0.2">
      <c r="C24" s="1" t="s">
        <v>90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83</v>
      </c>
      <c r="D25" s="138" t="s">
        <v>88</v>
      </c>
      <c r="E25" s="101"/>
      <c r="F25" s="105">
        <f>F22+F24</f>
        <v>273135.70298364182</v>
      </c>
      <c r="G25" s="105">
        <f t="shared" ref="G25:K25" si="1">G22+G24</f>
        <v>765703.35791090445</v>
      </c>
      <c r="H25" s="105">
        <f t="shared" si="1"/>
        <v>484180.04361581896</v>
      </c>
      <c r="I25" s="105">
        <f t="shared" si="1"/>
        <v>430002.69922231883</v>
      </c>
      <c r="J25" s="105">
        <f t="shared" si="1"/>
        <v>71858.951469345237</v>
      </c>
      <c r="K25" s="105">
        <f t="shared" si="1"/>
        <v>2024880.7552020294</v>
      </c>
    </row>
    <row r="27" spans="2:11" x14ac:dyDescent="0.2">
      <c r="C27" s="101" t="s">
        <v>18</v>
      </c>
      <c r="D27" s="138"/>
      <c r="E27" s="138"/>
      <c r="F27" s="144">
        <f>NPV(Real_Discount_rate,F25:J25)</f>
        <v>1850619.9854839882</v>
      </c>
    </row>
    <row r="29" spans="2:11" x14ac:dyDescent="0.2">
      <c r="C29" s="1" t="s">
        <v>91</v>
      </c>
    </row>
    <row r="32" spans="2:11" x14ac:dyDescent="0.2">
      <c r="B32" s="36" t="s">
        <v>3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3" t="s">
        <v>0</v>
      </c>
    </row>
    <row r="33" spans="3:11" x14ac:dyDescent="0.2">
      <c r="C33" s="1" t="s">
        <v>38</v>
      </c>
      <c r="D33" s="107"/>
      <c r="E33" s="2"/>
      <c r="F33" s="6">
        <f>'Project summary'!F44*Assumptions!$B$19</f>
        <v>273135.70298364182</v>
      </c>
      <c r="G33" s="6">
        <f>'Project summary'!G44*Assumptions!$B$19</f>
        <v>1514478.230070655</v>
      </c>
      <c r="H33" s="6">
        <f>'Project summary'!H44*Assumptions!$B$19</f>
        <v>586488.60174067027</v>
      </c>
      <c r="I33" s="6">
        <f>'Project summary'!I44*Assumptions!$B$19</f>
        <v>430002.69922231883</v>
      </c>
      <c r="J33" s="6">
        <f>'Project summary'!J44*Assumptions!$B$19</f>
        <v>71858.951469345237</v>
      </c>
      <c r="K33" s="6">
        <f>SUM(F33:J33)</f>
        <v>2875964.185486631</v>
      </c>
    </row>
    <row r="34" spans="3:11" x14ac:dyDescent="0.2">
      <c r="C34" s="1" t="s">
        <v>86</v>
      </c>
      <c r="D34" s="107"/>
      <c r="E34" s="2"/>
      <c r="F34" s="6">
        <f>'Project summary'!F48*Assumptions!$B$19</f>
        <v>0</v>
      </c>
      <c r="G34" s="6">
        <f>'Project summary'!G48*Assumptions!$B$19</f>
        <v>0</v>
      </c>
      <c r="H34" s="6">
        <f>'Project summary'!H48*Assumptions!$B$19</f>
        <v>0</v>
      </c>
      <c r="I34" s="6">
        <f>'Project summary'!I48*Assumptions!$B$19</f>
        <v>0</v>
      </c>
      <c r="J34" s="6">
        <f>'Project summary'!J48*Assumptions!$B$19</f>
        <v>0</v>
      </c>
      <c r="K34" s="6">
        <f>SUM(F34:J34)</f>
        <v>0</v>
      </c>
    </row>
    <row r="35" spans="3:11" x14ac:dyDescent="0.2">
      <c r="C35" s="1" t="s">
        <v>87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83</v>
      </c>
      <c r="D36" s="138" t="s">
        <v>88</v>
      </c>
      <c r="E36" s="101"/>
      <c r="F36" s="105">
        <f>F33+F35</f>
        <v>273135.70298364182</v>
      </c>
      <c r="G36" s="105">
        <f t="shared" ref="G36:K36" si="2">G33+G35</f>
        <v>1514478.230070655</v>
      </c>
      <c r="H36" s="105">
        <f t="shared" si="2"/>
        <v>586488.60174067027</v>
      </c>
      <c r="I36" s="105">
        <f t="shared" si="2"/>
        <v>430002.69922231883</v>
      </c>
      <c r="J36" s="105">
        <f t="shared" si="2"/>
        <v>71858.951469345237</v>
      </c>
      <c r="K36" s="105">
        <f t="shared" si="2"/>
        <v>2875964.185486631</v>
      </c>
    </row>
    <row r="38" spans="3:11" x14ac:dyDescent="0.2">
      <c r="C38" s="101" t="s">
        <v>18</v>
      </c>
      <c r="D38" s="138"/>
      <c r="E38" s="138"/>
      <c r="F38" s="144">
        <f>NPV(Real_Discount_rate,F36:J36)</f>
        <v>2641885.798538723</v>
      </c>
    </row>
    <row r="40" spans="3:11" x14ac:dyDescent="0.2">
      <c r="C40" s="1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90" zoomScaleNormal="90" workbookViewId="0">
      <selection activeCell="O34" sqref="O3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Telephony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1'!Q93+'Option 1'!Q96</f>
        <v>141127.65117664903</v>
      </c>
      <c r="G11" s="6">
        <f>'Option 1'!R93+'Option 1'!R96</f>
        <v>141127.65117664903</v>
      </c>
      <c r="H11" s="6">
        <f>'Option 1'!S93+'Option 1'!S96</f>
        <v>141127.65117664903</v>
      </c>
      <c r="I11" s="6">
        <f>'Option 1'!T93+'Option 1'!T96</f>
        <v>141127.65117664903</v>
      </c>
      <c r="J11" s="6">
        <f>'Option 1'!U93+'Option 1'!U96</f>
        <v>141127.65117664903</v>
      </c>
      <c r="K11" s="6">
        <f>SUM(F11:J11)</f>
        <v>705638.25588324515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1'!Q94+'Option 1'!Q97</f>
        <v>0</v>
      </c>
      <c r="G12" s="6">
        <f>'Option 1'!R94+'Option 1'!R97</f>
        <v>0</v>
      </c>
      <c r="H12" s="6">
        <f>'Option 1'!S94+'Option 1'!S97</f>
        <v>0</v>
      </c>
      <c r="I12" s="6">
        <f>'Option 1'!T94+'Option 1'!T97</f>
        <v>0</v>
      </c>
      <c r="J12" s="6">
        <f>'Option 1'!U94+'Option 1'!U97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1'!Q95+'Option 1'!Q98</f>
        <v>352164.4481251479</v>
      </c>
      <c r="G13" s="6">
        <f>'Option 1'!R95+'Option 1'!R98</f>
        <v>352164.4481251479</v>
      </c>
      <c r="H13" s="6">
        <f>'Option 1'!S95+'Option 1'!S98</f>
        <v>352164.4481251479</v>
      </c>
      <c r="I13" s="6">
        <f>'Option 1'!T95+'Option 1'!T98</f>
        <v>352164.4481251479</v>
      </c>
      <c r="J13" s="6">
        <f>'Option 1'!U95+'Option 1'!U98</f>
        <v>352164.4481251479</v>
      </c>
      <c r="K13" s="6">
        <f t="shared" si="0"/>
        <v>1760822.2406257396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493292.09930179693</v>
      </c>
      <c r="G14" s="105">
        <f t="shared" ref="G14:K14" si="1">SUM(G11:G13)</f>
        <v>493292.09930179693</v>
      </c>
      <c r="H14" s="105">
        <f t="shared" si="1"/>
        <v>493292.09930179693</v>
      </c>
      <c r="I14" s="105">
        <f t="shared" si="1"/>
        <v>493292.09930179693</v>
      </c>
      <c r="J14" s="105">
        <f t="shared" si="1"/>
        <v>493292.09930179693</v>
      </c>
      <c r="K14" s="105">
        <f t="shared" si="1"/>
        <v>2466460.4965089848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1'!Q100+'Option 1'!Q103</f>
        <v>0</v>
      </c>
      <c r="G15" s="6">
        <f>'Option 1'!R100+'Option 1'!R103</f>
        <v>0</v>
      </c>
      <c r="H15" s="6">
        <f>'Option 1'!S100+'Option 1'!S103</f>
        <v>0</v>
      </c>
      <c r="I15" s="6">
        <f>'Option 1'!T100+'Option 1'!T103</f>
        <v>0</v>
      </c>
      <c r="J15" s="6">
        <f>'Option 1'!U100+'Option 1'!U103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1'!Q101+'Option 1'!Q104</f>
        <v>0</v>
      </c>
      <c r="G16" s="6">
        <f>'Option 1'!R101+'Option 1'!R104</f>
        <v>0</v>
      </c>
      <c r="H16" s="6">
        <f>'Option 1'!S101+'Option 1'!S104</f>
        <v>0</v>
      </c>
      <c r="I16" s="6">
        <f>'Option 1'!T101+'Option 1'!T104</f>
        <v>0</v>
      </c>
      <c r="J16" s="6">
        <f>'Option 1'!U101+'Option 1'!U104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1'!Q102+'Option 1'!Q105</f>
        <v>0</v>
      </c>
      <c r="G17" s="6">
        <f>'Option 1'!R102+'Option 1'!R105</f>
        <v>119582.4638574633</v>
      </c>
      <c r="H17" s="6">
        <f>'Option 1'!S102+'Option 1'!S105</f>
        <v>131540.71024320964</v>
      </c>
      <c r="I17" s="6">
        <f>'Option 1'!T102+'Option 1'!T105</f>
        <v>144695.33772385379</v>
      </c>
      <c r="J17" s="6">
        <f>'Option 1'!U102+'Option 1'!U105</f>
        <v>159164.31503991599</v>
      </c>
      <c r="K17" s="6">
        <f t="shared" si="2"/>
        <v>554982.82686444267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119582.4638574633</v>
      </c>
      <c r="H18" s="105">
        <f t="shared" si="3"/>
        <v>131540.71024320964</v>
      </c>
      <c r="I18" s="105">
        <f t="shared" si="3"/>
        <v>144695.33772385379</v>
      </c>
      <c r="J18" s="105">
        <f t="shared" si="3"/>
        <v>159164.31503991599</v>
      </c>
      <c r="K18" s="105">
        <f t="shared" si="3"/>
        <v>554982.82686444267</v>
      </c>
      <c r="M18" s="98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3" t="str">
        <f>"Total Cost ($ "&amp;Assumptions!$C35&amp;")"</f>
        <v>Total Cost ($ June 2026)</v>
      </c>
      <c r="D20" s="21"/>
      <c r="E20" s="21"/>
      <c r="F20" s="22">
        <f t="shared" ref="F20:K20" si="4">F14+F18</f>
        <v>493292.09930179693</v>
      </c>
      <c r="G20" s="22">
        <f t="shared" si="4"/>
        <v>612874.5631592602</v>
      </c>
      <c r="H20" s="22">
        <f t="shared" si="4"/>
        <v>624832.8095450066</v>
      </c>
      <c r="I20" s="22">
        <f t="shared" si="4"/>
        <v>637987.43702565075</v>
      </c>
      <c r="J20" s="22">
        <f t="shared" si="4"/>
        <v>652456.41434171295</v>
      </c>
      <c r="K20" s="22">
        <f t="shared" si="4"/>
        <v>3021443.3233734276</v>
      </c>
      <c r="L20" s="57">
        <f>K20-'Option 1'!$V$108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18</v>
      </c>
      <c r="D22" s="22"/>
      <c r="E22" s="22"/>
      <c r="F22" s="22">
        <f>NPV(Assumptions!$B$10,F20:J20)</f>
        <v>2717619.0682716039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2'!Q93+'Option 2'!Q96</f>
        <v>523944.9038192592</v>
      </c>
      <c r="G26" s="6">
        <f>'Option 2'!R93+'Option 2'!R96</f>
        <v>578855.20855621144</v>
      </c>
      <c r="H26" s="6">
        <f>'Option 2'!S93+'Option 2'!S96</f>
        <v>335294.09091051662</v>
      </c>
      <c r="I26" s="6">
        <f>'Option 2'!T93+'Option 2'!T96</f>
        <v>624941.50389903598</v>
      </c>
      <c r="J26" s="6">
        <f>'Option 2'!U93+'Option 2'!U96</f>
        <v>119958.50350015167</v>
      </c>
      <c r="K26" s="6">
        <f>SUM(F26:J26)</f>
        <v>2182994.2106851749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2'!Q94+'Option 2'!Q97</f>
        <v>0</v>
      </c>
      <c r="G27" s="6">
        <f>'Option 2'!R94+'Option 2'!R97</f>
        <v>98470.510954940473</v>
      </c>
      <c r="H27" s="6">
        <f>'Option 2'!S94+'Option 2'!S97</f>
        <v>295411.53286482138</v>
      </c>
      <c r="I27" s="6">
        <f>'Option 2'!T94+'Option 2'!T97</f>
        <v>355159.36120034283</v>
      </c>
      <c r="J27" s="6">
        <f>'Option 2'!U94+'Option 2'!U97</f>
        <v>0</v>
      </c>
      <c r="K27" s="6">
        <f t="shared" ref="K27:K28" si="6">SUM(F27:J27)</f>
        <v>749041.40502010472</v>
      </c>
      <c r="M27" s="98"/>
    </row>
    <row r="28" spans="2:13" x14ac:dyDescent="0.2">
      <c r="C28" s="1" t="s">
        <v>14</v>
      </c>
      <c r="D28" s="107" t="s">
        <v>12</v>
      </c>
      <c r="F28" s="6">
        <f>'Option 2'!Q95+'Option 2'!Q98</f>
        <v>386507.43945954688</v>
      </c>
      <c r="G28" s="6">
        <f>'Option 2'!R95+'Option 2'!R98</f>
        <v>1875018.8068585296</v>
      </c>
      <c r="H28" s="6">
        <f>'Option 2'!S95+'Option 2'!S98</f>
        <v>983227.85494405858</v>
      </c>
      <c r="I28" s="6">
        <f>'Option 2'!T95+'Option 2'!T98</f>
        <v>453241.4656416839</v>
      </c>
      <c r="J28" s="6">
        <f>'Option 2'!U95+'Option 2'!U98</f>
        <v>119571.33473099914</v>
      </c>
      <c r="K28" s="6">
        <f t="shared" si="6"/>
        <v>3817566.9016348179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910452.34327880607</v>
      </c>
      <c r="G29" s="105">
        <f t="shared" ref="G29" si="7">SUM(G26:G28)</f>
        <v>2552344.5263696816</v>
      </c>
      <c r="H29" s="105">
        <f t="shared" ref="H29" si="8">SUM(H26:H28)</f>
        <v>1613933.4787193965</v>
      </c>
      <c r="I29" s="105">
        <f t="shared" ref="I29" si="9">SUM(I26:I28)</f>
        <v>1433342.3307410628</v>
      </c>
      <c r="J29" s="105">
        <f t="shared" ref="J29" si="10">SUM(J26:J28)</f>
        <v>239529.83823115082</v>
      </c>
      <c r="K29" s="105">
        <f t="shared" ref="K29" si="11">SUM(K26:K28)</f>
        <v>6749602.5173400976</v>
      </c>
      <c r="M29" s="98"/>
    </row>
    <row r="30" spans="2:13" x14ac:dyDescent="0.2">
      <c r="C30" s="1" t="s">
        <v>11</v>
      </c>
      <c r="D30" s="107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8"/>
      <c r="F34" s="6"/>
      <c r="G34" s="6"/>
      <c r="H34" s="6"/>
      <c r="I34" s="6"/>
      <c r="J34" s="6"/>
      <c r="K34" s="6"/>
      <c r="M34" s="98"/>
    </row>
    <row r="35" spans="2:13" x14ac:dyDescent="0.2">
      <c r="C35" s="113" t="str">
        <f>"Total Cost ($ "&amp;Assumptions!$C$35&amp;")"</f>
        <v>Total Cost ($ June 2026)</v>
      </c>
      <c r="D35" s="21"/>
      <c r="E35" s="21"/>
      <c r="F35" s="22">
        <f t="shared" ref="F35:K35" si="18">F29+F33</f>
        <v>910452.34327880607</v>
      </c>
      <c r="G35" s="22">
        <f t="shared" si="18"/>
        <v>2552344.5263696816</v>
      </c>
      <c r="H35" s="22">
        <f t="shared" si="18"/>
        <v>1613933.4787193965</v>
      </c>
      <c r="I35" s="22">
        <f t="shared" si="18"/>
        <v>1433342.3307410628</v>
      </c>
      <c r="J35" s="22">
        <f t="shared" si="18"/>
        <v>239529.83823115082</v>
      </c>
      <c r="K35" s="22">
        <f t="shared" si="18"/>
        <v>6749602.5173400976</v>
      </c>
      <c r="L35" s="57">
        <f>K35-'Option 2'!$V$108</f>
        <v>0</v>
      </c>
    </row>
    <row r="37" spans="2:13" x14ac:dyDescent="0.2">
      <c r="C37" s="53" t="s">
        <v>18</v>
      </c>
      <c r="D37" s="22"/>
      <c r="E37" s="22"/>
      <c r="F37" s="22">
        <f>NPV(Assumptions!$B$10,F35:J35)</f>
        <v>6168733.284946627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3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3'!Q93+'Option 3'!Q96</f>
        <v>523944.9038192592</v>
      </c>
      <c r="G41" s="6">
        <f>'Option 3'!R93+'Option 3'!R96</f>
        <v>1108315.7392005958</v>
      </c>
      <c r="H41" s="6">
        <f>'Option 3'!S93+'Option 3'!S96</f>
        <v>388240.14397495502</v>
      </c>
      <c r="I41" s="6">
        <f>'Option 3'!T93+'Option 3'!T96</f>
        <v>624941.50389903598</v>
      </c>
      <c r="J41" s="6">
        <f>'Option 3'!U93+'Option 3'!U96</f>
        <v>119958.50350015167</v>
      </c>
      <c r="K41" s="6">
        <f>SUM(F41:J41)</f>
        <v>2765400.7943939976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3'!Q94+'Option 3'!Q97</f>
        <v>0</v>
      </c>
      <c r="G42" s="6">
        <f>'Option 3'!R94+'Option 3'!R97</f>
        <v>98470.510954940473</v>
      </c>
      <c r="H42" s="6">
        <f>'Option 3'!S94+'Option 3'!S97</f>
        <v>295411.53286482138</v>
      </c>
      <c r="I42" s="6">
        <f>'Option 3'!T94+'Option 3'!T97</f>
        <v>355159.36120034283</v>
      </c>
      <c r="J42" s="6">
        <f>'Option 3'!U94+'Option 3'!U97</f>
        <v>0</v>
      </c>
      <c r="K42" s="6">
        <f t="shared" ref="K42:K43" si="20">SUM(F42:J42)</f>
        <v>749041.40502010472</v>
      </c>
      <c r="M42" s="98"/>
    </row>
    <row r="43" spans="2:13" x14ac:dyDescent="0.2">
      <c r="C43" s="1" t="s">
        <v>14</v>
      </c>
      <c r="D43" s="107" t="s">
        <v>12</v>
      </c>
      <c r="F43" s="6">
        <f>'Option 3'!Q95+'Option 3'!Q98</f>
        <v>386507.43945954688</v>
      </c>
      <c r="G43" s="6">
        <f>'Option 3'!R95+'Option 3'!R98</f>
        <v>3841474.5167466467</v>
      </c>
      <c r="H43" s="6">
        <f>'Option 3'!S95+'Option 3'!S98</f>
        <v>1271310.3289624581</v>
      </c>
      <c r="I43" s="6">
        <f>'Option 3'!T95+'Option 3'!T98</f>
        <v>453241.4656416839</v>
      </c>
      <c r="J43" s="6">
        <f>'Option 3'!U95+'Option 3'!U98</f>
        <v>119571.33473099914</v>
      </c>
      <c r="K43" s="6">
        <f t="shared" si="20"/>
        <v>6072105.0855413349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910452.34327880607</v>
      </c>
      <c r="G44" s="105">
        <f t="shared" ref="G44" si="21">SUM(G41:G43)</f>
        <v>5048260.7669021832</v>
      </c>
      <c r="H44" s="105">
        <f t="shared" ref="H44" si="22">SUM(H41:H43)</f>
        <v>1954962.0058022344</v>
      </c>
      <c r="I44" s="105">
        <f t="shared" ref="I44" si="23">SUM(I41:I43)</f>
        <v>1433342.3307410628</v>
      </c>
      <c r="J44" s="105">
        <f t="shared" ref="J44" si="24">SUM(J41:J43)</f>
        <v>239529.83823115082</v>
      </c>
      <c r="K44" s="105">
        <f t="shared" ref="K44" si="25">SUM(K41:K43)</f>
        <v>9586547.2849554382</v>
      </c>
      <c r="M44" s="98"/>
    </row>
    <row r="45" spans="2:13" x14ac:dyDescent="0.2">
      <c r="C45" s="1" t="s">
        <v>11</v>
      </c>
      <c r="D45" s="107" t="s">
        <v>16</v>
      </c>
      <c r="F45" s="6">
        <f>'Option 3'!Q100+'Option 3'!Q103</f>
        <v>0</v>
      </c>
      <c r="G45" s="6">
        <f>'Option 3'!R100+'Option 3'!R103</f>
        <v>0</v>
      </c>
      <c r="H45" s="6">
        <f>'Option 3'!S100+'Option 3'!S103</f>
        <v>0</v>
      </c>
      <c r="I45" s="6">
        <f>'Option 3'!T100+'Option 3'!T103</f>
        <v>0</v>
      </c>
      <c r="J45" s="6">
        <f>'Option 3'!U100+'Option 3'!U103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3'!Q101+'Option 3'!Q104</f>
        <v>0</v>
      </c>
      <c r="G46" s="6">
        <f>'Option 3'!R101+'Option 3'!R104</f>
        <v>0</v>
      </c>
      <c r="H46" s="6">
        <f>'Option 3'!S101+'Option 3'!S104</f>
        <v>0</v>
      </c>
      <c r="I46" s="6">
        <f>'Option 3'!T101+'Option 3'!T104</f>
        <v>0</v>
      </c>
      <c r="J46" s="6">
        <f>'Option 3'!U101+'Option 3'!U104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3'!Q102+'Option 3'!Q105</f>
        <v>0</v>
      </c>
      <c r="G47" s="6">
        <f>'Option 3'!R102+'Option 3'!R105</f>
        <v>0</v>
      </c>
      <c r="H47" s="6">
        <f>'Option 3'!S102+'Option 3'!S105</f>
        <v>0</v>
      </c>
      <c r="I47" s="6">
        <f>'Option 3'!T102+'Option 3'!T105</f>
        <v>0</v>
      </c>
      <c r="J47" s="6">
        <f>'Option 3'!U102+'Option 3'!U105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8"/>
      <c r="F49" s="6"/>
      <c r="G49" s="6"/>
      <c r="H49" s="6"/>
      <c r="I49" s="6"/>
      <c r="J49" s="6"/>
      <c r="K49" s="6"/>
      <c r="M49" s="98"/>
    </row>
    <row r="50" spans="2:13" x14ac:dyDescent="0.2">
      <c r="C50" s="113" t="str">
        <f>"Total Cost ($ "&amp;Assumptions!$C35&amp;")"</f>
        <v>Total Cost ($ June 2026)</v>
      </c>
      <c r="D50" s="21"/>
      <c r="E50" s="21"/>
      <c r="F50" s="22">
        <f t="shared" ref="F50:K50" si="32">F44+F48</f>
        <v>910452.34327880607</v>
      </c>
      <c r="G50" s="22">
        <f t="shared" si="32"/>
        <v>5048260.7669021832</v>
      </c>
      <c r="H50" s="22">
        <f t="shared" si="32"/>
        <v>1954962.0058022344</v>
      </c>
      <c r="I50" s="22">
        <f t="shared" si="32"/>
        <v>1433342.3307410628</v>
      </c>
      <c r="J50" s="22">
        <f t="shared" si="32"/>
        <v>239529.83823115082</v>
      </c>
      <c r="K50" s="22">
        <f t="shared" si="32"/>
        <v>9586547.2849554382</v>
      </c>
      <c r="L50" s="57">
        <f>K50-'Option 3'!$V$108</f>
        <v>0</v>
      </c>
    </row>
    <row r="52" spans="2:13" x14ac:dyDescent="0.2">
      <c r="B52" s="26"/>
      <c r="C52" s="53" t="s">
        <v>18</v>
      </c>
      <c r="D52" s="22"/>
      <c r="E52" s="22"/>
      <c r="F52" s="22">
        <f>NPV(Assumptions!$B$10,F50:J50)</f>
        <v>8806285.9951290768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9A230-C3DD-4769-AB68-DB1EA8B47670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tabSelected="1" topLeftCell="A3" zoomScale="90" zoomScaleNormal="90" workbookViewId="0">
      <selection activeCell="B27" sqref="B27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Telephony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82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7" t="s">
        <v>84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26</v>
      </c>
      <c r="B10" s="139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27</v>
      </c>
      <c r="B12" s="78" t="s">
        <v>76</v>
      </c>
      <c r="C12" s="43" t="s">
        <v>28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29</v>
      </c>
      <c r="B14" s="140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2">
        <v>0.7</v>
      </c>
    </row>
    <row r="19" spans="1:12" ht="12.75" customHeight="1" x14ac:dyDescent="0.25">
      <c r="A19" s="43" t="s">
        <v>31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4</v>
      </c>
      <c r="B24" s="85" t="s">
        <v>92</v>
      </c>
      <c r="C24" s="86"/>
      <c r="D24" s="86"/>
      <c r="E24" s="86"/>
      <c r="F24" s="86"/>
      <c r="G24" s="87"/>
    </row>
    <row r="25" spans="1:12" ht="12.75" customHeight="1" x14ac:dyDescent="0.25">
      <c r="A25" s="43" t="s">
        <v>19</v>
      </c>
      <c r="B25" s="88" t="s">
        <v>93</v>
      </c>
      <c r="C25" s="89"/>
      <c r="D25" s="89"/>
      <c r="E25" s="89"/>
      <c r="F25" s="89"/>
      <c r="G25" s="90"/>
    </row>
    <row r="26" spans="1:12" ht="12.75" customHeight="1" x14ac:dyDescent="0.25">
      <c r="A26" s="43" t="s">
        <v>3</v>
      </c>
      <c r="B26" s="88" t="s">
        <v>94</v>
      </c>
      <c r="C26" s="89"/>
      <c r="D26" s="89"/>
      <c r="E26" s="89"/>
      <c r="F26" s="89"/>
      <c r="G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85</v>
      </c>
      <c r="B29" s="39"/>
      <c r="C29" s="39"/>
      <c r="D29" s="40"/>
      <c r="E29" s="137" t="s">
        <v>75</v>
      </c>
      <c r="F29" s="137" t="s">
        <v>76</v>
      </c>
      <c r="G29" s="137" t="s">
        <v>77</v>
      </c>
      <c r="H29" s="137" t="s">
        <v>78</v>
      </c>
      <c r="I29" s="100"/>
      <c r="J29" s="40"/>
      <c r="K29" s="40"/>
    </row>
    <row r="30" spans="1:12" ht="12.75" customHeight="1" x14ac:dyDescent="0.25">
      <c r="A30" s="119" t="s">
        <v>72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143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33</v>
      </c>
      <c r="C35" s="141" t="s">
        <v>78</v>
      </c>
      <c r="D35" t="s">
        <v>28</v>
      </c>
    </row>
    <row r="36" spans="1:11" ht="12.75" customHeight="1" x14ac:dyDescent="0.25">
      <c r="A36" s="43" t="s">
        <v>34</v>
      </c>
      <c r="C36" s="42" t="str">
        <f>$B$12</f>
        <v>June 2024</v>
      </c>
    </row>
    <row r="37" spans="1:11" ht="12.75" customHeight="1" x14ac:dyDescent="0.25">
      <c r="A37" s="43" t="s">
        <v>35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143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36</v>
      </c>
      <c r="C41" s="142" t="s">
        <v>37</v>
      </c>
      <c r="D41" t="s">
        <v>79</v>
      </c>
    </row>
    <row r="42" spans="1:11" ht="12.75" customHeight="1" x14ac:dyDescent="0.25">
      <c r="A42" s="43" t="s">
        <v>34</v>
      </c>
      <c r="C42" s="96">
        <v>135.18960020374115</v>
      </c>
      <c r="D42" t="s">
        <v>80</v>
      </c>
    </row>
    <row r="43" spans="1:11" ht="12.75" customHeight="1" x14ac:dyDescent="0.25">
      <c r="A43" s="43" t="s">
        <v>35</v>
      </c>
      <c r="C43" s="97">
        <v>145.77740895836223</v>
      </c>
      <c r="D43" t="s">
        <v>81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85" zoomScaleNormal="85" workbookViewId="0">
      <pane ySplit="9" topLeftCell="A10" activePane="bottomLeft" state="frozen"/>
      <selection activeCell="N40" sqref="N40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38</v>
      </c>
      <c r="E10" s="81" t="s">
        <v>11</v>
      </c>
      <c r="F10" s="79" t="s">
        <v>50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1376.39704299864*63.2/100</f>
        <v>869.88293117514058</v>
      </c>
      <c r="L10" s="82">
        <f>1376.39704299864*63.2/100</f>
        <v>869.88293117514058</v>
      </c>
      <c r="M10" s="82">
        <f>1376.39704299864*63.2/100</f>
        <v>869.88293117514058</v>
      </c>
      <c r="N10" s="82">
        <f>1376.39704299864*63.2/100</f>
        <v>869.88293117514058</v>
      </c>
      <c r="O10" s="82">
        <f>1376.39704299864*63.2/100</f>
        <v>869.88293117514058</v>
      </c>
      <c r="P10" s="2"/>
      <c r="Q10" s="5">
        <f t="shared" ref="Q10:Q54" si="0">IF($E10="Labour",$H10*K10,K10)</f>
        <v>126809.27980381734</v>
      </c>
      <c r="R10" s="5">
        <f t="shared" ref="R10:R54" si="1">IF($E10="Labour",$H10*L10,L10)</f>
        <v>126809.27980381734</v>
      </c>
      <c r="S10" s="5">
        <f t="shared" ref="S10:S54" si="2">IF($E10="Labour",$H10*M10,M10)</f>
        <v>126809.27980381734</v>
      </c>
      <c r="T10" s="5">
        <f t="shared" ref="T10:T54" si="3">IF($E10="Labour",$H10*N10,N10)</f>
        <v>126809.27980381734</v>
      </c>
      <c r="U10" s="5">
        <f t="shared" ref="U10:U54" si="4">IF($E10="Labour",$H10*O10,O10)</f>
        <v>126809.27980381734</v>
      </c>
    </row>
    <row r="11" spans="1:26" ht="12.75" customHeight="1" x14ac:dyDescent="0.2">
      <c r="A11" s="4"/>
      <c r="C11" s="80" t="s">
        <v>51</v>
      </c>
      <c r="D11" s="81" t="s">
        <v>38</v>
      </c>
      <c r="E11" s="81" t="s">
        <v>14</v>
      </c>
      <c r="F11" s="79" t="s">
        <v>50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>
        <f>500000*63.2/100</f>
        <v>316000</v>
      </c>
      <c r="L11" s="82">
        <f>500000*63.2/100</f>
        <v>316000</v>
      </c>
      <c r="M11" s="82">
        <f>500000*63.2/100</f>
        <v>316000</v>
      </c>
      <c r="N11" s="82">
        <f>500000*63.2/100</f>
        <v>316000</v>
      </c>
      <c r="O11" s="82">
        <f>500000*63.2/100</f>
        <v>316000</v>
      </c>
      <c r="P11" s="2"/>
      <c r="Q11" s="5">
        <f t="shared" si="0"/>
        <v>316000</v>
      </c>
      <c r="R11" s="5">
        <f t="shared" si="1"/>
        <v>316000</v>
      </c>
      <c r="S11" s="5">
        <f t="shared" si="2"/>
        <v>316000</v>
      </c>
      <c r="T11" s="5">
        <f t="shared" si="3"/>
        <v>316000</v>
      </c>
      <c r="U11" s="5">
        <f t="shared" si="4"/>
        <v>316000</v>
      </c>
    </row>
    <row r="12" spans="1:26" ht="12.75" customHeight="1" x14ac:dyDescent="0.2">
      <c r="A12" s="4"/>
      <c r="C12" s="80" t="s">
        <v>52</v>
      </c>
      <c r="D12" s="81" t="s">
        <v>38</v>
      </c>
      <c r="E12" s="81" t="s">
        <v>11</v>
      </c>
      <c r="F12" s="79" t="s">
        <v>50</v>
      </c>
      <c r="G12" s="2"/>
      <c r="H12" s="63">
        <f>IF($E12="Labour",Assumptions!$B$14,)</f>
        <v>145.77740895836223</v>
      </c>
      <c r="I12" s="9" t="str">
        <f t="shared" si="5"/>
        <v>Hours</v>
      </c>
      <c r="J12" s="2"/>
      <c r="K12" s="82">
        <f>0.7*K9</f>
        <v>0</v>
      </c>
      <c r="L12" s="82">
        <f t="shared" ref="L12:O12" si="6">0.7*L9</f>
        <v>0</v>
      </c>
      <c r="M12" s="82">
        <f t="shared" si="6"/>
        <v>0</v>
      </c>
      <c r="N12" s="82">
        <f t="shared" si="6"/>
        <v>0</v>
      </c>
      <c r="O12" s="82">
        <f t="shared" si="6"/>
        <v>0</v>
      </c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0" t="s">
        <v>53</v>
      </c>
      <c r="D13" s="81" t="s">
        <v>38</v>
      </c>
      <c r="E13" s="81" t="s">
        <v>14</v>
      </c>
      <c r="F13" s="79" t="s">
        <v>50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>
        <f>0.5*K10</f>
        <v>434.94146558757029</v>
      </c>
      <c r="L13" s="82">
        <f t="shared" ref="L13:O13" si="7">0.5*L10</f>
        <v>434.94146558757029</v>
      </c>
      <c r="M13" s="82">
        <f t="shared" si="7"/>
        <v>434.94146558757029</v>
      </c>
      <c r="N13" s="82">
        <f t="shared" si="7"/>
        <v>434.94146558757029</v>
      </c>
      <c r="O13" s="82">
        <f t="shared" si="7"/>
        <v>434.94146558757029</v>
      </c>
      <c r="P13" s="2"/>
      <c r="Q13" s="5">
        <f t="shared" si="0"/>
        <v>434.94146558757029</v>
      </c>
      <c r="R13" s="5">
        <f t="shared" si="1"/>
        <v>434.94146558757029</v>
      </c>
      <c r="S13" s="5">
        <f t="shared" si="2"/>
        <v>434.94146558757029</v>
      </c>
      <c r="T13" s="5">
        <f t="shared" si="3"/>
        <v>434.94146558757029</v>
      </c>
      <c r="U13" s="5">
        <f t="shared" si="4"/>
        <v>434.94146558757029</v>
      </c>
      <c r="Z13"/>
    </row>
    <row r="14" spans="1:26" ht="12.75" customHeight="1" x14ac:dyDescent="0.25">
      <c r="A14" s="4"/>
      <c r="C14" s="80" t="s">
        <v>68</v>
      </c>
      <c r="D14" s="81" t="s">
        <v>46</v>
      </c>
      <c r="E14" s="81" t="s">
        <v>14</v>
      </c>
      <c r="F14" s="79" t="s">
        <v>50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>
        <v>107450</v>
      </c>
      <c r="M14" s="82">
        <v>118195</v>
      </c>
      <c r="N14" s="82">
        <v>130015</v>
      </c>
      <c r="O14" s="82">
        <v>143016</v>
      </c>
      <c r="P14" s="2"/>
      <c r="Q14" s="5">
        <f t="shared" si="0"/>
        <v>0</v>
      </c>
      <c r="R14" s="5">
        <f t="shared" si="1"/>
        <v>107450</v>
      </c>
      <c r="S14" s="5">
        <f t="shared" si="2"/>
        <v>118195</v>
      </c>
      <c r="T14" s="5">
        <f t="shared" si="3"/>
        <v>130015</v>
      </c>
      <c r="U14" s="5">
        <f t="shared" si="4"/>
        <v>143016</v>
      </c>
      <c r="Z14"/>
    </row>
    <row r="15" spans="1:26" ht="12.75" customHeight="1" x14ac:dyDescent="0.25">
      <c r="A15" s="4"/>
      <c r="C15" s="80"/>
      <c r="D15" s="81"/>
      <c r="E15" s="81"/>
      <c r="F15" s="79"/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/>
      <c r="D16" s="81"/>
      <c r="E16" s="81"/>
      <c r="F16" s="79"/>
      <c r="G16" s="2"/>
      <c r="H16" s="63">
        <f>IF($E16="Labour",Assumptions!$B$14,)</f>
        <v>0</v>
      </c>
      <c r="I16" s="9" t="str">
        <f t="shared" si="5"/>
        <v>$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/>
      <c r="D17" s="81"/>
      <c r="E17" s="81"/>
      <c r="F17" s="79"/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/>
      <c r="D18" s="81"/>
      <c r="E18" s="81"/>
      <c r="F18" s="79"/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/>
      <c r="D19" s="81"/>
      <c r="E19" s="81"/>
      <c r="F19" s="79"/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/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/>
      <c r="D20" s="81"/>
      <c r="E20" s="81"/>
      <c r="F20" s="79"/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/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38</v>
      </c>
      <c r="E58" s="24"/>
      <c r="F58" s="24" t="s">
        <v>50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8">SUMIFS(Q$10:Q$54,$E$10:$E$54,$C58,$D$10:$D$54,$D58,$F$10:$F$54,$F58)</f>
        <v>126809.27980381734</v>
      </c>
      <c r="R58" s="25">
        <f t="shared" si="8"/>
        <v>126809.27980381734</v>
      </c>
      <c r="S58" s="25">
        <f t="shared" si="8"/>
        <v>126809.27980381734</v>
      </c>
      <c r="T58" s="25">
        <f t="shared" si="8"/>
        <v>126809.27980381734</v>
      </c>
      <c r="U58" s="25">
        <f t="shared" si="8"/>
        <v>126809.27980381734</v>
      </c>
      <c r="V58" s="70">
        <f>SUM(Q58:U58)</f>
        <v>634046.39901908673</v>
      </c>
    </row>
    <row r="59" spans="1:26" ht="12.75" customHeight="1" x14ac:dyDescent="0.2">
      <c r="C59" s="1" t="s">
        <v>13</v>
      </c>
      <c r="D59" s="1" t="s">
        <v>38</v>
      </c>
      <c r="F59" s="1" t="s">
        <v>50</v>
      </c>
      <c r="G59" s="2"/>
      <c r="H59" s="67"/>
      <c r="J59" s="2"/>
      <c r="P59" s="2"/>
      <c r="Q59" s="6">
        <f t="shared" si="8"/>
        <v>0</v>
      </c>
      <c r="R59" s="6">
        <f t="shared" si="8"/>
        <v>0</v>
      </c>
      <c r="S59" s="6">
        <f t="shared" si="8"/>
        <v>0</v>
      </c>
      <c r="T59" s="6">
        <f t="shared" si="8"/>
        <v>0</v>
      </c>
      <c r="U59" s="6">
        <f t="shared" si="8"/>
        <v>0</v>
      </c>
      <c r="V59" s="71">
        <f t="shared" ref="V59:V73" si="9">SUM(Q59:U59)</f>
        <v>0</v>
      </c>
    </row>
    <row r="60" spans="1:26" ht="12.75" customHeight="1" x14ac:dyDescent="0.2">
      <c r="C60" s="1" t="s">
        <v>14</v>
      </c>
      <c r="D60" s="1" t="s">
        <v>38</v>
      </c>
      <c r="F60" s="1" t="s">
        <v>50</v>
      </c>
      <c r="G60" s="2"/>
      <c r="H60" s="67"/>
      <c r="J60" s="2"/>
      <c r="P60" s="2"/>
      <c r="Q60" s="6">
        <f t="shared" si="8"/>
        <v>316434.94146558759</v>
      </c>
      <c r="R60" s="6">
        <f t="shared" si="8"/>
        <v>316434.94146558759</v>
      </c>
      <c r="S60" s="6">
        <f t="shared" si="8"/>
        <v>316434.94146558759</v>
      </c>
      <c r="T60" s="6">
        <f t="shared" si="8"/>
        <v>316434.94146558759</v>
      </c>
      <c r="U60" s="6">
        <f t="shared" si="8"/>
        <v>316434.94146558759</v>
      </c>
      <c r="V60" s="71">
        <f t="shared" si="9"/>
        <v>1582174.7073279379</v>
      </c>
    </row>
    <row r="61" spans="1:26" ht="12.75" customHeight="1" x14ac:dyDescent="0.2">
      <c r="C61" s="1" t="s">
        <v>11</v>
      </c>
      <c r="D61" s="1" t="s">
        <v>38</v>
      </c>
      <c r="F61" s="1" t="s">
        <v>47</v>
      </c>
      <c r="G61" s="2"/>
      <c r="H61" s="67"/>
      <c r="J61" s="2"/>
      <c r="P61" s="2"/>
      <c r="Q61" s="6">
        <f t="shared" si="8"/>
        <v>0</v>
      </c>
      <c r="R61" s="6">
        <f t="shared" si="8"/>
        <v>0</v>
      </c>
      <c r="S61" s="6">
        <f t="shared" si="8"/>
        <v>0</v>
      </c>
      <c r="T61" s="6">
        <f t="shared" si="8"/>
        <v>0</v>
      </c>
      <c r="U61" s="6">
        <f t="shared" si="8"/>
        <v>0</v>
      </c>
      <c r="V61" s="71">
        <f t="shared" ref="V61:V63" si="10">SUM(Q61:U61)</f>
        <v>0</v>
      </c>
    </row>
    <row r="62" spans="1:26" ht="12.75" customHeight="1" x14ac:dyDescent="0.2">
      <c r="C62" s="1" t="s">
        <v>13</v>
      </c>
      <c r="D62" s="1" t="s">
        <v>38</v>
      </c>
      <c r="F62" s="1" t="s">
        <v>47</v>
      </c>
      <c r="G62" s="2"/>
      <c r="H62" s="67"/>
      <c r="J62" s="2"/>
      <c r="P62" s="2"/>
      <c r="Q62" s="6">
        <f t="shared" si="8"/>
        <v>0</v>
      </c>
      <c r="R62" s="6">
        <f t="shared" si="8"/>
        <v>0</v>
      </c>
      <c r="S62" s="6">
        <f t="shared" si="8"/>
        <v>0</v>
      </c>
      <c r="T62" s="6">
        <f t="shared" si="8"/>
        <v>0</v>
      </c>
      <c r="U62" s="6">
        <f t="shared" si="8"/>
        <v>0</v>
      </c>
      <c r="V62" s="71">
        <f t="shared" si="10"/>
        <v>0</v>
      </c>
    </row>
    <row r="63" spans="1:26" ht="12.75" customHeight="1" x14ac:dyDescent="0.2">
      <c r="C63" s="1" t="s">
        <v>14</v>
      </c>
      <c r="D63" s="1" t="s">
        <v>38</v>
      </c>
      <c r="F63" s="1" t="s">
        <v>47</v>
      </c>
      <c r="G63" s="2"/>
      <c r="H63" s="67"/>
      <c r="J63" s="2"/>
      <c r="P63" s="2"/>
      <c r="Q63" s="6">
        <f t="shared" si="8"/>
        <v>0</v>
      </c>
      <c r="R63" s="6">
        <f t="shared" si="8"/>
        <v>0</v>
      </c>
      <c r="S63" s="6">
        <f t="shared" si="8"/>
        <v>0</v>
      </c>
      <c r="T63" s="6">
        <f t="shared" si="8"/>
        <v>0</v>
      </c>
      <c r="U63" s="6">
        <f t="shared" si="8"/>
        <v>0</v>
      </c>
      <c r="V63" s="71">
        <f t="shared" si="10"/>
        <v>0</v>
      </c>
    </row>
    <row r="64" spans="1:26" ht="12.75" customHeight="1" x14ac:dyDescent="0.2">
      <c r="C64" s="21" t="s">
        <v>15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443244.22126940492</v>
      </c>
      <c r="R64" s="22">
        <f t="shared" ref="R64:U64" si="11">SUM(R58:R63)</f>
        <v>443244.22126940492</v>
      </c>
      <c r="S64" s="22">
        <f t="shared" si="11"/>
        <v>443244.22126940492</v>
      </c>
      <c r="T64" s="22">
        <f t="shared" si="11"/>
        <v>443244.22126940492</v>
      </c>
      <c r="U64" s="22">
        <f t="shared" si="11"/>
        <v>443244.22126940492</v>
      </c>
      <c r="V64" s="22">
        <f>SUM(V58:V63)</f>
        <v>2216221.1063470244</v>
      </c>
    </row>
    <row r="65" spans="3:23" ht="12.75" customHeight="1" x14ac:dyDescent="0.2">
      <c r="C65" s="1" t="s">
        <v>11</v>
      </c>
      <c r="D65" s="1" t="s">
        <v>46</v>
      </c>
      <c r="F65" s="1" t="s">
        <v>50</v>
      </c>
      <c r="G65" s="2"/>
      <c r="H65" s="67"/>
      <c r="J65" s="2"/>
      <c r="P65" s="2"/>
      <c r="Q65" s="6">
        <f t="shared" ref="Q65:U70" si="12">SUMIFS(Q$10:Q$54,$E$10:$E$54,$C65,$D$10:$D$54,$D65,$F$10:$F$54,$F65)</f>
        <v>0</v>
      </c>
      <c r="R65" s="6">
        <f t="shared" si="12"/>
        <v>0</v>
      </c>
      <c r="S65" s="6">
        <f t="shared" si="12"/>
        <v>0</v>
      </c>
      <c r="T65" s="6">
        <f t="shared" si="12"/>
        <v>0</v>
      </c>
      <c r="U65" s="6">
        <f t="shared" si="12"/>
        <v>0</v>
      </c>
      <c r="V65" s="71">
        <f t="shared" si="9"/>
        <v>0</v>
      </c>
    </row>
    <row r="66" spans="3:23" ht="12.75" customHeight="1" x14ac:dyDescent="0.2">
      <c r="C66" s="1" t="s">
        <v>13</v>
      </c>
      <c r="D66" s="1" t="s">
        <v>46</v>
      </c>
      <c r="F66" s="1" t="s">
        <v>50</v>
      </c>
      <c r="G66" s="2"/>
      <c r="H66" s="67"/>
      <c r="J66" s="2"/>
      <c r="P66" s="2"/>
      <c r="Q66" s="6">
        <f t="shared" si="12"/>
        <v>0</v>
      </c>
      <c r="R66" s="6">
        <f t="shared" si="12"/>
        <v>0</v>
      </c>
      <c r="S66" s="6">
        <f t="shared" si="12"/>
        <v>0</v>
      </c>
      <c r="T66" s="6">
        <f t="shared" si="12"/>
        <v>0</v>
      </c>
      <c r="U66" s="6">
        <f t="shared" si="12"/>
        <v>0</v>
      </c>
      <c r="V66" s="71">
        <f t="shared" si="9"/>
        <v>0</v>
      </c>
    </row>
    <row r="67" spans="3:23" ht="12.75" customHeight="1" x14ac:dyDescent="0.2">
      <c r="C67" s="1" t="s">
        <v>14</v>
      </c>
      <c r="D67" s="1" t="s">
        <v>46</v>
      </c>
      <c r="F67" s="1" t="s">
        <v>50</v>
      </c>
      <c r="G67" s="2"/>
      <c r="H67" s="67"/>
      <c r="J67" s="2"/>
      <c r="P67" s="2"/>
      <c r="Q67" s="6">
        <f t="shared" si="12"/>
        <v>0</v>
      </c>
      <c r="R67" s="6">
        <f t="shared" si="12"/>
        <v>107450</v>
      </c>
      <c r="S67" s="6">
        <f t="shared" si="12"/>
        <v>118195</v>
      </c>
      <c r="T67" s="6">
        <f t="shared" si="12"/>
        <v>130015</v>
      </c>
      <c r="U67" s="6">
        <f t="shared" si="12"/>
        <v>143016</v>
      </c>
      <c r="V67" s="71">
        <f t="shared" si="9"/>
        <v>498676</v>
      </c>
    </row>
    <row r="68" spans="3:23" ht="12.75" customHeight="1" x14ac:dyDescent="0.2">
      <c r="C68" s="1" t="s">
        <v>11</v>
      </c>
      <c r="D68" s="1" t="s">
        <v>46</v>
      </c>
      <c r="F68" s="1" t="s">
        <v>47</v>
      </c>
      <c r="G68" s="2"/>
      <c r="H68" s="67"/>
      <c r="J68" s="2"/>
      <c r="P68" s="2"/>
      <c r="Q68" s="6">
        <f t="shared" si="12"/>
        <v>0</v>
      </c>
      <c r="R68" s="6">
        <f t="shared" si="12"/>
        <v>0</v>
      </c>
      <c r="S68" s="6">
        <f t="shared" si="12"/>
        <v>0</v>
      </c>
      <c r="T68" s="6">
        <f t="shared" si="12"/>
        <v>0</v>
      </c>
      <c r="U68" s="6">
        <f t="shared" si="12"/>
        <v>0</v>
      </c>
      <c r="V68" s="71">
        <f t="shared" ref="V68:V69" si="13">SUM(Q68:U68)</f>
        <v>0</v>
      </c>
    </row>
    <row r="69" spans="3:23" ht="12.75" customHeight="1" x14ac:dyDescent="0.2">
      <c r="C69" s="1" t="s">
        <v>13</v>
      </c>
      <c r="D69" s="1" t="s">
        <v>46</v>
      </c>
      <c r="F69" s="1" t="s">
        <v>47</v>
      </c>
      <c r="G69" s="2"/>
      <c r="H69" s="67"/>
      <c r="J69" s="2"/>
      <c r="P69" s="2"/>
      <c r="Q69" s="6">
        <f t="shared" si="12"/>
        <v>0</v>
      </c>
      <c r="R69" s="6">
        <f t="shared" si="12"/>
        <v>0</v>
      </c>
      <c r="S69" s="6">
        <f t="shared" si="12"/>
        <v>0</v>
      </c>
      <c r="T69" s="6">
        <f t="shared" si="12"/>
        <v>0</v>
      </c>
      <c r="U69" s="6">
        <f t="shared" si="12"/>
        <v>0</v>
      </c>
      <c r="V69" s="71">
        <f t="shared" si="13"/>
        <v>0</v>
      </c>
    </row>
    <row r="70" spans="3:23" ht="12.75" customHeight="1" x14ac:dyDescent="0.2">
      <c r="C70" s="1" t="s">
        <v>14</v>
      </c>
      <c r="D70" s="1" t="s">
        <v>46</v>
      </c>
      <c r="F70" s="1" t="s">
        <v>47</v>
      </c>
      <c r="G70" s="2"/>
      <c r="H70" s="67"/>
      <c r="J70" s="2"/>
      <c r="P70" s="2"/>
      <c r="Q70" s="6">
        <f t="shared" si="12"/>
        <v>0</v>
      </c>
      <c r="R70" s="6">
        <f t="shared" si="12"/>
        <v>0</v>
      </c>
      <c r="S70" s="6">
        <f t="shared" si="12"/>
        <v>0</v>
      </c>
      <c r="T70" s="6">
        <f t="shared" si="12"/>
        <v>0</v>
      </c>
      <c r="U70" s="6">
        <f t="shared" si="12"/>
        <v>0</v>
      </c>
      <c r="V70" s="71">
        <f t="shared" ref="V70" si="14">SUM(Q70:U70)</f>
        <v>0</v>
      </c>
    </row>
    <row r="71" spans="3:23" ht="12.75" customHeight="1" x14ac:dyDescent="0.2">
      <c r="C71" s="21" t="s">
        <v>17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5">SUM(R65:R70)</f>
        <v>107450</v>
      </c>
      <c r="S71" s="22">
        <f t="shared" si="15"/>
        <v>118195</v>
      </c>
      <c r="T71" s="22">
        <f t="shared" si="15"/>
        <v>130015</v>
      </c>
      <c r="U71" s="22">
        <f t="shared" si="15"/>
        <v>143016</v>
      </c>
      <c r="V71" s="22">
        <f>SUM(V65:V70)</f>
        <v>498676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443244.22126940492</v>
      </c>
      <c r="R73" s="8">
        <f t="shared" ref="R73:U73" si="16">R64+R71</f>
        <v>550694.22126940498</v>
      </c>
      <c r="S73" s="8">
        <f t="shared" si="16"/>
        <v>561439.22126940498</v>
      </c>
      <c r="T73" s="8">
        <f t="shared" si="16"/>
        <v>573259.22126940498</v>
      </c>
      <c r="U73" s="8">
        <f t="shared" si="16"/>
        <v>586260.22126940498</v>
      </c>
      <c r="V73" s="72">
        <f t="shared" si="9"/>
        <v>2714897.1063470249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7">R73-SUM(R$10:R$54)</f>
        <v>0</v>
      </c>
      <c r="S74" s="45">
        <f t="shared" si="17"/>
        <v>0</v>
      </c>
      <c r="T74" s="45">
        <f t="shared" si="17"/>
        <v>0</v>
      </c>
      <c r="U74" s="45">
        <f t="shared" si="17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2441897.9126725798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8">SUMIFS(Q$10:Q$54,$D$10:$D$54,$D80,$F$10:$F$54,$F80)</f>
        <v>443244.22126940492</v>
      </c>
      <c r="R80" s="25">
        <f t="shared" si="18"/>
        <v>443244.22126940492</v>
      </c>
      <c r="S80" s="25">
        <f t="shared" si="18"/>
        <v>443244.22126940492</v>
      </c>
      <c r="T80" s="25">
        <f t="shared" si="18"/>
        <v>443244.22126940492</v>
      </c>
      <c r="U80" s="25">
        <f t="shared" si="18"/>
        <v>443244.22126940492</v>
      </c>
      <c r="V80" s="71">
        <f t="shared" ref="V80:V81" si="19">SUM(Q80:U80)</f>
        <v>2216221.1063470244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1">
        <f t="shared" si="18"/>
        <v>0</v>
      </c>
      <c r="R81" s="111">
        <f t="shared" si="18"/>
        <v>107450</v>
      </c>
      <c r="S81" s="111">
        <f t="shared" si="18"/>
        <v>118195</v>
      </c>
      <c r="T81" s="111">
        <f t="shared" si="18"/>
        <v>130015</v>
      </c>
      <c r="U81" s="111">
        <f t="shared" si="18"/>
        <v>143016</v>
      </c>
      <c r="V81" s="71">
        <f t="shared" si="19"/>
        <v>498676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443244.22126940492</v>
      </c>
      <c r="R82" s="22">
        <f t="shared" ref="R82:V82" si="20">SUM(R80:R81)</f>
        <v>550694.22126940498</v>
      </c>
      <c r="S82" s="22">
        <f t="shared" si="20"/>
        <v>561439.22126940498</v>
      </c>
      <c r="T82" s="22">
        <f t="shared" si="20"/>
        <v>573259.22126940498</v>
      </c>
      <c r="U82" s="22">
        <f t="shared" si="20"/>
        <v>586260.22126940498</v>
      </c>
      <c r="V82" s="22">
        <f t="shared" si="20"/>
        <v>2714897.1063470244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7"/>
      <c r="J83" s="2"/>
      <c r="P83" s="2"/>
      <c r="Q83" s="6">
        <f t="shared" ref="Q83:U84" si="21">SUMIFS(Q$10:Q$54,$D$10:$D$54,$D83,$F$10:$F$54,$F83)</f>
        <v>0</v>
      </c>
      <c r="R83" s="6">
        <f t="shared" si="21"/>
        <v>0</v>
      </c>
      <c r="S83" s="6">
        <f t="shared" si="21"/>
        <v>0</v>
      </c>
      <c r="T83" s="6">
        <f t="shared" si="21"/>
        <v>0</v>
      </c>
      <c r="U83" s="6">
        <f t="shared" si="21"/>
        <v>0</v>
      </c>
      <c r="V83" s="71">
        <f t="shared" ref="V83:V84" si="22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7"/>
      <c r="J84" s="2"/>
      <c r="P84" s="2"/>
      <c r="Q84" s="6">
        <f t="shared" si="21"/>
        <v>0</v>
      </c>
      <c r="R84" s="6">
        <f t="shared" si="21"/>
        <v>0</v>
      </c>
      <c r="S84" s="6">
        <f t="shared" si="21"/>
        <v>0</v>
      </c>
      <c r="T84" s="6">
        <f t="shared" si="21"/>
        <v>0</v>
      </c>
      <c r="U84" s="6">
        <f t="shared" si="21"/>
        <v>0</v>
      </c>
      <c r="V84" s="71">
        <f t="shared" si="22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U85" si="23">SUM(R83:R84)</f>
        <v>0</v>
      </c>
      <c r="S85" s="22">
        <f t="shared" si="23"/>
        <v>0</v>
      </c>
      <c r="T85" s="22">
        <f t="shared" si="23"/>
        <v>0</v>
      </c>
      <c r="U85" s="22">
        <f t="shared" si="23"/>
        <v>0</v>
      </c>
      <c r="V85" s="22">
        <f t="shared" ref="V85" si="24">SUM(V83:V84)</f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443244.22126940492</v>
      </c>
      <c r="R87" s="8">
        <f t="shared" ref="R87:U87" si="25">R82+R85</f>
        <v>550694.22126940498</v>
      </c>
      <c r="S87" s="8">
        <f t="shared" si="25"/>
        <v>561439.22126940498</v>
      </c>
      <c r="T87" s="8">
        <f t="shared" si="25"/>
        <v>573259.22126940498</v>
      </c>
      <c r="U87" s="8">
        <f t="shared" si="25"/>
        <v>586260.22126940498</v>
      </c>
      <c r="V87" s="72">
        <f t="shared" ref="V87" si="26">SUM(Q87:U87)</f>
        <v>2714897.1063470249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7">R87-SUM(R$10:R$54)</f>
        <v>0</v>
      </c>
      <c r="S88" s="45">
        <f t="shared" si="27"/>
        <v>0</v>
      </c>
      <c r="T88" s="45">
        <f t="shared" si="27"/>
        <v>0</v>
      </c>
      <c r="U88" s="45">
        <f t="shared" si="27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58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38</v>
      </c>
      <c r="E93" s="24"/>
      <c r="F93" s="24" t="s">
        <v>50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8">Q58*business_case_dollars</f>
        <v>141127.65117664903</v>
      </c>
      <c r="R93" s="34">
        <f t="shared" si="28"/>
        <v>141127.65117664903</v>
      </c>
      <c r="S93" s="34">
        <f t="shared" si="28"/>
        <v>141127.65117664903</v>
      </c>
      <c r="T93" s="34">
        <f t="shared" si="28"/>
        <v>141127.65117664903</v>
      </c>
      <c r="U93" s="34">
        <f t="shared" si="28"/>
        <v>141127.65117664903</v>
      </c>
      <c r="V93" s="70">
        <f>SUM(Q93:U93)</f>
        <v>705638.25588324515</v>
      </c>
    </row>
    <row r="94" spans="3:23" ht="12.75" customHeight="1" x14ac:dyDescent="0.2">
      <c r="C94" s="1" t="s">
        <v>13</v>
      </c>
      <c r="D94" s="1" t="s">
        <v>38</v>
      </c>
      <c r="F94" s="1" t="s">
        <v>50</v>
      </c>
      <c r="G94" s="2"/>
      <c r="H94" s="67"/>
      <c r="J94" s="2"/>
      <c r="P94" s="2"/>
      <c r="Q94" s="6">
        <f t="shared" si="28"/>
        <v>0</v>
      </c>
      <c r="R94" s="6">
        <f t="shared" si="28"/>
        <v>0</v>
      </c>
      <c r="S94" s="6">
        <f t="shared" si="28"/>
        <v>0</v>
      </c>
      <c r="T94" s="6">
        <f t="shared" si="28"/>
        <v>0</v>
      </c>
      <c r="U94" s="6">
        <f t="shared" si="28"/>
        <v>0</v>
      </c>
      <c r="V94" s="71">
        <f t="shared" ref="V94:V108" si="29">SUM(Q94:U94)</f>
        <v>0</v>
      </c>
    </row>
    <row r="95" spans="3:23" ht="12.75" customHeight="1" x14ac:dyDescent="0.2">
      <c r="C95" s="1" t="s">
        <v>14</v>
      </c>
      <c r="D95" s="1" t="s">
        <v>38</v>
      </c>
      <c r="F95" s="1" t="s">
        <v>50</v>
      </c>
      <c r="G95" s="2"/>
      <c r="H95" s="67"/>
      <c r="J95" s="2"/>
      <c r="P95" s="2"/>
      <c r="Q95" s="6">
        <f t="shared" si="28"/>
        <v>352164.4481251479</v>
      </c>
      <c r="R95" s="6">
        <f t="shared" si="28"/>
        <v>352164.4481251479</v>
      </c>
      <c r="S95" s="6">
        <f t="shared" si="28"/>
        <v>352164.4481251479</v>
      </c>
      <c r="T95" s="6">
        <f t="shared" si="28"/>
        <v>352164.4481251479</v>
      </c>
      <c r="U95" s="6">
        <f t="shared" si="28"/>
        <v>352164.4481251479</v>
      </c>
      <c r="V95" s="71">
        <f t="shared" si="29"/>
        <v>1760822.2406257396</v>
      </c>
    </row>
    <row r="96" spans="3:23" ht="12.75" customHeight="1" x14ac:dyDescent="0.2">
      <c r="C96" s="1" t="s">
        <v>11</v>
      </c>
      <c r="D96" s="1" t="s">
        <v>38</v>
      </c>
      <c r="F96" s="1" t="s">
        <v>47</v>
      </c>
      <c r="G96" s="2"/>
      <c r="H96" s="67"/>
      <c r="J96" s="2"/>
      <c r="P96" s="2"/>
      <c r="Q96" s="6">
        <f t="shared" si="28"/>
        <v>0</v>
      </c>
      <c r="R96" s="6">
        <f t="shared" si="28"/>
        <v>0</v>
      </c>
      <c r="S96" s="6">
        <f t="shared" si="28"/>
        <v>0</v>
      </c>
      <c r="T96" s="6">
        <f t="shared" si="28"/>
        <v>0</v>
      </c>
      <c r="U96" s="6">
        <f t="shared" si="28"/>
        <v>0</v>
      </c>
      <c r="V96" s="6">
        <f t="shared" si="29"/>
        <v>0</v>
      </c>
    </row>
    <row r="97" spans="3:23" ht="12.75" customHeight="1" x14ac:dyDescent="0.2">
      <c r="C97" s="1" t="s">
        <v>13</v>
      </c>
      <c r="D97" s="1" t="s">
        <v>38</v>
      </c>
      <c r="F97" s="1" t="s">
        <v>47</v>
      </c>
      <c r="G97" s="2"/>
      <c r="H97" s="67"/>
      <c r="J97" s="2"/>
      <c r="P97" s="2"/>
      <c r="Q97" s="6">
        <f t="shared" si="28"/>
        <v>0</v>
      </c>
      <c r="R97" s="6">
        <f t="shared" si="28"/>
        <v>0</v>
      </c>
      <c r="S97" s="6">
        <f t="shared" si="28"/>
        <v>0</v>
      </c>
      <c r="T97" s="6">
        <f t="shared" si="28"/>
        <v>0</v>
      </c>
      <c r="U97" s="6">
        <f t="shared" si="28"/>
        <v>0</v>
      </c>
      <c r="V97" s="6">
        <f t="shared" si="29"/>
        <v>0</v>
      </c>
    </row>
    <row r="98" spans="3:23" ht="12.75" customHeight="1" x14ac:dyDescent="0.2">
      <c r="C98" s="1" t="s">
        <v>14</v>
      </c>
      <c r="D98" s="1" t="s">
        <v>38</v>
      </c>
      <c r="F98" s="1" t="s">
        <v>47</v>
      </c>
      <c r="G98" s="2"/>
      <c r="H98" s="67"/>
      <c r="J98" s="2"/>
      <c r="P98" s="2"/>
      <c r="Q98" s="6">
        <f t="shared" si="28"/>
        <v>0</v>
      </c>
      <c r="R98" s="6">
        <f t="shared" si="28"/>
        <v>0</v>
      </c>
      <c r="S98" s="6">
        <f t="shared" si="28"/>
        <v>0</v>
      </c>
      <c r="T98" s="6">
        <f t="shared" si="28"/>
        <v>0</v>
      </c>
      <c r="U98" s="6">
        <f t="shared" si="28"/>
        <v>0</v>
      </c>
      <c r="V98" s="6">
        <f t="shared" si="29"/>
        <v>0</v>
      </c>
    </row>
    <row r="99" spans="3:23" ht="12.75" customHeight="1" x14ac:dyDescent="0.2">
      <c r="C99" s="21" t="s">
        <v>15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493292.09930179693</v>
      </c>
      <c r="R99" s="22">
        <f t="shared" ref="R99:U99" si="30">SUM(R93:R98)</f>
        <v>493292.09930179693</v>
      </c>
      <c r="S99" s="22">
        <f t="shared" si="30"/>
        <v>493292.09930179693</v>
      </c>
      <c r="T99" s="22">
        <f t="shared" si="30"/>
        <v>493292.09930179693</v>
      </c>
      <c r="U99" s="22">
        <f t="shared" si="30"/>
        <v>493292.09930179693</v>
      </c>
      <c r="V99" s="22">
        <f>SUM(V93:V98)</f>
        <v>2466460.4965089848</v>
      </c>
    </row>
    <row r="100" spans="3:23" ht="12.75" customHeight="1" x14ac:dyDescent="0.2">
      <c r="C100" s="1" t="s">
        <v>11</v>
      </c>
      <c r="D100" s="1" t="s">
        <v>46</v>
      </c>
      <c r="F100" s="1" t="s">
        <v>50</v>
      </c>
      <c r="G100" s="2"/>
      <c r="H100" s="67"/>
      <c r="J100" s="2"/>
      <c r="P100" s="2"/>
      <c r="Q100" s="116">
        <f t="shared" ref="Q100:U105" si="31">Q65*business_case_dollars</f>
        <v>0</v>
      </c>
      <c r="R100" s="116">
        <f t="shared" si="31"/>
        <v>0</v>
      </c>
      <c r="S100" s="116">
        <f t="shared" si="31"/>
        <v>0</v>
      </c>
      <c r="T100" s="116">
        <f t="shared" si="31"/>
        <v>0</v>
      </c>
      <c r="U100" s="116">
        <f t="shared" si="31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46</v>
      </c>
      <c r="F101" s="1" t="s">
        <v>50</v>
      </c>
      <c r="G101" s="2"/>
      <c r="H101" s="67"/>
      <c r="J101" s="2"/>
      <c r="P101" s="2"/>
      <c r="Q101" s="6">
        <f t="shared" si="31"/>
        <v>0</v>
      </c>
      <c r="R101" s="6">
        <f t="shared" si="31"/>
        <v>0</v>
      </c>
      <c r="S101" s="6">
        <f t="shared" si="31"/>
        <v>0</v>
      </c>
      <c r="T101" s="6">
        <f t="shared" si="31"/>
        <v>0</v>
      </c>
      <c r="U101" s="6">
        <f t="shared" si="31"/>
        <v>0</v>
      </c>
      <c r="V101" s="71">
        <f t="shared" ref="V101:V105" si="32">SUM(Q101:U101)</f>
        <v>0</v>
      </c>
    </row>
    <row r="102" spans="3:23" ht="12.75" customHeight="1" x14ac:dyDescent="0.2">
      <c r="C102" s="1" t="s">
        <v>14</v>
      </c>
      <c r="D102" s="1" t="s">
        <v>46</v>
      </c>
      <c r="F102" s="1" t="s">
        <v>50</v>
      </c>
      <c r="G102" s="2"/>
      <c r="H102" s="67"/>
      <c r="J102" s="2"/>
      <c r="P102" s="2"/>
      <c r="Q102" s="6">
        <f t="shared" si="31"/>
        <v>0</v>
      </c>
      <c r="R102" s="6">
        <f t="shared" si="31"/>
        <v>119582.4638574633</v>
      </c>
      <c r="S102" s="6">
        <f t="shared" si="31"/>
        <v>131540.71024320964</v>
      </c>
      <c r="T102" s="6">
        <f t="shared" si="31"/>
        <v>144695.33772385379</v>
      </c>
      <c r="U102" s="6">
        <f t="shared" si="31"/>
        <v>159164.31503991599</v>
      </c>
      <c r="V102" s="71">
        <f t="shared" si="32"/>
        <v>554982.82686444267</v>
      </c>
    </row>
    <row r="103" spans="3:23" ht="12.75" customHeight="1" x14ac:dyDescent="0.2">
      <c r="C103" s="1" t="s">
        <v>11</v>
      </c>
      <c r="D103" s="1" t="s">
        <v>46</v>
      </c>
      <c r="F103" s="1" t="s">
        <v>47</v>
      </c>
      <c r="G103" s="2"/>
      <c r="H103" s="67"/>
      <c r="J103" s="2"/>
      <c r="P103" s="2"/>
      <c r="Q103" s="6">
        <f t="shared" si="31"/>
        <v>0</v>
      </c>
      <c r="R103" s="6">
        <f t="shared" si="31"/>
        <v>0</v>
      </c>
      <c r="S103" s="6">
        <f t="shared" si="31"/>
        <v>0</v>
      </c>
      <c r="T103" s="6">
        <f t="shared" si="31"/>
        <v>0</v>
      </c>
      <c r="U103" s="6">
        <f t="shared" si="31"/>
        <v>0</v>
      </c>
      <c r="V103" s="6">
        <f t="shared" si="32"/>
        <v>0</v>
      </c>
    </row>
    <row r="104" spans="3:23" ht="12.75" customHeight="1" x14ac:dyDescent="0.2">
      <c r="C104" s="1" t="s">
        <v>13</v>
      </c>
      <c r="D104" s="1" t="s">
        <v>46</v>
      </c>
      <c r="F104" s="1" t="s">
        <v>47</v>
      </c>
      <c r="G104" s="2"/>
      <c r="H104" s="67"/>
      <c r="J104" s="2"/>
      <c r="P104" s="2"/>
      <c r="Q104" s="6">
        <f t="shared" si="31"/>
        <v>0</v>
      </c>
      <c r="R104" s="6">
        <f t="shared" si="31"/>
        <v>0</v>
      </c>
      <c r="S104" s="6">
        <f t="shared" si="31"/>
        <v>0</v>
      </c>
      <c r="T104" s="6">
        <f t="shared" si="31"/>
        <v>0</v>
      </c>
      <c r="U104" s="6">
        <f t="shared" si="31"/>
        <v>0</v>
      </c>
      <c r="V104" s="6">
        <f t="shared" si="32"/>
        <v>0</v>
      </c>
    </row>
    <row r="105" spans="3:23" ht="12.75" customHeight="1" x14ac:dyDescent="0.2">
      <c r="C105" s="1" t="s">
        <v>14</v>
      </c>
      <c r="D105" s="1" t="s">
        <v>46</v>
      </c>
      <c r="F105" s="1" t="s">
        <v>47</v>
      </c>
      <c r="G105" s="2"/>
      <c r="H105" s="67"/>
      <c r="J105" s="2"/>
      <c r="P105" s="2"/>
      <c r="Q105" s="6">
        <f t="shared" si="31"/>
        <v>0</v>
      </c>
      <c r="R105" s="6">
        <f t="shared" si="31"/>
        <v>0</v>
      </c>
      <c r="S105" s="6">
        <f t="shared" si="31"/>
        <v>0</v>
      </c>
      <c r="T105" s="6">
        <f t="shared" si="31"/>
        <v>0</v>
      </c>
      <c r="U105" s="6">
        <f t="shared" si="31"/>
        <v>0</v>
      </c>
      <c r="V105" s="6">
        <f t="shared" si="32"/>
        <v>0</v>
      </c>
    </row>
    <row r="106" spans="3:23" ht="12.75" customHeight="1" x14ac:dyDescent="0.2">
      <c r="C106" s="21" t="s">
        <v>17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33">SUM(R100:R105)</f>
        <v>119582.4638574633</v>
      </c>
      <c r="S106" s="22">
        <f t="shared" si="33"/>
        <v>131540.71024320964</v>
      </c>
      <c r="T106" s="22">
        <f t="shared" si="33"/>
        <v>144695.33772385379</v>
      </c>
      <c r="U106" s="22">
        <f t="shared" si="33"/>
        <v>159164.31503991599</v>
      </c>
      <c r="V106" s="22">
        <f t="shared" si="33"/>
        <v>554982.82686444267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493292.09930179693</v>
      </c>
      <c r="R108" s="8">
        <f t="shared" ref="R108:U108" si="34">R99+R106</f>
        <v>612874.5631592602</v>
      </c>
      <c r="S108" s="8">
        <f t="shared" si="34"/>
        <v>624832.8095450066</v>
      </c>
      <c r="T108" s="8">
        <f t="shared" si="34"/>
        <v>637987.43702565075</v>
      </c>
      <c r="U108" s="8">
        <f t="shared" si="34"/>
        <v>652456.41434171295</v>
      </c>
      <c r="V108" s="72">
        <f t="shared" si="29"/>
        <v>3021443.3233734271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2717619.0682716039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54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35">Q80*business_case_dollars</f>
        <v>493292.09930179693</v>
      </c>
      <c r="R114" s="25">
        <f t="shared" si="35"/>
        <v>493292.09930179693</v>
      </c>
      <c r="S114" s="25">
        <f t="shared" si="35"/>
        <v>493292.09930179693</v>
      </c>
      <c r="T114" s="25">
        <f t="shared" si="35"/>
        <v>493292.09930179693</v>
      </c>
      <c r="U114" s="25">
        <f t="shared" si="35"/>
        <v>493292.09930179693</v>
      </c>
      <c r="V114" s="71">
        <f t="shared" ref="V114:V115" si="36">SUM(Q114:U114)</f>
        <v>2466460.4965089848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1">
        <f t="shared" si="35"/>
        <v>0</v>
      </c>
      <c r="R115" s="111">
        <f t="shared" si="35"/>
        <v>119582.4638574633</v>
      </c>
      <c r="S115" s="111">
        <f t="shared" si="35"/>
        <v>131540.71024320964</v>
      </c>
      <c r="T115" s="111">
        <f t="shared" si="35"/>
        <v>144695.33772385379</v>
      </c>
      <c r="U115" s="111">
        <f t="shared" si="35"/>
        <v>159164.31503991599</v>
      </c>
      <c r="V115" s="71">
        <f t="shared" si="36"/>
        <v>554982.82686444267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493292.09930179693</v>
      </c>
      <c r="R116" s="22">
        <f t="shared" ref="R116:V116" si="37">SUM(R114:R115)</f>
        <v>612874.5631592602</v>
      </c>
      <c r="S116" s="22">
        <f t="shared" si="37"/>
        <v>624832.8095450066</v>
      </c>
      <c r="T116" s="22">
        <f t="shared" si="37"/>
        <v>637987.43702565075</v>
      </c>
      <c r="U116" s="22">
        <f t="shared" si="37"/>
        <v>652456.41434171295</v>
      </c>
      <c r="V116" s="22">
        <f t="shared" si="37"/>
        <v>3021443.3233734276</v>
      </c>
    </row>
    <row r="117" spans="3:23" x14ac:dyDescent="0.2">
      <c r="C117" s="4"/>
      <c r="D117" s="1" t="s">
        <v>38</v>
      </c>
      <c r="F117" s="1" t="s">
        <v>47</v>
      </c>
      <c r="G117" s="2"/>
      <c r="H117" s="67"/>
      <c r="J117" s="2"/>
      <c r="P117" s="2"/>
      <c r="Q117" s="6">
        <f t="shared" ref="Q117:U118" si="38">Q83*business_case_dollars</f>
        <v>0</v>
      </c>
      <c r="R117" s="6">
        <f t="shared" si="38"/>
        <v>0</v>
      </c>
      <c r="S117" s="6">
        <f t="shared" si="38"/>
        <v>0</v>
      </c>
      <c r="T117" s="6">
        <f t="shared" si="38"/>
        <v>0</v>
      </c>
      <c r="U117" s="6">
        <f t="shared" si="38"/>
        <v>0</v>
      </c>
      <c r="V117" s="71">
        <f t="shared" ref="V117:V118" si="39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7"/>
      <c r="J118" s="2"/>
      <c r="P118" s="2"/>
      <c r="Q118" s="6">
        <f t="shared" si="38"/>
        <v>0</v>
      </c>
      <c r="R118" s="6">
        <f t="shared" si="38"/>
        <v>0</v>
      </c>
      <c r="S118" s="6">
        <f t="shared" si="38"/>
        <v>0</v>
      </c>
      <c r="T118" s="6">
        <f t="shared" si="38"/>
        <v>0</v>
      </c>
      <c r="U118" s="6">
        <f t="shared" si="38"/>
        <v>0</v>
      </c>
      <c r="V118" s="71">
        <f t="shared" si="39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40">SUM(R117:R118)</f>
        <v>0</v>
      </c>
      <c r="S119" s="22">
        <f t="shared" si="40"/>
        <v>0</v>
      </c>
      <c r="T119" s="22">
        <f t="shared" si="40"/>
        <v>0</v>
      </c>
      <c r="U119" s="22">
        <f t="shared" si="40"/>
        <v>0</v>
      </c>
      <c r="V119" s="22">
        <f t="shared" si="40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493292.09930179693</v>
      </c>
      <c r="R121" s="8">
        <f t="shared" ref="R121:U121" si="41">R116+R119</f>
        <v>612874.5631592602</v>
      </c>
      <c r="S121" s="8">
        <f t="shared" si="41"/>
        <v>624832.8095450066</v>
      </c>
      <c r="T121" s="8">
        <f t="shared" si="41"/>
        <v>637987.43702565075</v>
      </c>
      <c r="U121" s="8">
        <f t="shared" si="41"/>
        <v>652456.41434171295</v>
      </c>
      <c r="V121" s="72">
        <f t="shared" ref="V121" si="42">SUM(Q121:U121)</f>
        <v>3021443.3233734271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74:V74">
    <cfRule type="expression" dxfId="29" priority="7">
      <formula>ABS(Q74)&gt;0.001</formula>
    </cfRule>
  </conditionalFormatting>
  <conditionalFormatting sqref="Q88:V91">
    <cfRule type="expression" dxfId="28" priority="4">
      <formula>ABS(Q88)&gt;0.001</formula>
    </cfRule>
  </conditionalFormatting>
  <conditionalFormatting sqref="Q109:V109">
    <cfRule type="expression" dxfId="27" priority="8">
      <formula>ABS(Q109)&gt;0.001</formula>
    </cfRule>
  </conditionalFormatting>
  <conditionalFormatting sqref="Q122:V122">
    <cfRule type="expression" dxfId="26" priority="1">
      <formula>ABS(Q122)&gt;0.001</formula>
    </cfRule>
  </conditionalFormatting>
  <conditionalFormatting sqref="W74">
    <cfRule type="expression" dxfId="25" priority="20">
      <formula>ABS(W74)&gt;0.001</formula>
    </cfRule>
  </conditionalFormatting>
  <conditionalFormatting sqref="W88:W91">
    <cfRule type="expression" dxfId="24" priority="5">
      <formula>ABS(W88)&gt;0.001</formula>
    </cfRule>
  </conditionalFormatting>
  <conditionalFormatting sqref="W109">
    <cfRule type="expression" dxfId="23" priority="10">
      <formula>ABS(W109)&gt;0.001</formula>
    </cfRule>
  </conditionalFormatting>
  <conditionalFormatting sqref="W122">
    <cfRule type="expression" dxfId="22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85" zoomScaleNormal="85" workbookViewId="0">
      <pane ySplit="9" topLeftCell="A10" activePane="bottomLeft" state="frozen"/>
      <selection activeCell="N40" sqref="N40"/>
      <selection pane="bottomLeft" activeCell="C26" sqref="C26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38</v>
      </c>
      <c r="E10" s="81" t="s">
        <v>11</v>
      </c>
      <c r="F10" s="79" t="s">
        <v>50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(1376.39704299864/2)*63.2/100</f>
        <v>434.94146558757029</v>
      </c>
      <c r="L10" s="82">
        <f>((459*7.5)*1.5)*63.2/100</f>
        <v>3263.49</v>
      </c>
      <c r="M10" s="82">
        <f>(1376.39704299864/2)*63.2/100</f>
        <v>434.94146558757029</v>
      </c>
      <c r="N10" s="82">
        <f>(1376.39704299864/2)*63.2/100</f>
        <v>434.94146558757029</v>
      </c>
      <c r="O10" s="82">
        <f>(1376.39704299864/2)*63.2/100</f>
        <v>434.94146558757029</v>
      </c>
      <c r="P10" s="2"/>
      <c r="Q10" s="5">
        <f t="shared" ref="Q10:Q54" si="0">IF($E10="Labour",$H10*K10,K10)</f>
        <v>63404.639901908668</v>
      </c>
      <c r="R10" s="5">
        <f t="shared" ref="R10:R54" si="1">IF($E10="Labour",$H10*L10,L10)</f>
        <v>475743.11636152555</v>
      </c>
      <c r="S10" s="5">
        <f t="shared" ref="S10:S54" si="2">IF($E10="Labour",$H10*M10,M10)</f>
        <v>63404.639901908668</v>
      </c>
      <c r="T10" s="5">
        <f t="shared" ref="T10:T54" si="3">IF($E10="Labour",$H10*N10,N10)</f>
        <v>63404.639901908668</v>
      </c>
      <c r="U10" s="5">
        <f t="shared" ref="U10:U54" si="4">IF($E10="Labour",$H10*O10,O10)</f>
        <v>63404.639901908668</v>
      </c>
    </row>
    <row r="11" spans="1:26" ht="12.75" customHeight="1" x14ac:dyDescent="0.2">
      <c r="A11" s="4"/>
      <c r="C11" s="80" t="s">
        <v>60</v>
      </c>
      <c r="D11" s="81" t="s">
        <v>38</v>
      </c>
      <c r="E11" s="81" t="s">
        <v>14</v>
      </c>
      <c r="F11" s="79" t="s">
        <v>50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>
        <f>1131586.44*63.2/100</f>
        <v>715162.63008000003</v>
      </c>
      <c r="M11" s="82"/>
      <c r="N11" s="82"/>
      <c r="O11" s="82"/>
      <c r="P11" s="2"/>
      <c r="Q11" s="5">
        <f t="shared" si="0"/>
        <v>0</v>
      </c>
      <c r="R11" s="5">
        <f t="shared" si="1"/>
        <v>715162.63008000003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51</v>
      </c>
      <c r="D12" s="81" t="s">
        <v>38</v>
      </c>
      <c r="E12" s="81" t="s">
        <v>14</v>
      </c>
      <c r="F12" s="79" t="s">
        <v>50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100000*63.2/100</f>
        <v>63200</v>
      </c>
      <c r="L12" s="82">
        <f>1464213*63.2/100</f>
        <v>925382.61600000004</v>
      </c>
      <c r="M12" s="82">
        <f>100000*63.2/100</f>
        <v>63200</v>
      </c>
      <c r="N12" s="82">
        <f>100000*63.2/100</f>
        <v>63200</v>
      </c>
      <c r="O12" s="82">
        <f>100000*63.2/100</f>
        <v>63200</v>
      </c>
      <c r="P12" s="2"/>
      <c r="Q12" s="5">
        <f t="shared" si="0"/>
        <v>63200</v>
      </c>
      <c r="R12" s="5">
        <f t="shared" si="1"/>
        <v>925382.61600000004</v>
      </c>
      <c r="S12" s="5">
        <f t="shared" si="2"/>
        <v>63200</v>
      </c>
      <c r="T12" s="5">
        <f t="shared" si="3"/>
        <v>63200</v>
      </c>
      <c r="U12" s="5">
        <f t="shared" si="4"/>
        <v>63200</v>
      </c>
    </row>
    <row r="13" spans="1:26" ht="12.75" customHeight="1" x14ac:dyDescent="0.25">
      <c r="A13" s="4"/>
      <c r="C13" s="80" t="s">
        <v>61</v>
      </c>
      <c r="D13" s="81" t="s">
        <v>38</v>
      </c>
      <c r="E13" s="81" t="s">
        <v>13</v>
      </c>
      <c r="F13" s="79" t="s">
        <v>50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>
        <f>140000*63.2/100</f>
        <v>88480</v>
      </c>
      <c r="M13" s="82"/>
      <c r="N13" s="82"/>
      <c r="O13" s="82"/>
      <c r="P13" s="2"/>
      <c r="Q13" s="5">
        <f t="shared" si="0"/>
        <v>0</v>
      </c>
      <c r="R13" s="5">
        <f t="shared" si="1"/>
        <v>88480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52</v>
      </c>
      <c r="D14" s="81" t="s">
        <v>38</v>
      </c>
      <c r="E14" s="81" t="s">
        <v>11</v>
      </c>
      <c r="F14" s="79" t="s">
        <v>50</v>
      </c>
      <c r="G14" s="2"/>
      <c r="H14" s="63">
        <f>IF($E14="Labour",Assumptions!$B$14,)</f>
        <v>145.77740895836223</v>
      </c>
      <c r="I14" s="9" t="str">
        <f t="shared" si="5"/>
        <v>Hours</v>
      </c>
      <c r="J14" s="2"/>
      <c r="K14" s="82">
        <v>304.45902591129919</v>
      </c>
      <c r="L14" s="82">
        <v>304.45902591129919</v>
      </c>
      <c r="M14" s="82">
        <v>1631.7449999999999</v>
      </c>
      <c r="N14" s="82">
        <v>304.45902591129919</v>
      </c>
      <c r="O14" s="82">
        <v>304.45902591129919</v>
      </c>
      <c r="P14" s="2"/>
      <c r="Q14" s="5">
        <f t="shared" si="0"/>
        <v>44383.247931336067</v>
      </c>
      <c r="R14" s="5">
        <f t="shared" si="1"/>
        <v>44383.247931336067</v>
      </c>
      <c r="S14" s="5">
        <f t="shared" si="2"/>
        <v>237871.55818076278</v>
      </c>
      <c r="T14" s="5">
        <f t="shared" si="3"/>
        <v>44383.247931336067</v>
      </c>
      <c r="U14" s="5">
        <f t="shared" si="4"/>
        <v>44383.247931336067</v>
      </c>
      <c r="Z14"/>
    </row>
    <row r="15" spans="1:26" ht="12.75" customHeight="1" x14ac:dyDescent="0.25">
      <c r="A15" s="4"/>
      <c r="C15" s="80" t="s">
        <v>62</v>
      </c>
      <c r="D15" s="81" t="s">
        <v>38</v>
      </c>
      <c r="E15" s="81" t="s">
        <v>14</v>
      </c>
      <c r="F15" s="79" t="s">
        <v>50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v>0</v>
      </c>
      <c r="L15" s="82">
        <v>0</v>
      </c>
      <c r="M15" s="82">
        <v>357581.31504000002</v>
      </c>
      <c r="N15" s="82">
        <v>0</v>
      </c>
      <c r="O15" s="82">
        <v>0</v>
      </c>
      <c r="P15" s="2"/>
      <c r="Q15" s="5">
        <f t="shared" si="0"/>
        <v>0</v>
      </c>
      <c r="R15" s="5">
        <f t="shared" si="1"/>
        <v>0</v>
      </c>
      <c r="S15" s="5">
        <f t="shared" si="2"/>
        <v>357581.31504000002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53</v>
      </c>
      <c r="D16" s="81" t="s">
        <v>38</v>
      </c>
      <c r="E16" s="81" t="s">
        <v>14</v>
      </c>
      <c r="F16" s="79" t="s">
        <v>50</v>
      </c>
      <c r="G16" s="2"/>
      <c r="H16" s="63">
        <f>IF($E16="Labour",Assumptions!$B$14,)</f>
        <v>0</v>
      </c>
      <c r="I16" s="9" t="str">
        <f t="shared" si="5"/>
        <v>$</v>
      </c>
      <c r="J16" s="2"/>
      <c r="K16" s="82">
        <v>44240</v>
      </c>
      <c r="L16" s="82">
        <v>44240</v>
      </c>
      <c r="M16" s="82">
        <v>462691.30800000002</v>
      </c>
      <c r="N16" s="82">
        <v>44240</v>
      </c>
      <c r="O16" s="82">
        <v>44240</v>
      </c>
      <c r="P16" s="2"/>
      <c r="Q16" s="5">
        <f t="shared" si="0"/>
        <v>44240</v>
      </c>
      <c r="R16" s="5">
        <f t="shared" si="1"/>
        <v>44240</v>
      </c>
      <c r="S16" s="5">
        <f t="shared" si="2"/>
        <v>462691.30800000002</v>
      </c>
      <c r="T16" s="5">
        <f t="shared" si="3"/>
        <v>44240</v>
      </c>
      <c r="U16" s="5">
        <f t="shared" si="4"/>
        <v>44240</v>
      </c>
      <c r="Z16"/>
    </row>
    <row r="17" spans="1:26" ht="12.75" customHeight="1" x14ac:dyDescent="0.25">
      <c r="A17" s="4"/>
      <c r="C17" s="80" t="s">
        <v>63</v>
      </c>
      <c r="D17" s="81" t="s">
        <v>38</v>
      </c>
      <c r="E17" s="81" t="s">
        <v>13</v>
      </c>
      <c r="F17" s="79" t="s">
        <v>50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>
        <v>265440</v>
      </c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265440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69</v>
      </c>
      <c r="D18" s="81" t="s">
        <v>38</v>
      </c>
      <c r="E18" s="81" t="s">
        <v>11</v>
      </c>
      <c r="F18" s="79" t="s">
        <v>50</v>
      </c>
      <c r="G18" s="2"/>
      <c r="H18" s="63">
        <f>IF($E18="Labour",Assumptions!$B$14,)</f>
        <v>145.77740895836223</v>
      </c>
      <c r="I18" s="9" t="str">
        <f t="shared" si="5"/>
        <v>Hours</v>
      </c>
      <c r="J18" s="2"/>
      <c r="K18" s="82">
        <f>(453749*0.8)/H18</f>
        <v>2490.092275571189</v>
      </c>
      <c r="L18" s="82"/>
      <c r="M18" s="82"/>
      <c r="N18" s="82">
        <f>453749/H18</f>
        <v>3112.6153444639858</v>
      </c>
      <c r="O18" s="82"/>
      <c r="P18" s="2"/>
      <c r="Q18" s="5">
        <f t="shared" si="0"/>
        <v>362999.20000000007</v>
      </c>
      <c r="R18" s="5">
        <f t="shared" si="1"/>
        <v>0</v>
      </c>
      <c r="S18" s="5">
        <f t="shared" si="2"/>
        <v>0</v>
      </c>
      <c r="T18" s="5">
        <f t="shared" si="3"/>
        <v>453749</v>
      </c>
      <c r="U18" s="5">
        <f t="shared" si="4"/>
        <v>0</v>
      </c>
      <c r="Z18"/>
    </row>
    <row r="19" spans="1:26" ht="12.75" customHeight="1" x14ac:dyDescent="0.25">
      <c r="A19" s="4"/>
      <c r="C19" s="80" t="s">
        <v>70</v>
      </c>
      <c r="D19" s="81" t="s">
        <v>38</v>
      </c>
      <c r="E19" s="81" t="s">
        <v>14</v>
      </c>
      <c r="F19" s="79" t="s">
        <v>50</v>
      </c>
      <c r="G19" s="2"/>
      <c r="H19" s="63">
        <f>IF($E19="Labour",Assumptions!$B$14,)</f>
        <v>0</v>
      </c>
      <c r="I19" s="9" t="str">
        <f t="shared" si="5"/>
        <v>$</v>
      </c>
      <c r="J19" s="2"/>
      <c r="K19" s="82">
        <f>299817*0.8</f>
        <v>239853.6</v>
      </c>
      <c r="L19" s="82"/>
      <c r="M19" s="82"/>
      <c r="N19" s="82">
        <v>299817</v>
      </c>
      <c r="O19" s="82"/>
      <c r="P19" s="2"/>
      <c r="Q19" s="5">
        <f t="shared" si="0"/>
        <v>239853.6</v>
      </c>
      <c r="R19" s="5">
        <f t="shared" si="1"/>
        <v>0</v>
      </c>
      <c r="S19" s="5">
        <f t="shared" si="2"/>
        <v>0</v>
      </c>
      <c r="T19" s="5">
        <f t="shared" si="3"/>
        <v>299817</v>
      </c>
      <c r="U19" s="5">
        <f t="shared" si="4"/>
        <v>0</v>
      </c>
      <c r="Z19"/>
    </row>
    <row r="20" spans="1:26" ht="12.75" customHeight="1" x14ac:dyDescent="0.25">
      <c r="A20" s="4"/>
      <c r="C20" s="80" t="s">
        <v>71</v>
      </c>
      <c r="D20" s="81" t="s">
        <v>38</v>
      </c>
      <c r="E20" s="81" t="s">
        <v>13</v>
      </c>
      <c r="F20" s="79" t="s">
        <v>50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>
        <v>319126</v>
      </c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319126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38</v>
      </c>
      <c r="E58" s="24"/>
      <c r="F58" s="24" t="s">
        <v>50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470787.08783324482</v>
      </c>
      <c r="R58" s="25">
        <f t="shared" si="6"/>
        <v>520126.3642928616</v>
      </c>
      <c r="S58" s="25">
        <f t="shared" si="6"/>
        <v>301276.19808267144</v>
      </c>
      <c r="T58" s="25">
        <f t="shared" si="6"/>
        <v>561536.88783324475</v>
      </c>
      <c r="U58" s="25">
        <f t="shared" si="6"/>
        <v>107787.88783324473</v>
      </c>
      <c r="V58" s="70">
        <f>SUM(Q58:U58)</f>
        <v>1961514.4258752675</v>
      </c>
    </row>
    <row r="59" spans="1:26" ht="12.75" customHeight="1" x14ac:dyDescent="0.2">
      <c r="C59" s="1" t="s">
        <v>13</v>
      </c>
      <c r="D59" s="1" t="s">
        <v>38</v>
      </c>
      <c r="F59" s="1" t="s">
        <v>50</v>
      </c>
      <c r="G59" s="2"/>
      <c r="H59" s="67"/>
      <c r="J59" s="2"/>
      <c r="P59" s="2"/>
      <c r="Q59" s="6">
        <f t="shared" si="6"/>
        <v>0</v>
      </c>
      <c r="R59" s="6">
        <f t="shared" si="6"/>
        <v>88480</v>
      </c>
      <c r="S59" s="6">
        <f t="shared" si="6"/>
        <v>265440</v>
      </c>
      <c r="T59" s="6">
        <f t="shared" si="6"/>
        <v>319126</v>
      </c>
      <c r="U59" s="6">
        <f t="shared" si="6"/>
        <v>0</v>
      </c>
      <c r="V59" s="71">
        <f t="shared" ref="V59:V73" si="7">SUM(Q59:U59)</f>
        <v>673046</v>
      </c>
    </row>
    <row r="60" spans="1:26" ht="12.75" customHeight="1" x14ac:dyDescent="0.2">
      <c r="C60" s="1" t="s">
        <v>14</v>
      </c>
      <c r="D60" s="1" t="s">
        <v>38</v>
      </c>
      <c r="F60" s="1" t="s">
        <v>50</v>
      </c>
      <c r="G60" s="2"/>
      <c r="H60" s="67"/>
      <c r="J60" s="2"/>
      <c r="P60" s="2"/>
      <c r="Q60" s="6">
        <f t="shared" si="6"/>
        <v>347293.6</v>
      </c>
      <c r="R60" s="6">
        <f t="shared" si="6"/>
        <v>1684785.24608</v>
      </c>
      <c r="S60" s="6">
        <f t="shared" si="6"/>
        <v>883472.62303999998</v>
      </c>
      <c r="T60" s="6">
        <f t="shared" si="6"/>
        <v>407257</v>
      </c>
      <c r="U60" s="6">
        <f t="shared" si="6"/>
        <v>107440</v>
      </c>
      <c r="V60" s="71">
        <f t="shared" si="7"/>
        <v>3430248.46912</v>
      </c>
    </row>
    <row r="61" spans="1:26" ht="12.75" customHeight="1" x14ac:dyDescent="0.2">
      <c r="C61" s="1" t="s">
        <v>11</v>
      </c>
      <c r="D61" s="1" t="s">
        <v>38</v>
      </c>
      <c r="F61" s="1" t="s">
        <v>47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13</v>
      </c>
      <c r="D62" s="1" t="s">
        <v>38</v>
      </c>
      <c r="F62" s="1" t="s">
        <v>47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14</v>
      </c>
      <c r="D63" s="1" t="s">
        <v>38</v>
      </c>
      <c r="F63" s="1" t="s">
        <v>47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15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818080.6878332448</v>
      </c>
      <c r="R64" s="22">
        <f t="shared" ref="R64:U64" si="8">SUM(R58:R63)</f>
        <v>2293391.6103728618</v>
      </c>
      <c r="S64" s="22">
        <f t="shared" si="8"/>
        <v>1450188.8211226715</v>
      </c>
      <c r="T64" s="22">
        <f t="shared" si="8"/>
        <v>1287919.8878332446</v>
      </c>
      <c r="U64" s="22">
        <f t="shared" si="8"/>
        <v>215227.88783324475</v>
      </c>
      <c r="V64" s="22">
        <f>SUM(V58:V63)</f>
        <v>6064808.8949952675</v>
      </c>
    </row>
    <row r="65" spans="3:23" ht="12.75" customHeight="1" x14ac:dyDescent="0.2">
      <c r="C65" s="1" t="s">
        <v>11</v>
      </c>
      <c r="D65" s="1" t="s">
        <v>46</v>
      </c>
      <c r="F65" s="1" t="s">
        <v>50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13</v>
      </c>
      <c r="D66" s="1" t="s">
        <v>46</v>
      </c>
      <c r="F66" s="1" t="s">
        <v>50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14</v>
      </c>
      <c r="D67" s="1" t="s">
        <v>46</v>
      </c>
      <c r="F67" s="1" t="s">
        <v>50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11</v>
      </c>
      <c r="D68" s="1" t="s">
        <v>46</v>
      </c>
      <c r="F68" s="1" t="s">
        <v>47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13</v>
      </c>
      <c r="D69" s="1" t="s">
        <v>46</v>
      </c>
      <c r="F69" s="1" t="s">
        <v>47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14</v>
      </c>
      <c r="D70" s="1" t="s">
        <v>46</v>
      </c>
      <c r="F70" s="1" t="s">
        <v>47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17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818080.6878332448</v>
      </c>
      <c r="R73" s="8">
        <f t="shared" ref="R73:U73" si="11">R64+R71</f>
        <v>2293391.6103728618</v>
      </c>
      <c r="S73" s="8">
        <f t="shared" si="11"/>
        <v>1450188.8211226715</v>
      </c>
      <c r="T73" s="8">
        <f t="shared" si="11"/>
        <v>1287919.8878332446</v>
      </c>
      <c r="U73" s="8">
        <f t="shared" si="11"/>
        <v>215227.88783324475</v>
      </c>
      <c r="V73" s="72">
        <f t="shared" si="7"/>
        <v>6064808.8949952684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5542872.8434428135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818080.6878332448</v>
      </c>
      <c r="R80" s="25">
        <f t="shared" si="13"/>
        <v>2293391.6103728618</v>
      </c>
      <c r="S80" s="25">
        <f t="shared" si="13"/>
        <v>1450188.8211226715</v>
      </c>
      <c r="T80" s="25">
        <f t="shared" si="13"/>
        <v>1287919.8878332446</v>
      </c>
      <c r="U80" s="25">
        <f t="shared" si="13"/>
        <v>215227.88783324475</v>
      </c>
      <c r="V80" s="71">
        <f t="shared" ref="V80:V81" si="14">SUM(Q80:U80)</f>
        <v>6064808.8949952684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1">
        <f t="shared" si="13"/>
        <v>0</v>
      </c>
      <c r="R81" s="111">
        <f t="shared" si="13"/>
        <v>0</v>
      </c>
      <c r="S81" s="111">
        <f t="shared" si="13"/>
        <v>0</v>
      </c>
      <c r="T81" s="111">
        <f t="shared" si="13"/>
        <v>0</v>
      </c>
      <c r="U81" s="111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818080.6878332448</v>
      </c>
      <c r="R82" s="22">
        <f t="shared" ref="R82:V82" si="15">SUM(R80:R81)</f>
        <v>2293391.6103728618</v>
      </c>
      <c r="S82" s="22">
        <f t="shared" si="15"/>
        <v>1450188.8211226715</v>
      </c>
      <c r="T82" s="22">
        <f t="shared" si="15"/>
        <v>1287919.8878332446</v>
      </c>
      <c r="U82" s="22">
        <f t="shared" si="15"/>
        <v>215227.88783324475</v>
      </c>
      <c r="V82" s="22">
        <f t="shared" si="15"/>
        <v>6064808.8949952684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818080.6878332448</v>
      </c>
      <c r="R87" s="8">
        <f t="shared" ref="R87:U87" si="19">R82+R85</f>
        <v>2293391.6103728618</v>
      </c>
      <c r="S87" s="8">
        <f t="shared" si="19"/>
        <v>1450188.8211226715</v>
      </c>
      <c r="T87" s="8">
        <f t="shared" si="19"/>
        <v>1287919.8878332446</v>
      </c>
      <c r="U87" s="8">
        <f t="shared" si="19"/>
        <v>215227.88783324475</v>
      </c>
      <c r="V87" s="72">
        <f t="shared" ref="V87" si="20">SUM(Q87:U87)</f>
        <v>6064808.8949952684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58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38</v>
      </c>
      <c r="E93" s="24"/>
      <c r="F93" s="24" t="s">
        <v>50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523944.9038192592</v>
      </c>
      <c r="R93" s="34">
        <f t="shared" si="22"/>
        <v>578855.20855621144</v>
      </c>
      <c r="S93" s="34">
        <f t="shared" si="22"/>
        <v>335294.09091051662</v>
      </c>
      <c r="T93" s="34">
        <f t="shared" si="22"/>
        <v>624941.50389903598</v>
      </c>
      <c r="U93" s="34">
        <f t="shared" si="22"/>
        <v>119958.50350015167</v>
      </c>
      <c r="V93" s="70">
        <f>SUM(Q93:U93)</f>
        <v>2182994.2106851749</v>
      </c>
    </row>
    <row r="94" spans="3:23" ht="12.75" customHeight="1" x14ac:dyDescent="0.2">
      <c r="C94" s="1" t="s">
        <v>13</v>
      </c>
      <c r="D94" s="1" t="s">
        <v>38</v>
      </c>
      <c r="F94" s="1" t="s">
        <v>50</v>
      </c>
      <c r="G94" s="2"/>
      <c r="H94" s="67"/>
      <c r="J94" s="2"/>
      <c r="P94" s="2"/>
      <c r="Q94" s="6">
        <f t="shared" si="22"/>
        <v>0</v>
      </c>
      <c r="R94" s="6">
        <f t="shared" si="22"/>
        <v>98470.510954940473</v>
      </c>
      <c r="S94" s="6">
        <f t="shared" si="22"/>
        <v>295411.53286482138</v>
      </c>
      <c r="T94" s="6">
        <f t="shared" si="22"/>
        <v>355159.36120034283</v>
      </c>
      <c r="U94" s="6">
        <f t="shared" si="22"/>
        <v>0</v>
      </c>
      <c r="V94" s="71">
        <f t="shared" ref="V94:V108" si="23">SUM(Q94:U94)</f>
        <v>749041.40502010472</v>
      </c>
    </row>
    <row r="95" spans="3:23" ht="12.75" customHeight="1" x14ac:dyDescent="0.2">
      <c r="C95" s="1" t="s">
        <v>14</v>
      </c>
      <c r="D95" s="1" t="s">
        <v>38</v>
      </c>
      <c r="F95" s="1" t="s">
        <v>50</v>
      </c>
      <c r="G95" s="2"/>
      <c r="H95" s="67"/>
      <c r="J95" s="2"/>
      <c r="P95" s="2"/>
      <c r="Q95" s="6">
        <f t="shared" si="22"/>
        <v>386507.43945954688</v>
      </c>
      <c r="R95" s="6">
        <f t="shared" si="22"/>
        <v>1875018.8068585296</v>
      </c>
      <c r="S95" s="6">
        <f t="shared" si="22"/>
        <v>983227.85494405858</v>
      </c>
      <c r="T95" s="6">
        <f t="shared" si="22"/>
        <v>453241.4656416839</v>
      </c>
      <c r="U95" s="6">
        <f t="shared" si="22"/>
        <v>119571.33473099914</v>
      </c>
      <c r="V95" s="71">
        <f t="shared" si="23"/>
        <v>3817566.9016348179</v>
      </c>
    </row>
    <row r="96" spans="3:23" ht="12.75" customHeight="1" x14ac:dyDescent="0.2">
      <c r="C96" s="1" t="s">
        <v>11</v>
      </c>
      <c r="D96" s="1" t="s">
        <v>38</v>
      </c>
      <c r="F96" s="1" t="s">
        <v>47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13</v>
      </c>
      <c r="D97" s="1" t="s">
        <v>38</v>
      </c>
      <c r="F97" s="1" t="s">
        <v>47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14</v>
      </c>
      <c r="D98" s="1" t="s">
        <v>38</v>
      </c>
      <c r="F98" s="1" t="s">
        <v>47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15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910452.34327880607</v>
      </c>
      <c r="R99" s="22">
        <f t="shared" ref="R99:U99" si="24">SUM(R93:R98)</f>
        <v>2552344.5263696816</v>
      </c>
      <c r="S99" s="22">
        <f t="shared" si="24"/>
        <v>1613933.4787193965</v>
      </c>
      <c r="T99" s="22">
        <f t="shared" si="24"/>
        <v>1433342.3307410628</v>
      </c>
      <c r="U99" s="22">
        <f t="shared" si="24"/>
        <v>239529.83823115082</v>
      </c>
      <c r="V99" s="22">
        <f>SUM(V93:V98)</f>
        <v>6749602.5173400976</v>
      </c>
    </row>
    <row r="100" spans="3:23" ht="12.75" customHeight="1" x14ac:dyDescent="0.2">
      <c r="C100" s="1" t="s">
        <v>11</v>
      </c>
      <c r="D100" s="1" t="s">
        <v>46</v>
      </c>
      <c r="F100" s="1" t="s">
        <v>50</v>
      </c>
      <c r="G100" s="2"/>
      <c r="H100" s="67"/>
      <c r="J100" s="2"/>
      <c r="P100" s="2"/>
      <c r="Q100" s="116">
        <f t="shared" ref="Q100:U105" si="25">Q65*business_case_dollars</f>
        <v>0</v>
      </c>
      <c r="R100" s="116">
        <f t="shared" si="25"/>
        <v>0</v>
      </c>
      <c r="S100" s="116">
        <f t="shared" si="25"/>
        <v>0</v>
      </c>
      <c r="T100" s="116">
        <f t="shared" si="25"/>
        <v>0</v>
      </c>
      <c r="U100" s="116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46</v>
      </c>
      <c r="F101" s="1" t="s">
        <v>50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46</v>
      </c>
      <c r="F102" s="1" t="s">
        <v>50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11</v>
      </c>
      <c r="D103" s="1" t="s">
        <v>46</v>
      </c>
      <c r="F103" s="1" t="s">
        <v>47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13</v>
      </c>
      <c r="D104" s="1" t="s">
        <v>46</v>
      </c>
      <c r="F104" s="1" t="s">
        <v>47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46</v>
      </c>
      <c r="F105" s="1" t="s">
        <v>47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910452.34327880607</v>
      </c>
      <c r="R108" s="8">
        <f t="shared" ref="R108:U108" si="28">R99+R106</f>
        <v>2552344.5263696816</v>
      </c>
      <c r="S108" s="8">
        <f t="shared" si="28"/>
        <v>1613933.4787193965</v>
      </c>
      <c r="T108" s="8">
        <f t="shared" si="28"/>
        <v>1433342.3307410628</v>
      </c>
      <c r="U108" s="8">
        <f t="shared" si="28"/>
        <v>239529.83823115082</v>
      </c>
      <c r="V108" s="72">
        <f t="shared" si="23"/>
        <v>6749602.5173400985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6168733.284946627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54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910452.34327880607</v>
      </c>
      <c r="R114" s="25">
        <f t="shared" si="29"/>
        <v>2552344.526369682</v>
      </c>
      <c r="S114" s="25">
        <f t="shared" si="29"/>
        <v>1613933.4787193967</v>
      </c>
      <c r="T114" s="25">
        <f t="shared" si="29"/>
        <v>1433342.3307410625</v>
      </c>
      <c r="U114" s="25">
        <f t="shared" si="29"/>
        <v>239529.83823115082</v>
      </c>
      <c r="V114" s="71">
        <f t="shared" ref="V114:V115" si="30">SUM(Q114:U114)</f>
        <v>6749602.5173400985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1">
        <f t="shared" si="29"/>
        <v>0</v>
      </c>
      <c r="R115" s="111">
        <f t="shared" si="29"/>
        <v>0</v>
      </c>
      <c r="S115" s="111">
        <f t="shared" si="29"/>
        <v>0</v>
      </c>
      <c r="T115" s="111">
        <f t="shared" si="29"/>
        <v>0</v>
      </c>
      <c r="U115" s="111">
        <f t="shared" si="29"/>
        <v>0</v>
      </c>
      <c r="V115" s="71">
        <f t="shared" si="30"/>
        <v>0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910452.34327880607</v>
      </c>
      <c r="R116" s="22">
        <f t="shared" ref="R116:V116" si="31">SUM(R114:R115)</f>
        <v>2552344.526369682</v>
      </c>
      <c r="S116" s="22">
        <f t="shared" si="31"/>
        <v>1613933.4787193967</v>
      </c>
      <c r="T116" s="22">
        <f t="shared" si="31"/>
        <v>1433342.3307410625</v>
      </c>
      <c r="U116" s="22">
        <f t="shared" si="31"/>
        <v>239529.83823115082</v>
      </c>
      <c r="V116" s="22">
        <f t="shared" si="31"/>
        <v>6749602.5173400985</v>
      </c>
    </row>
    <row r="117" spans="3:23" x14ac:dyDescent="0.2">
      <c r="C117" s="4"/>
      <c r="D117" s="1" t="s">
        <v>38</v>
      </c>
      <c r="F117" s="1" t="s">
        <v>47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910452.34327880607</v>
      </c>
      <c r="R121" s="8">
        <f t="shared" ref="R121:U121" si="35">R116+R119</f>
        <v>2552344.526369682</v>
      </c>
      <c r="S121" s="8">
        <f t="shared" si="35"/>
        <v>1613933.4787193967</v>
      </c>
      <c r="T121" s="8">
        <f t="shared" si="35"/>
        <v>1433342.3307410625</v>
      </c>
      <c r="U121" s="8">
        <f t="shared" si="35"/>
        <v>239529.83823115082</v>
      </c>
      <c r="V121" s="72">
        <f t="shared" ref="V121" si="36">SUM(Q121:U121)</f>
        <v>6749602.5173400985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74:V74">
    <cfRule type="expression" dxfId="18" priority="7">
      <formula>ABS(Q74)&gt;0.001</formula>
    </cfRule>
  </conditionalFormatting>
  <conditionalFormatting sqref="Q88:V91">
    <cfRule type="expression" dxfId="17" priority="4">
      <formula>ABS(Q88)&gt;0.001</formula>
    </cfRule>
  </conditionalFormatting>
  <conditionalFormatting sqref="Q109:V109">
    <cfRule type="expression" dxfId="16" priority="8">
      <formula>ABS(Q109)&gt;0.001</formula>
    </cfRule>
  </conditionalFormatting>
  <conditionalFormatting sqref="Q122:V122">
    <cfRule type="expression" dxfId="15" priority="1">
      <formula>ABS(Q122)&gt;0.001</formula>
    </cfRule>
  </conditionalFormatting>
  <conditionalFormatting sqref="W74">
    <cfRule type="expression" dxfId="14" priority="17">
      <formula>ABS(W74)&gt;0.001</formula>
    </cfRule>
  </conditionalFormatting>
  <conditionalFormatting sqref="W88:W91">
    <cfRule type="expression" dxfId="13" priority="5">
      <formula>ABS(W88)&gt;0.001</formula>
    </cfRule>
  </conditionalFormatting>
  <conditionalFormatting sqref="W109">
    <cfRule type="expression" dxfId="12" priority="9">
      <formula>ABS(W109)&gt;0.001</formula>
    </cfRule>
  </conditionalFormatting>
  <conditionalFormatting sqref="W122">
    <cfRule type="expression" dxfId="11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22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W15" sqref="W15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39</v>
      </c>
      <c r="D7" s="64" t="s">
        <v>40</v>
      </c>
      <c r="E7" s="64" t="s">
        <v>41</v>
      </c>
      <c r="F7" s="110" t="s">
        <v>42</v>
      </c>
      <c r="G7" s="16"/>
      <c r="H7" s="19" t="s">
        <v>11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46</v>
      </c>
      <c r="E8" s="99"/>
      <c r="F8" s="99" t="s">
        <v>47</v>
      </c>
      <c r="G8" s="16"/>
      <c r="H8" s="109" t="s">
        <v>48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  <c r="V8" s="4"/>
      <c r="W8" s="4"/>
    </row>
    <row r="9" spans="1:26" ht="12.75" customHeight="1" x14ac:dyDescent="0.2">
      <c r="G9" s="16"/>
    </row>
    <row r="10" spans="1:26" ht="12.75" customHeight="1" x14ac:dyDescent="0.2">
      <c r="A10" s="4"/>
      <c r="C10" s="80" t="s">
        <v>49</v>
      </c>
      <c r="D10" s="81" t="s">
        <v>38</v>
      </c>
      <c r="E10" s="81" t="s">
        <v>11</v>
      </c>
      <c r="F10" s="79" t="s">
        <v>50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(1376.39704299864/2)*63.2/100</f>
        <v>434.94146558757029</v>
      </c>
      <c r="L10" s="82">
        <f>(((459*7.5)*2)*1.5)*63.2/100</f>
        <v>6526.98</v>
      </c>
      <c r="M10" s="82">
        <f>(1376.39704299864/2)*63.2/100</f>
        <v>434.94146558757029</v>
      </c>
      <c r="N10" s="82">
        <f>(1376.39704299864/2)*63.2/100</f>
        <v>434.94146558757029</v>
      </c>
      <c r="O10" s="82">
        <f>(1376.39704299864/2)*63.2/100</f>
        <v>434.94146558757029</v>
      </c>
      <c r="P10" s="2"/>
      <c r="Q10" s="5">
        <f t="shared" ref="Q10:Q54" si="0">IF($E10="Labour",$H10*K10,K10)</f>
        <v>63404.639901908668</v>
      </c>
      <c r="R10" s="5">
        <f t="shared" ref="R10:R54" si="1">IF($E10="Labour",$H10*L10,L10)</f>
        <v>951486.2327230511</v>
      </c>
      <c r="S10" s="5">
        <f t="shared" ref="S10:S54" si="2">IF($E10="Labour",$H10*M10,M10)</f>
        <v>63404.639901908668</v>
      </c>
      <c r="T10" s="5">
        <f t="shared" ref="T10:T54" si="3">IF($E10="Labour",$H10*N10,N10)</f>
        <v>63404.639901908668</v>
      </c>
      <c r="U10" s="5">
        <f t="shared" ref="U10:U54" si="4">IF($E10="Labour",$H10*O10,O10)</f>
        <v>63404.639901908668</v>
      </c>
      <c r="W10" s="117"/>
    </row>
    <row r="11" spans="1:26" ht="12.75" customHeight="1" x14ac:dyDescent="0.2">
      <c r="A11" s="4"/>
      <c r="C11" s="80" t="s">
        <v>60</v>
      </c>
      <c r="D11" s="81" t="s">
        <v>38</v>
      </c>
      <c r="E11" s="81" t="s">
        <v>14</v>
      </c>
      <c r="F11" s="79" t="s">
        <v>50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>
        <f>2263172.88*63.2/100</f>
        <v>1430325.2601600001</v>
      </c>
      <c r="M11" s="82"/>
      <c r="N11" s="82"/>
      <c r="O11" s="82"/>
      <c r="P11" s="2"/>
      <c r="Q11" s="5">
        <f t="shared" si="0"/>
        <v>0</v>
      </c>
      <c r="R11" s="5">
        <f t="shared" si="1"/>
        <v>1430325.2601600001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51</v>
      </c>
      <c r="D12" s="81" t="s">
        <v>38</v>
      </c>
      <c r="E12" s="81" t="s">
        <v>14</v>
      </c>
      <c r="F12" s="79" t="s">
        <v>50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100000*63.2/100</f>
        <v>63200</v>
      </c>
      <c r="L12" s="82">
        <f>2928426*63.2/100</f>
        <v>1850765.2320000001</v>
      </c>
      <c r="M12" s="82">
        <f>100000*63.2/100</f>
        <v>63200</v>
      </c>
      <c r="N12" s="82">
        <f>100000*63.2/100</f>
        <v>63200</v>
      </c>
      <c r="O12" s="82">
        <f>100000*63.2/100</f>
        <v>63200</v>
      </c>
      <c r="P12" s="2"/>
      <c r="Q12" s="5">
        <f t="shared" si="0"/>
        <v>63200</v>
      </c>
      <c r="R12" s="5">
        <f t="shared" si="1"/>
        <v>1850765.2320000001</v>
      </c>
      <c r="S12" s="5">
        <f t="shared" si="2"/>
        <v>63200</v>
      </c>
      <c r="T12" s="5">
        <f t="shared" si="3"/>
        <v>63200</v>
      </c>
      <c r="U12" s="5">
        <f t="shared" si="4"/>
        <v>63200</v>
      </c>
    </row>
    <row r="13" spans="1:26" ht="12.75" customHeight="1" x14ac:dyDescent="0.25">
      <c r="A13" s="4"/>
      <c r="C13" s="80" t="s">
        <v>61</v>
      </c>
      <c r="D13" s="81" t="s">
        <v>38</v>
      </c>
      <c r="E13" s="81" t="s">
        <v>13</v>
      </c>
      <c r="F13" s="79" t="s">
        <v>50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>
        <f>140000*63.2/100</f>
        <v>88480</v>
      </c>
      <c r="M13" s="82"/>
      <c r="N13" s="82"/>
      <c r="O13" s="82"/>
      <c r="P13" s="2"/>
      <c r="Q13" s="5">
        <f t="shared" si="0"/>
        <v>0</v>
      </c>
      <c r="R13" s="5">
        <f t="shared" si="1"/>
        <v>88480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64</v>
      </c>
      <c r="D14" s="81" t="s">
        <v>38</v>
      </c>
      <c r="E14" s="81" t="s">
        <v>14</v>
      </c>
      <c r="F14" s="79" t="s">
        <v>50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>
        <f>100000*63.2/100</f>
        <v>63200</v>
      </c>
      <c r="M14" s="82"/>
      <c r="N14" s="82"/>
      <c r="O14" s="82"/>
      <c r="P14" s="2"/>
      <c r="Q14" s="5">
        <f t="shared" si="0"/>
        <v>0</v>
      </c>
      <c r="R14" s="5">
        <f t="shared" si="1"/>
        <v>63200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65</v>
      </c>
      <c r="D15" s="81" t="s">
        <v>38</v>
      </c>
      <c r="E15" s="81" t="s">
        <v>14</v>
      </c>
      <c r="F15" s="79" t="s">
        <v>50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>
        <f>100000*63.2/100</f>
        <v>63200</v>
      </c>
      <c r="M15" s="82"/>
      <c r="N15" s="82"/>
      <c r="O15" s="82"/>
      <c r="P15" s="2"/>
      <c r="Q15" s="5">
        <f t="shared" si="0"/>
        <v>0</v>
      </c>
      <c r="R15" s="5">
        <f t="shared" si="1"/>
        <v>63200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52</v>
      </c>
      <c r="D16" s="81" t="s">
        <v>38</v>
      </c>
      <c r="E16" s="81" t="s">
        <v>11</v>
      </c>
      <c r="F16" s="79" t="s">
        <v>50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v>304.45902591129919</v>
      </c>
      <c r="L16" s="82">
        <v>304.45902591129919</v>
      </c>
      <c r="M16" s="82">
        <v>1958.0939999999998</v>
      </c>
      <c r="N16" s="82">
        <v>304.45902591129919</v>
      </c>
      <c r="O16" s="82">
        <v>304.45902591129919</v>
      </c>
      <c r="P16" s="2"/>
      <c r="Q16" s="5">
        <f t="shared" si="0"/>
        <v>44383.247931336067</v>
      </c>
      <c r="R16" s="5">
        <f t="shared" si="1"/>
        <v>44383.247931336067</v>
      </c>
      <c r="S16" s="5">
        <f t="shared" si="2"/>
        <v>285445.86981691531</v>
      </c>
      <c r="T16" s="5">
        <f t="shared" si="3"/>
        <v>44383.247931336067</v>
      </c>
      <c r="U16" s="5">
        <f t="shared" si="4"/>
        <v>44383.247931336067</v>
      </c>
      <c r="W16" s="117"/>
      <c r="Z16"/>
    </row>
    <row r="17" spans="1:26" ht="12.75" customHeight="1" x14ac:dyDescent="0.25">
      <c r="A17" s="4"/>
      <c r="C17" s="80" t="s">
        <v>62</v>
      </c>
      <c r="D17" s="81" t="s">
        <v>38</v>
      </c>
      <c r="E17" s="81" t="s">
        <v>14</v>
      </c>
      <c r="F17" s="79" t="s">
        <v>50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>
        <v>0</v>
      </c>
      <c r="L17" s="82">
        <v>0</v>
      </c>
      <c r="M17" s="82">
        <v>429097.578048</v>
      </c>
      <c r="N17" s="82">
        <v>0</v>
      </c>
      <c r="O17" s="82">
        <v>0</v>
      </c>
      <c r="P17" s="2"/>
      <c r="Q17" s="5">
        <f t="shared" si="0"/>
        <v>0</v>
      </c>
      <c r="R17" s="5">
        <f t="shared" si="1"/>
        <v>0</v>
      </c>
      <c r="S17" s="5">
        <f t="shared" si="2"/>
        <v>429097.578048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53</v>
      </c>
      <c r="D18" s="81" t="s">
        <v>38</v>
      </c>
      <c r="E18" s="81" t="s">
        <v>14</v>
      </c>
      <c r="F18" s="79" t="s">
        <v>50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v>44240</v>
      </c>
      <c r="L18" s="82">
        <v>44240</v>
      </c>
      <c r="M18" s="82">
        <v>555229.56960000005</v>
      </c>
      <c r="N18" s="82">
        <v>44240</v>
      </c>
      <c r="O18" s="82">
        <v>44240</v>
      </c>
      <c r="P18" s="2"/>
      <c r="Q18" s="5">
        <f t="shared" si="0"/>
        <v>44240</v>
      </c>
      <c r="R18" s="5">
        <f t="shared" si="1"/>
        <v>44240</v>
      </c>
      <c r="S18" s="5">
        <f t="shared" si="2"/>
        <v>555229.56960000005</v>
      </c>
      <c r="T18" s="5">
        <f t="shared" si="3"/>
        <v>44240</v>
      </c>
      <c r="U18" s="5">
        <f t="shared" si="4"/>
        <v>44240</v>
      </c>
      <c r="Z18"/>
    </row>
    <row r="19" spans="1:26" ht="12.75" customHeight="1" x14ac:dyDescent="0.25">
      <c r="A19" s="4"/>
      <c r="C19" s="80" t="s">
        <v>63</v>
      </c>
      <c r="D19" s="81" t="s">
        <v>38</v>
      </c>
      <c r="E19" s="81" t="s">
        <v>13</v>
      </c>
      <c r="F19" s="79" t="s">
        <v>50</v>
      </c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>
        <v>265440</v>
      </c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265440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66</v>
      </c>
      <c r="D20" s="81" t="s">
        <v>38</v>
      </c>
      <c r="E20" s="81" t="s">
        <v>14</v>
      </c>
      <c r="F20" s="79" t="s">
        <v>50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v>0</v>
      </c>
      <c r="L20" s="82">
        <v>0</v>
      </c>
      <c r="M20" s="82">
        <v>63200</v>
      </c>
      <c r="N20" s="82">
        <v>0</v>
      </c>
      <c r="O20" s="82">
        <v>0</v>
      </c>
      <c r="P20" s="2"/>
      <c r="Q20" s="5">
        <f t="shared" si="0"/>
        <v>0</v>
      </c>
      <c r="R20" s="5">
        <f t="shared" si="1"/>
        <v>0</v>
      </c>
      <c r="S20" s="5">
        <f t="shared" si="2"/>
        <v>63200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67</v>
      </c>
      <c r="D21" s="81" t="s">
        <v>38</v>
      </c>
      <c r="E21" s="81" t="s">
        <v>14</v>
      </c>
      <c r="F21" s="79" t="s">
        <v>50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v>0</v>
      </c>
      <c r="L21" s="82">
        <v>0</v>
      </c>
      <c r="M21" s="82">
        <v>31600</v>
      </c>
      <c r="N21" s="82">
        <v>0</v>
      </c>
      <c r="O21" s="82">
        <v>0</v>
      </c>
      <c r="P21" s="2"/>
      <c r="Q21" s="5">
        <f t="shared" si="0"/>
        <v>0</v>
      </c>
      <c r="R21" s="5">
        <f t="shared" si="1"/>
        <v>0</v>
      </c>
      <c r="S21" s="5">
        <f t="shared" si="2"/>
        <v>31600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69</v>
      </c>
      <c r="D22" s="81" t="s">
        <v>38</v>
      </c>
      <c r="E22" s="81" t="s">
        <v>11</v>
      </c>
      <c r="F22" s="79" t="s">
        <v>50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(453749*0.8)/H22</f>
        <v>2490.092275571189</v>
      </c>
      <c r="L22" s="82"/>
      <c r="M22" s="82"/>
      <c r="N22" s="82">
        <f>453749/H22</f>
        <v>3112.6153444639858</v>
      </c>
      <c r="O22" s="82"/>
      <c r="P22" s="2"/>
      <c r="Q22" s="5">
        <f t="shared" si="0"/>
        <v>362999.20000000007</v>
      </c>
      <c r="R22" s="5">
        <f t="shared" si="1"/>
        <v>0</v>
      </c>
      <c r="S22" s="5">
        <f t="shared" si="2"/>
        <v>0</v>
      </c>
      <c r="T22" s="5">
        <f t="shared" si="3"/>
        <v>453749</v>
      </c>
      <c r="U22" s="5">
        <f t="shared" si="4"/>
        <v>0</v>
      </c>
      <c r="W22" s="117"/>
      <c r="Z22"/>
    </row>
    <row r="23" spans="1:26" ht="12.75" customHeight="1" x14ac:dyDescent="0.25">
      <c r="A23" s="4"/>
      <c r="C23" s="80" t="s">
        <v>70</v>
      </c>
      <c r="D23" s="81" t="s">
        <v>38</v>
      </c>
      <c r="E23" s="81" t="s">
        <v>14</v>
      </c>
      <c r="F23" s="79" t="s">
        <v>50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>
        <f>299817*0.8</f>
        <v>239853.6</v>
      </c>
      <c r="L23" s="82"/>
      <c r="M23" s="82"/>
      <c r="N23" s="82">
        <v>299817</v>
      </c>
      <c r="O23" s="82"/>
      <c r="P23" s="2"/>
      <c r="Q23" s="5">
        <f t="shared" si="0"/>
        <v>239853.6</v>
      </c>
      <c r="R23" s="5">
        <f t="shared" si="1"/>
        <v>0</v>
      </c>
      <c r="S23" s="5">
        <f t="shared" si="2"/>
        <v>0</v>
      </c>
      <c r="T23" s="5">
        <f t="shared" si="3"/>
        <v>299817</v>
      </c>
      <c r="U23" s="5">
        <f t="shared" si="4"/>
        <v>0</v>
      </c>
      <c r="Z23"/>
    </row>
    <row r="24" spans="1:26" ht="12.75" customHeight="1" x14ac:dyDescent="0.25">
      <c r="A24" s="4"/>
      <c r="C24" s="80" t="s">
        <v>71</v>
      </c>
      <c r="D24" s="81" t="s">
        <v>38</v>
      </c>
      <c r="E24" s="81" t="s">
        <v>13</v>
      </c>
      <c r="F24" s="79" t="s">
        <v>50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>
        <v>319126</v>
      </c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319126</v>
      </c>
      <c r="U24" s="5">
        <f t="shared" si="4"/>
        <v>0</v>
      </c>
      <c r="V24" s="4"/>
      <c r="W24" s="118"/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W26" s="117"/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54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38</v>
      </c>
      <c r="E58" s="24"/>
      <c r="F58" s="24" t="s">
        <v>50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470787.08783324482</v>
      </c>
      <c r="R58" s="25">
        <f t="shared" si="6"/>
        <v>995869.48065438715</v>
      </c>
      <c r="S58" s="25">
        <f t="shared" si="6"/>
        <v>348850.50971882395</v>
      </c>
      <c r="T58" s="25">
        <f t="shared" si="6"/>
        <v>561536.88783324475</v>
      </c>
      <c r="U58" s="25">
        <f t="shared" si="6"/>
        <v>107787.88783324473</v>
      </c>
      <c r="V58" s="70">
        <f>SUM(Q58:U58)</f>
        <v>2484831.8538729455</v>
      </c>
    </row>
    <row r="59" spans="1:26" ht="12.75" customHeight="1" x14ac:dyDescent="0.2">
      <c r="C59" s="1" t="s">
        <v>13</v>
      </c>
      <c r="D59" s="1" t="s">
        <v>38</v>
      </c>
      <c r="F59" s="1" t="s">
        <v>50</v>
      </c>
      <c r="G59" s="2"/>
      <c r="H59" s="67"/>
      <c r="J59" s="2"/>
      <c r="P59" s="2"/>
      <c r="Q59" s="6">
        <f t="shared" si="6"/>
        <v>0</v>
      </c>
      <c r="R59" s="6">
        <f t="shared" si="6"/>
        <v>88480</v>
      </c>
      <c r="S59" s="6">
        <f t="shared" si="6"/>
        <v>265440</v>
      </c>
      <c r="T59" s="6">
        <f t="shared" si="6"/>
        <v>319126</v>
      </c>
      <c r="U59" s="6">
        <f t="shared" si="6"/>
        <v>0</v>
      </c>
      <c r="V59" s="71">
        <f t="shared" ref="V59:V73" si="7">SUM(Q59:U59)</f>
        <v>673046</v>
      </c>
    </row>
    <row r="60" spans="1:26" ht="12.75" customHeight="1" x14ac:dyDescent="0.2">
      <c r="C60" s="1" t="s">
        <v>14</v>
      </c>
      <c r="D60" s="1" t="s">
        <v>38</v>
      </c>
      <c r="F60" s="1" t="s">
        <v>50</v>
      </c>
      <c r="G60" s="2"/>
      <c r="H60" s="67"/>
      <c r="J60" s="2"/>
      <c r="P60" s="2"/>
      <c r="Q60" s="6">
        <f t="shared" si="6"/>
        <v>347293.6</v>
      </c>
      <c r="R60" s="6">
        <f t="shared" si="6"/>
        <v>3451730.4921599999</v>
      </c>
      <c r="S60" s="6">
        <f t="shared" si="6"/>
        <v>1142327.1476480002</v>
      </c>
      <c r="T60" s="6">
        <f t="shared" si="6"/>
        <v>407257</v>
      </c>
      <c r="U60" s="6">
        <f t="shared" si="6"/>
        <v>107440</v>
      </c>
      <c r="V60" s="71">
        <f t="shared" si="7"/>
        <v>5456048.2398080006</v>
      </c>
    </row>
    <row r="61" spans="1:26" ht="12.75" customHeight="1" x14ac:dyDescent="0.2">
      <c r="C61" s="1" t="s">
        <v>11</v>
      </c>
      <c r="D61" s="1" t="s">
        <v>38</v>
      </c>
      <c r="F61" s="1" t="s">
        <v>47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13</v>
      </c>
      <c r="D62" s="1" t="s">
        <v>38</v>
      </c>
      <c r="F62" s="1" t="s">
        <v>47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14</v>
      </c>
      <c r="D63" s="1" t="s">
        <v>38</v>
      </c>
      <c r="F63" s="1" t="s">
        <v>47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15</v>
      </c>
      <c r="D64" s="21" t="s">
        <v>38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818080.6878332448</v>
      </c>
      <c r="R64" s="22">
        <f t="shared" ref="R64:U64" si="8">SUM(R58:R63)</f>
        <v>4536079.9728143867</v>
      </c>
      <c r="S64" s="22">
        <f t="shared" si="8"/>
        <v>1756617.6573668241</v>
      </c>
      <c r="T64" s="22">
        <f t="shared" si="8"/>
        <v>1287919.8878332446</v>
      </c>
      <c r="U64" s="22">
        <f t="shared" si="8"/>
        <v>215227.88783324475</v>
      </c>
      <c r="V64" s="22">
        <f>SUM(V58:V63)</f>
        <v>8613926.0936809462</v>
      </c>
    </row>
    <row r="65" spans="3:23" ht="12.75" customHeight="1" x14ac:dyDescent="0.2">
      <c r="C65" s="1" t="s">
        <v>11</v>
      </c>
      <c r="D65" s="1" t="s">
        <v>46</v>
      </c>
      <c r="F65" s="1" t="s">
        <v>50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13</v>
      </c>
      <c r="D66" s="1" t="s">
        <v>46</v>
      </c>
      <c r="F66" s="1" t="s">
        <v>50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14</v>
      </c>
      <c r="D67" s="1" t="s">
        <v>46</v>
      </c>
      <c r="F67" s="1" t="s">
        <v>50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11</v>
      </c>
      <c r="D68" s="1" t="s">
        <v>46</v>
      </c>
      <c r="F68" s="1" t="s">
        <v>47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13</v>
      </c>
      <c r="D69" s="1" t="s">
        <v>46</v>
      </c>
      <c r="F69" s="1" t="s">
        <v>47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14</v>
      </c>
      <c r="D70" s="1" t="s">
        <v>46</v>
      </c>
      <c r="F70" s="1" t="s">
        <v>47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17</v>
      </c>
      <c r="D71" s="21" t="s">
        <v>46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818080.6878332448</v>
      </c>
      <c r="R73" s="8">
        <f t="shared" ref="R73:U73" si="11">R64+R71</f>
        <v>4536079.9728143867</v>
      </c>
      <c r="S73" s="8">
        <f t="shared" si="11"/>
        <v>1756617.6573668241</v>
      </c>
      <c r="T73" s="8">
        <f t="shared" si="11"/>
        <v>1287919.8878332446</v>
      </c>
      <c r="U73" s="8">
        <f t="shared" si="11"/>
        <v>215227.88783324475</v>
      </c>
      <c r="V73" s="72">
        <f t="shared" si="7"/>
        <v>8613926.0936809462</v>
      </c>
    </row>
    <row r="74" spans="3:23" ht="12.75" customHeight="1" x14ac:dyDescent="0.2">
      <c r="C74" s="44" t="s">
        <v>55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7912827.6810259372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54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38</v>
      </c>
      <c r="E80" s="24"/>
      <c r="F80" s="24" t="s">
        <v>50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818080.6878332448</v>
      </c>
      <c r="R80" s="25">
        <f t="shared" si="13"/>
        <v>4536079.9728143876</v>
      </c>
      <c r="S80" s="25">
        <f t="shared" si="13"/>
        <v>1756617.6573668239</v>
      </c>
      <c r="T80" s="25">
        <f t="shared" si="13"/>
        <v>1287919.8878332446</v>
      </c>
      <c r="U80" s="25">
        <f t="shared" si="13"/>
        <v>215227.88783324475</v>
      </c>
      <c r="V80" s="71">
        <f t="shared" ref="V80:V81" si="14">SUM(Q80:U80)</f>
        <v>8613926.0936809462</v>
      </c>
    </row>
    <row r="81" spans="3:23" ht="12.75" customHeight="1" x14ac:dyDescent="0.2">
      <c r="D81" s="1" t="s">
        <v>46</v>
      </c>
      <c r="F81" s="1" t="s">
        <v>50</v>
      </c>
      <c r="G81" s="2"/>
      <c r="J81" s="2"/>
      <c r="P81" s="2"/>
      <c r="Q81" s="111">
        <f t="shared" si="13"/>
        <v>0</v>
      </c>
      <c r="R81" s="111">
        <f t="shared" si="13"/>
        <v>0</v>
      </c>
      <c r="S81" s="111">
        <f t="shared" si="13"/>
        <v>0</v>
      </c>
      <c r="T81" s="111">
        <f t="shared" si="13"/>
        <v>0</v>
      </c>
      <c r="U81" s="111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56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818080.6878332448</v>
      </c>
      <c r="R82" s="22">
        <f t="shared" ref="R82:V82" si="15">SUM(R80:R81)</f>
        <v>4536079.9728143876</v>
      </c>
      <c r="S82" s="22">
        <f t="shared" si="15"/>
        <v>1756617.6573668239</v>
      </c>
      <c r="T82" s="22">
        <f t="shared" si="15"/>
        <v>1287919.8878332446</v>
      </c>
      <c r="U82" s="22">
        <f t="shared" si="15"/>
        <v>215227.88783324475</v>
      </c>
      <c r="V82" s="22">
        <f t="shared" si="15"/>
        <v>8613926.0936809462</v>
      </c>
    </row>
    <row r="83" spans="3:23" ht="12.75" customHeight="1" x14ac:dyDescent="0.2">
      <c r="C83" s="4"/>
      <c r="D83" s="1" t="s">
        <v>38</v>
      </c>
      <c r="F83" s="1" t="s">
        <v>47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46</v>
      </c>
      <c r="F84" s="1" t="s">
        <v>47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57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818080.6878332448</v>
      </c>
      <c r="R87" s="8">
        <f t="shared" ref="R87:U87" si="19">R82+R85</f>
        <v>4536079.9728143876</v>
      </c>
      <c r="S87" s="8">
        <f t="shared" si="19"/>
        <v>1756617.6573668239</v>
      </c>
      <c r="T87" s="8">
        <f t="shared" si="19"/>
        <v>1287919.8878332446</v>
      </c>
      <c r="U87" s="8">
        <f t="shared" si="19"/>
        <v>215227.88783324475</v>
      </c>
      <c r="V87" s="72">
        <f t="shared" ref="V87" si="20">SUM(Q87:U87)</f>
        <v>8613926.0936809462</v>
      </c>
    </row>
    <row r="88" spans="3:23" ht="12.75" customHeight="1" x14ac:dyDescent="0.2">
      <c r="C88" s="44" t="s">
        <v>55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58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38</v>
      </c>
      <c r="E93" s="24"/>
      <c r="F93" s="24" t="s">
        <v>50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523944.9038192592</v>
      </c>
      <c r="R93" s="34">
        <f t="shared" si="22"/>
        <v>1108315.7392005958</v>
      </c>
      <c r="S93" s="34">
        <f t="shared" si="22"/>
        <v>388240.14397495502</v>
      </c>
      <c r="T93" s="34">
        <f t="shared" si="22"/>
        <v>624941.50389903598</v>
      </c>
      <c r="U93" s="34">
        <f t="shared" si="22"/>
        <v>119958.50350015167</v>
      </c>
      <c r="V93" s="70">
        <f>SUM(Q93:U93)</f>
        <v>2765400.7943939976</v>
      </c>
    </row>
    <row r="94" spans="3:23" ht="12.75" customHeight="1" x14ac:dyDescent="0.2">
      <c r="C94" s="1" t="s">
        <v>13</v>
      </c>
      <c r="D94" s="1" t="s">
        <v>38</v>
      </c>
      <c r="F94" s="1" t="s">
        <v>50</v>
      </c>
      <c r="G94" s="2"/>
      <c r="H94" s="67"/>
      <c r="J94" s="2"/>
      <c r="P94" s="2"/>
      <c r="Q94" s="6">
        <f t="shared" si="22"/>
        <v>0</v>
      </c>
      <c r="R94" s="6">
        <f t="shared" si="22"/>
        <v>98470.510954940473</v>
      </c>
      <c r="S94" s="6">
        <f t="shared" si="22"/>
        <v>295411.53286482138</v>
      </c>
      <c r="T94" s="6">
        <f t="shared" si="22"/>
        <v>355159.36120034283</v>
      </c>
      <c r="U94" s="6">
        <f t="shared" si="22"/>
        <v>0</v>
      </c>
      <c r="V94" s="71">
        <f t="shared" ref="V94:V108" si="23">SUM(Q94:U94)</f>
        <v>749041.40502010472</v>
      </c>
    </row>
    <row r="95" spans="3:23" ht="12.75" customHeight="1" x14ac:dyDescent="0.2">
      <c r="C95" s="1" t="s">
        <v>14</v>
      </c>
      <c r="D95" s="1" t="s">
        <v>38</v>
      </c>
      <c r="F95" s="1" t="s">
        <v>50</v>
      </c>
      <c r="G95" s="2"/>
      <c r="H95" s="67"/>
      <c r="J95" s="2"/>
      <c r="P95" s="2"/>
      <c r="Q95" s="6">
        <f t="shared" si="22"/>
        <v>386507.43945954688</v>
      </c>
      <c r="R95" s="6">
        <f t="shared" si="22"/>
        <v>3841474.5167466467</v>
      </c>
      <c r="S95" s="6">
        <f t="shared" si="22"/>
        <v>1271310.3289624581</v>
      </c>
      <c r="T95" s="6">
        <f t="shared" si="22"/>
        <v>453241.4656416839</v>
      </c>
      <c r="U95" s="6">
        <f t="shared" si="22"/>
        <v>119571.33473099914</v>
      </c>
      <c r="V95" s="71">
        <f t="shared" si="23"/>
        <v>6072105.0855413349</v>
      </c>
    </row>
    <row r="96" spans="3:23" ht="12.75" customHeight="1" x14ac:dyDescent="0.2">
      <c r="C96" s="1" t="s">
        <v>11</v>
      </c>
      <c r="D96" s="1" t="s">
        <v>38</v>
      </c>
      <c r="F96" s="1" t="s">
        <v>47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13</v>
      </c>
      <c r="D97" s="1" t="s">
        <v>38</v>
      </c>
      <c r="F97" s="1" t="s">
        <v>47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14</v>
      </c>
      <c r="D98" s="1" t="s">
        <v>38</v>
      </c>
      <c r="F98" s="1" t="s">
        <v>47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15</v>
      </c>
      <c r="D99" s="21" t="s">
        <v>38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910452.34327880607</v>
      </c>
      <c r="R99" s="22">
        <f t="shared" ref="R99:U99" si="24">SUM(R93:R98)</f>
        <v>5048260.7669021832</v>
      </c>
      <c r="S99" s="22">
        <f t="shared" si="24"/>
        <v>1954962.0058022344</v>
      </c>
      <c r="T99" s="22">
        <f t="shared" si="24"/>
        <v>1433342.3307410628</v>
      </c>
      <c r="U99" s="22">
        <f t="shared" si="24"/>
        <v>239529.83823115082</v>
      </c>
      <c r="V99" s="22">
        <f>SUM(V93:V98)</f>
        <v>9586547.2849554382</v>
      </c>
    </row>
    <row r="100" spans="3:23" ht="12.75" customHeight="1" x14ac:dyDescent="0.2">
      <c r="C100" s="1" t="s">
        <v>11</v>
      </c>
      <c r="D100" s="1" t="s">
        <v>46</v>
      </c>
      <c r="F100" s="1" t="s">
        <v>50</v>
      </c>
      <c r="G100" s="2"/>
      <c r="H100" s="67"/>
      <c r="J100" s="2"/>
      <c r="P100" s="2"/>
      <c r="Q100" s="116">
        <f t="shared" ref="Q100:U105" si="25">Q65*business_case_dollars</f>
        <v>0</v>
      </c>
      <c r="R100" s="116">
        <f t="shared" si="25"/>
        <v>0</v>
      </c>
      <c r="S100" s="116">
        <f t="shared" si="25"/>
        <v>0</v>
      </c>
      <c r="T100" s="116">
        <f t="shared" si="25"/>
        <v>0</v>
      </c>
      <c r="U100" s="116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46</v>
      </c>
      <c r="F101" s="1" t="s">
        <v>50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46</v>
      </c>
      <c r="F102" s="1" t="s">
        <v>50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11</v>
      </c>
      <c r="D103" s="1" t="s">
        <v>46</v>
      </c>
      <c r="F103" s="1" t="s">
        <v>47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13</v>
      </c>
      <c r="D104" s="1" t="s">
        <v>46</v>
      </c>
      <c r="F104" s="1" t="s">
        <v>47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46</v>
      </c>
      <c r="F105" s="1" t="s">
        <v>47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46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59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910452.34327880607</v>
      </c>
      <c r="R108" s="8">
        <f t="shared" ref="R108:U108" si="28">R99+R106</f>
        <v>5048260.7669021832</v>
      </c>
      <c r="S108" s="8">
        <f t="shared" si="28"/>
        <v>1954962.0058022344</v>
      </c>
      <c r="T108" s="8">
        <f t="shared" si="28"/>
        <v>1433342.3307410628</v>
      </c>
      <c r="U108" s="8">
        <f t="shared" si="28"/>
        <v>239529.83823115082</v>
      </c>
      <c r="V108" s="72">
        <f t="shared" si="23"/>
        <v>9586547.2849554364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8806285.9951290768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54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38</v>
      </c>
      <c r="E114" s="24"/>
      <c r="F114" s="24" t="s">
        <v>50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910452.34327880607</v>
      </c>
      <c r="R114" s="25">
        <f t="shared" si="29"/>
        <v>5048260.7669021841</v>
      </c>
      <c r="S114" s="25">
        <f t="shared" si="29"/>
        <v>1954962.0058022342</v>
      </c>
      <c r="T114" s="25">
        <f t="shared" si="29"/>
        <v>1433342.3307410625</v>
      </c>
      <c r="U114" s="25">
        <f t="shared" si="29"/>
        <v>239529.83823115082</v>
      </c>
      <c r="V114" s="71">
        <f t="shared" ref="V114:V115" si="30">SUM(Q114:U114)</f>
        <v>9586547.2849554364</v>
      </c>
    </row>
    <row r="115" spans="3:23" x14ac:dyDescent="0.2">
      <c r="D115" s="1" t="s">
        <v>46</v>
      </c>
      <c r="F115" s="1" t="s">
        <v>50</v>
      </c>
      <c r="G115" s="2"/>
      <c r="J115" s="2"/>
      <c r="P115" s="2"/>
      <c r="Q115" s="111">
        <f t="shared" si="29"/>
        <v>0</v>
      </c>
      <c r="R115" s="111">
        <f t="shared" si="29"/>
        <v>0</v>
      </c>
      <c r="S115" s="111">
        <f t="shared" si="29"/>
        <v>0</v>
      </c>
      <c r="T115" s="111">
        <f t="shared" si="29"/>
        <v>0</v>
      </c>
      <c r="U115" s="111">
        <f t="shared" si="29"/>
        <v>0</v>
      </c>
      <c r="V115" s="71">
        <f t="shared" si="30"/>
        <v>0</v>
      </c>
    </row>
    <row r="116" spans="3:23" x14ac:dyDescent="0.2">
      <c r="C116" s="21" t="s">
        <v>56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910452.34327880607</v>
      </c>
      <c r="R116" s="22">
        <f t="shared" ref="R116:V116" si="31">SUM(R114:R115)</f>
        <v>5048260.7669021841</v>
      </c>
      <c r="S116" s="22">
        <f t="shared" si="31"/>
        <v>1954962.0058022342</v>
      </c>
      <c r="T116" s="22">
        <f t="shared" si="31"/>
        <v>1433342.3307410625</v>
      </c>
      <c r="U116" s="22">
        <f t="shared" si="31"/>
        <v>239529.83823115082</v>
      </c>
      <c r="V116" s="22">
        <f t="shared" si="31"/>
        <v>9586547.2849554364</v>
      </c>
    </row>
    <row r="117" spans="3:23" x14ac:dyDescent="0.2">
      <c r="C117" s="4"/>
      <c r="D117" s="1" t="s">
        <v>38</v>
      </c>
      <c r="F117" s="1" t="s">
        <v>47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46</v>
      </c>
      <c r="F118" s="1" t="s">
        <v>47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57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910452.34327880607</v>
      </c>
      <c r="R121" s="8">
        <f t="shared" ref="R121:U121" si="35">R116+R119</f>
        <v>5048260.7669021841</v>
      </c>
      <c r="S121" s="8">
        <f t="shared" si="35"/>
        <v>1954962.0058022342</v>
      </c>
      <c r="T121" s="8">
        <f t="shared" si="35"/>
        <v>1433342.3307410625</v>
      </c>
      <c r="U121" s="8">
        <f t="shared" si="35"/>
        <v>239529.83823115082</v>
      </c>
      <c r="V121" s="72">
        <f t="shared" ref="V121" si="36">SUM(Q121:U121)</f>
        <v>9586547.2849554364</v>
      </c>
    </row>
    <row r="122" spans="3:23" x14ac:dyDescent="0.2">
      <c r="C122" s="44" t="s">
        <v>55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74:V74">
    <cfRule type="expression" dxfId="7" priority="7">
      <formula>ABS(Q74)&gt;0.001</formula>
    </cfRule>
  </conditionalFormatting>
  <conditionalFormatting sqref="Q88:V91">
    <cfRule type="expression" dxfId="6" priority="4">
      <formula>ABS(Q88)&gt;0.001</formula>
    </cfRule>
  </conditionalFormatting>
  <conditionalFormatting sqref="Q109:V109">
    <cfRule type="expression" dxfId="5" priority="8">
      <formula>ABS(Q109)&gt;0.001</formula>
    </cfRule>
  </conditionalFormatting>
  <conditionalFormatting sqref="Q122:V122">
    <cfRule type="expression" dxfId="4" priority="1">
      <formula>ABS(Q122)&gt;0.001</formula>
    </cfRule>
  </conditionalFormatting>
  <conditionalFormatting sqref="W74">
    <cfRule type="expression" dxfId="3" priority="17">
      <formula>ABS(W74)&gt;0.001</formula>
    </cfRule>
  </conditionalFormatting>
  <conditionalFormatting sqref="W88:W91">
    <cfRule type="expression" dxfId="2" priority="5">
      <formula>ABS(W88)&gt;0.001</formula>
    </cfRule>
  </conditionalFormatting>
  <conditionalFormatting sqref="W109">
    <cfRule type="expression" dxfId="1" priority="9">
      <formula>ABS(W109)&gt;0.001</formula>
    </cfRule>
  </conditionalFormatting>
  <conditionalFormatting sqref="W122">
    <cfRule type="expression" dxfId="0" priority="2">
      <formula>ABS(W122)&gt;0.001</formula>
    </cfRule>
  </conditionalFormatting>
  <dataValidations count="3">
    <dataValidation type="list" allowBlank="1" showInputMessage="1" showErrorMessage="1" sqref="F10:F54" xr:uid="{0056677F-06F0-4171-A788-E9800796D01C}">
      <formula1>"Recurrent, Non recurrent"</formula1>
    </dataValidation>
    <dataValidation type="list" allowBlank="1" showInputMessage="1" showErrorMessage="1" sqref="D10:D54" xr:uid="{0BC2CCE9-8E5A-4443-BD56-40A8A3B5E164}">
      <formula1>"Capex, Opex"</formula1>
    </dataValidation>
    <dataValidation type="list" allowBlank="1" showInputMessage="1" showErrorMessage="1" sqref="E10:E5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CitiPower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2025-01-21T03:48:37Z</dcterms:created>
  <dcterms:modified xsi:type="dcterms:W3CDTF">2025-01-21T05:03:08Z</dcterms:modified>
  <cp:category/>
  <cp:contentStatus/>
</cp:coreProperties>
</file>