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B:\9 Regulatory proposal submission\1 CitiPower\9 For finalisation\3 Models for finalisation\7 Non-network\"/>
    </mc:Choice>
  </mc:AlternateContent>
  <xr:revisionPtr revIDLastSave="0" documentId="13_ncr:1_{EFB6C3F9-59F3-4DB9-8F89-559BBA26006B}" xr6:coauthVersionLast="47" xr6:coauthVersionMax="47" xr10:uidLastSave="{00000000-0000-0000-0000-000000000000}"/>
  <bookViews>
    <workbookView xWindow="28680" yWindow="-120" windowWidth="29040" windowHeight="15720" xr2:uid="{9829720C-61C9-4220-91EF-A61AD17F01FE}"/>
  </bookViews>
  <sheets>
    <sheet name="Cover" sheetId="9" r:id="rId1"/>
    <sheet name="Summary" sheetId="5" r:id="rId2"/>
    <sheet name="Options Analysis" sheetId="1" r:id="rId3"/>
    <sheet name="Costs" sheetId="3" r:id="rId4"/>
    <sheet name="Risks" sheetId="7" r:id="rId5"/>
    <sheet name="Risk Assumptions" sheetId="6" r:id="rId6"/>
    <sheet name="Reg Assumptions " sheetId="2" r:id="rId7"/>
  </sheets>
  <definedNames>
    <definedName name="business">'Reg Assumptions '!$B$5</definedName>
    <definedName name="esc_24_26">'Reg Assumptions '!$C$26</definedName>
    <definedName name="input_dollars">'Reg Assumptions '!$B$9</definedName>
    <definedName name="model_name">'Reg Assumptions '!$B$7</definedName>
    <definedName name="output_dollars">'Reg Assumptions '!$B$11</definedName>
    <definedName name="pref_option">Summary!$C$8</definedName>
    <definedName name="real_disc">'Reg Assumptions 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G17" i="6" s="1" a="1"/>
  <c r="G17" i="6" s="1"/>
  <c r="D224" i="7" s="1"/>
  <c r="B232" i="7"/>
  <c r="B228" i="7"/>
  <c r="C225" i="7"/>
  <c r="C224" i="7"/>
  <c r="C223" i="7"/>
  <c r="C222" i="7"/>
  <c r="F17" i="6" l="1"/>
  <c r="E42" i="6" l="1"/>
  <c r="F42" i="6" s="1"/>
  <c r="C143" i="7"/>
  <c r="B150" i="7"/>
  <c r="E21" i="6"/>
  <c r="F21" i="6" s="1"/>
  <c r="C62" i="7" s="1"/>
  <c r="B66" i="7"/>
  <c r="G42" i="6" l="1" a="1"/>
  <c r="G42" i="6" s="1"/>
  <c r="D144" i="7" s="1"/>
  <c r="G21" i="6" a="1"/>
  <c r="G21" i="6" s="1"/>
  <c r="D62" i="7" s="1"/>
  <c r="D6" i="9" l="1" a="1"/>
  <c r="D6" i="9" s="1"/>
  <c r="C5" i="9" a="1"/>
  <c r="C5" i="9" s="1"/>
  <c r="D46" i="6"/>
  <c r="B41" i="5" l="1"/>
  <c r="N66" i="3"/>
  <c r="M66" i="3"/>
  <c r="K66" i="3"/>
  <c r="N65" i="3"/>
  <c r="M65" i="3"/>
  <c r="K65" i="3"/>
  <c r="N64" i="3"/>
  <c r="M64" i="3"/>
  <c r="K64" i="3"/>
  <c r="J66" i="3"/>
  <c r="J65" i="3"/>
  <c r="J64" i="3"/>
  <c r="N28" i="3"/>
  <c r="M28" i="3"/>
  <c r="L28" i="3"/>
  <c r="K28" i="3"/>
  <c r="N26" i="3"/>
  <c r="M26" i="3"/>
  <c r="L26" i="3"/>
  <c r="K26" i="3"/>
  <c r="J28" i="3"/>
  <c r="J26" i="3"/>
  <c r="N47" i="3"/>
  <c r="M47" i="3"/>
  <c r="K47" i="3"/>
  <c r="J47" i="3"/>
  <c r="N45" i="3"/>
  <c r="M45" i="3"/>
  <c r="K45" i="3"/>
  <c r="J45" i="3"/>
  <c r="J24" i="3"/>
  <c r="K24" i="3"/>
  <c r="L24" i="3"/>
  <c r="M24" i="3"/>
  <c r="N24" i="3"/>
  <c r="B40" i="5"/>
  <c r="A3" i="5"/>
  <c r="A2" i="5"/>
  <c r="A1" i="5"/>
  <c r="B69" i="1"/>
  <c r="C52" i="1"/>
  <c r="A3" i="1"/>
  <c r="C27" i="1"/>
  <c r="C14" i="1"/>
  <c r="B45" i="1"/>
  <c r="C23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2" i="1"/>
  <c r="A1" i="1"/>
  <c r="C240" i="7"/>
  <c r="B251" i="7"/>
  <c r="D240" i="7"/>
  <c r="E24" i="6"/>
  <c r="G24" i="6" s="1" a="1"/>
  <c r="G24" i="6" s="1"/>
  <c r="B255" i="7"/>
  <c r="B243" i="7"/>
  <c r="D208" i="7"/>
  <c r="B212" i="7"/>
  <c r="E55" i="6"/>
  <c r="G55" i="6" s="1" a="1"/>
  <c r="G55" i="6" s="1"/>
  <c r="E54" i="6"/>
  <c r="G54" i="6" s="1" a="1"/>
  <c r="G54" i="6" s="1"/>
  <c r="E52" i="6"/>
  <c r="G52" i="6" s="1" a="1"/>
  <c r="G52" i="6" s="1"/>
  <c r="E53" i="6"/>
  <c r="G53" i="6" s="1" a="1"/>
  <c r="G53" i="6" s="1"/>
  <c r="E51" i="6"/>
  <c r="G51" i="6" s="1" a="1"/>
  <c r="G51" i="6" s="1"/>
  <c r="E50" i="6"/>
  <c r="G50" i="6" s="1" a="1"/>
  <c r="G50" i="6" s="1"/>
  <c r="E49" i="6"/>
  <c r="G49" i="6" s="1" a="1"/>
  <c r="G49" i="6" s="1"/>
  <c r="B216" i="7"/>
  <c r="B203" i="7"/>
  <c r="B196" i="7"/>
  <c r="B178" i="7"/>
  <c r="E30" i="6"/>
  <c r="G30" i="6" s="1" a="1"/>
  <c r="G30" i="6" s="1"/>
  <c r="E43" i="6"/>
  <c r="G43" i="6" s="1" a="1"/>
  <c r="G43" i="6" s="1"/>
  <c r="E35" i="6"/>
  <c r="G35" i="6" s="1" a="1"/>
  <c r="G35" i="6" s="1"/>
  <c r="E47" i="6"/>
  <c r="G47" i="6" s="1" a="1"/>
  <c r="G47" i="6" s="1"/>
  <c r="E46" i="6"/>
  <c r="G46" i="6" s="1" a="1"/>
  <c r="G46" i="6" s="1"/>
  <c r="E45" i="6"/>
  <c r="G45" i="6" s="1" a="1"/>
  <c r="G45" i="6" s="1"/>
  <c r="B182" i="7"/>
  <c r="B171" i="7"/>
  <c r="E41" i="6"/>
  <c r="G41" i="6" s="1" a="1"/>
  <c r="G41" i="6" s="1"/>
  <c r="E34" i="6"/>
  <c r="G34" i="6" s="1" a="1"/>
  <c r="G34" i="6" s="1"/>
  <c r="D145" i="7" s="1"/>
  <c r="B154" i="7"/>
  <c r="B139" i="7"/>
  <c r="E40" i="6"/>
  <c r="G40" i="6" s="1" a="1"/>
  <c r="G40" i="6" s="1"/>
  <c r="E32" i="6"/>
  <c r="G32" i="6" s="1" a="1"/>
  <c r="G32" i="6" s="1"/>
  <c r="E33" i="6"/>
  <c r="G33" i="6" s="1" a="1"/>
  <c r="G33" i="6" s="1"/>
  <c r="E37" i="6"/>
  <c r="G37" i="6" s="1" a="1"/>
  <c r="G37" i="6" s="1"/>
  <c r="D142" i="7" s="1"/>
  <c r="E39" i="6"/>
  <c r="G39" i="6" s="1" a="1"/>
  <c r="G39" i="6" s="1"/>
  <c r="E38" i="6"/>
  <c r="G38" i="6" s="1" a="1"/>
  <c r="G38" i="6" s="1"/>
  <c r="D143" i="7" s="1"/>
  <c r="B125" i="7"/>
  <c r="B104" i="7"/>
  <c r="B79" i="7"/>
  <c r="B42" i="7"/>
  <c r="B121" i="7"/>
  <c r="E22" i="6"/>
  <c r="G22" i="6" s="1" a="1"/>
  <c r="G22" i="6" s="1"/>
  <c r="E23" i="6"/>
  <c r="G23" i="6" s="1" a="1"/>
  <c r="G23" i="6" s="1"/>
  <c r="B100" i="7"/>
  <c r="B91" i="7"/>
  <c r="B57" i="7"/>
  <c r="E31" i="6"/>
  <c r="G31" i="6" s="1" a="1"/>
  <c r="G31" i="6" s="1"/>
  <c r="E19" i="6"/>
  <c r="G19" i="6" s="1" a="1"/>
  <c r="G19" i="6" s="1"/>
  <c r="D63" i="7" s="1"/>
  <c r="E20" i="6"/>
  <c r="G20" i="6" s="1" a="1"/>
  <c r="G20" i="6" s="1"/>
  <c r="E28" i="6"/>
  <c r="G28" i="6" s="1" a="1"/>
  <c r="G28" i="6" s="1"/>
  <c r="D61" i="7" s="1"/>
  <c r="E27" i="6"/>
  <c r="G27" i="6" s="1" a="1"/>
  <c r="G27" i="6" s="1"/>
  <c r="E26" i="6"/>
  <c r="G26" i="6" s="1" a="1"/>
  <c r="G26" i="6" s="1"/>
  <c r="D60" i="7" s="1"/>
  <c r="C70" i="7"/>
  <c r="C71" i="7"/>
  <c r="C72" i="7"/>
  <c r="D72" i="7"/>
  <c r="E16" i="6"/>
  <c r="G16" i="6" s="1" a="1"/>
  <c r="G16" i="6" s="1"/>
  <c r="D71" i="7" s="1"/>
  <c r="D70" i="7"/>
  <c r="B75" i="7"/>
  <c r="C34" i="7"/>
  <c r="C35" i="7"/>
  <c r="D35" i="7"/>
  <c r="C33" i="7"/>
  <c r="D33" i="7"/>
  <c r="E11" i="6"/>
  <c r="G11" i="6" s="1" a="1"/>
  <c r="G11" i="6" s="1"/>
  <c r="E10" i="6"/>
  <c r="G10" i="6" s="1" a="1"/>
  <c r="G10" i="6" s="1"/>
  <c r="D225" i="7" s="1"/>
  <c r="E9" i="6"/>
  <c r="G9" i="6" s="1" a="1"/>
  <c r="G9" i="6" s="1"/>
  <c r="E8" i="6"/>
  <c r="G8" i="6" s="1" a="1"/>
  <c r="G8" i="6" s="1"/>
  <c r="D223" i="7" s="1"/>
  <c r="E12" i="6"/>
  <c r="G12" i="6" s="1" a="1"/>
  <c r="G12" i="6" s="1"/>
  <c r="E15" i="6"/>
  <c r="G15" i="6" s="1" a="1"/>
  <c r="G15" i="6" s="1"/>
  <c r="D34" i="7" s="1"/>
  <c r="E14" i="6"/>
  <c r="G14" i="6" s="1" a="1"/>
  <c r="G14" i="6" s="1"/>
  <c r="D222" i="7" s="1"/>
  <c r="B38" i="7"/>
  <c r="H66" i="7" l="1"/>
  <c r="I66" i="7" s="1"/>
  <c r="J66" i="7" s="1"/>
  <c r="K66" i="7" s="1"/>
  <c r="L66" i="7" s="1"/>
  <c r="M66" i="7" s="1"/>
  <c r="N66" i="7" s="1"/>
  <c r="O66" i="7" s="1"/>
  <c r="P66" i="7" s="1"/>
  <c r="Q66" i="7" s="1"/>
  <c r="R66" i="7" s="1"/>
  <c r="S66" i="7" s="1"/>
  <c r="T66" i="7" s="1"/>
  <c r="U66" i="7" s="1"/>
  <c r="V66" i="7" s="1"/>
  <c r="W66" i="7" s="1"/>
  <c r="X66" i="7" s="1"/>
  <c r="Y66" i="7" s="1"/>
  <c r="Z66" i="7" s="1"/>
  <c r="AA66" i="7" s="1"/>
  <c r="AB66" i="7" s="1"/>
  <c r="AC66" i="7" s="1"/>
  <c r="AD66" i="7" s="1"/>
  <c r="AE66" i="7" s="1"/>
  <c r="AF66" i="7" s="1"/>
  <c r="AG66" i="7" s="1"/>
  <c r="L228" i="7"/>
  <c r="I232" i="7"/>
  <c r="I14" i="7" s="1"/>
  <c r="Y148" i="7"/>
  <c r="M148" i="7"/>
  <c r="V148" i="7"/>
  <c r="AG148" i="7"/>
  <c r="O148" i="7"/>
  <c r="Z148" i="7"/>
  <c r="X148" i="7"/>
  <c r="L148" i="7"/>
  <c r="K148" i="7"/>
  <c r="J148" i="7"/>
  <c r="U148" i="7"/>
  <c r="AF148" i="7"/>
  <c r="T148" i="7"/>
  <c r="AE148" i="7"/>
  <c r="W148" i="7"/>
  <c r="S148" i="7"/>
  <c r="AD148" i="7"/>
  <c r="AC148" i="7"/>
  <c r="Q148" i="7"/>
  <c r="R148" i="7"/>
  <c r="AB148" i="7"/>
  <c r="P148" i="7"/>
  <c r="AA148" i="7"/>
  <c r="N148" i="7"/>
  <c r="Y149" i="7"/>
  <c r="M149" i="7"/>
  <c r="U149" i="7"/>
  <c r="T149" i="7"/>
  <c r="Z149" i="7"/>
  <c r="X149" i="7"/>
  <c r="L149" i="7"/>
  <c r="V149" i="7"/>
  <c r="AG149" i="7"/>
  <c r="AE149" i="7"/>
  <c r="S149" i="7"/>
  <c r="R149" i="7"/>
  <c r="W149" i="7"/>
  <c r="K149" i="7"/>
  <c r="J149" i="7"/>
  <c r="I149" i="7"/>
  <c r="AF149" i="7"/>
  <c r="AD149" i="7"/>
  <c r="AC149" i="7"/>
  <c r="Q149" i="7"/>
  <c r="AB149" i="7"/>
  <c r="P149" i="7"/>
  <c r="AA149" i="7"/>
  <c r="O149" i="7"/>
  <c r="N149" i="7"/>
  <c r="I148" i="7"/>
  <c r="D247" i="7"/>
  <c r="D209" i="7"/>
  <c r="F23" i="6"/>
  <c r="C96" i="7" s="1"/>
  <c r="F40" i="6"/>
  <c r="C115" i="7" s="1"/>
  <c r="D165" i="7"/>
  <c r="F10" i="6"/>
  <c r="D85" i="7"/>
  <c r="D133" i="7"/>
  <c r="D190" i="7"/>
  <c r="F20" i="6"/>
  <c r="C50" i="7" s="1"/>
  <c r="D191" i="7"/>
  <c r="D51" i="7"/>
  <c r="D132" i="7"/>
  <c r="D162" i="7"/>
  <c r="F51" i="6"/>
  <c r="C200" i="7" s="1"/>
  <c r="F24" i="6"/>
  <c r="C248" i="7" s="1"/>
  <c r="D52" i="7"/>
  <c r="D112" i="7"/>
  <c r="D174" i="7"/>
  <c r="D207" i="7"/>
  <c r="F16" i="6"/>
  <c r="D175" i="7"/>
  <c r="F52" i="6"/>
  <c r="C199" i="7" s="1"/>
  <c r="F54" i="6"/>
  <c r="C208" i="7" s="1"/>
  <c r="F22" i="6"/>
  <c r="C87" i="7" s="1"/>
  <c r="F11" i="6"/>
  <c r="F14" i="6"/>
  <c r="D86" i="7"/>
  <c r="D114" i="7"/>
  <c r="D163" i="7"/>
  <c r="F34" i="6"/>
  <c r="D131" i="7"/>
  <c r="P26" i="3"/>
  <c r="P28" i="3"/>
  <c r="F49" i="6"/>
  <c r="C190" i="7" s="1"/>
  <c r="F35" i="6"/>
  <c r="C163" i="7" s="1"/>
  <c r="F47" i="6"/>
  <c r="C175" i="7" s="1"/>
  <c r="F50" i="6"/>
  <c r="C191" i="7" s="1"/>
  <c r="D199" i="7"/>
  <c r="F15" i="6"/>
  <c r="F28" i="6"/>
  <c r="C61" i="7" s="1"/>
  <c r="F19" i="6"/>
  <c r="C63" i="7" s="1"/>
  <c r="F39" i="6"/>
  <c r="C112" i="7" s="1"/>
  <c r="D248" i="7"/>
  <c r="F55" i="6"/>
  <c r="C209" i="7" s="1"/>
  <c r="F43" i="6"/>
  <c r="C164" i="7" s="1"/>
  <c r="F12" i="6"/>
  <c r="F27" i="6"/>
  <c r="C238" i="7" s="1"/>
  <c r="F53" i="6"/>
  <c r="C207" i="7" s="1"/>
  <c r="F32" i="6"/>
  <c r="C113" i="7" s="1"/>
  <c r="F8" i="6"/>
  <c r="F45" i="6"/>
  <c r="C162" i="7" s="1"/>
  <c r="D239" i="7"/>
  <c r="F26" i="6"/>
  <c r="C60" i="7" s="1"/>
  <c r="F41" i="6"/>
  <c r="F33" i="6"/>
  <c r="C114" i="7" s="1"/>
  <c r="F9" i="6"/>
  <c r="F46" i="6"/>
  <c r="D164" i="7"/>
  <c r="F30" i="6"/>
  <c r="C165" i="7" s="1"/>
  <c r="D87" i="7"/>
  <c r="D95" i="7"/>
  <c r="D113" i="7"/>
  <c r="D97" i="7"/>
  <c r="D88" i="7"/>
  <c r="D134" i="7"/>
  <c r="D115" i="7"/>
  <c r="F37" i="6"/>
  <c r="C142" i="7" s="1"/>
  <c r="D96" i="7"/>
  <c r="D49" i="7"/>
  <c r="F31" i="6"/>
  <c r="C52" i="7" s="1"/>
  <c r="D50" i="7"/>
  <c r="J232" i="7" l="1"/>
  <c r="J14" i="7" s="1"/>
  <c r="C134" i="7"/>
  <c r="C145" i="7"/>
  <c r="C174" i="7"/>
  <c r="C133" i="7"/>
  <c r="C144" i="7"/>
  <c r="H91" i="7"/>
  <c r="I91" i="7" s="1"/>
  <c r="J91" i="7" s="1"/>
  <c r="K91" i="7" s="1"/>
  <c r="L91" i="7" s="1"/>
  <c r="M91" i="7" s="1"/>
  <c r="N91" i="7" s="1"/>
  <c r="O91" i="7" s="1"/>
  <c r="P91" i="7" s="1"/>
  <c r="Q91" i="7" s="1"/>
  <c r="R91" i="7" s="1"/>
  <c r="S91" i="7" s="1"/>
  <c r="T91" i="7" s="1"/>
  <c r="U91" i="7" s="1"/>
  <c r="V91" i="7" s="1"/>
  <c r="W91" i="7" s="1"/>
  <c r="X91" i="7" s="1"/>
  <c r="Y91" i="7" s="1"/>
  <c r="Z91" i="7" s="1"/>
  <c r="AA91" i="7" s="1"/>
  <c r="AB91" i="7" s="1"/>
  <c r="AC91" i="7" s="1"/>
  <c r="AD91" i="7" s="1"/>
  <c r="AE91" i="7" s="1"/>
  <c r="AF91" i="7" s="1"/>
  <c r="AG91" i="7" s="1"/>
  <c r="L150" i="7"/>
  <c r="Z150" i="7"/>
  <c r="I150" i="7"/>
  <c r="Q150" i="7"/>
  <c r="X119" i="7"/>
  <c r="I56" i="7"/>
  <c r="V56" i="7"/>
  <c r="AC169" i="7"/>
  <c r="I120" i="7"/>
  <c r="J120" i="7" s="1"/>
  <c r="K120" i="7" s="1"/>
  <c r="L120" i="7" s="1"/>
  <c r="M120" i="7" s="1"/>
  <c r="N120" i="7" s="1"/>
  <c r="O120" i="7" s="1"/>
  <c r="P120" i="7" s="1"/>
  <c r="Q120" i="7" s="1"/>
  <c r="R120" i="7" s="1"/>
  <c r="S120" i="7" s="1"/>
  <c r="T120" i="7" s="1"/>
  <c r="R178" i="7"/>
  <c r="Z195" i="7"/>
  <c r="Q169" i="7"/>
  <c r="R195" i="7"/>
  <c r="P56" i="7"/>
  <c r="V195" i="7"/>
  <c r="AF56" i="7"/>
  <c r="T56" i="7"/>
  <c r="Y56" i="7"/>
  <c r="L56" i="7"/>
  <c r="Q56" i="7"/>
  <c r="J56" i="7"/>
  <c r="R56" i="7"/>
  <c r="O195" i="7"/>
  <c r="H56" i="7"/>
  <c r="M56" i="7"/>
  <c r="S56" i="7"/>
  <c r="W56" i="7"/>
  <c r="AC56" i="7"/>
  <c r="AD56" i="7"/>
  <c r="AA195" i="7"/>
  <c r="AA56" i="7"/>
  <c r="AE56" i="7"/>
  <c r="U195" i="7"/>
  <c r="X56" i="7"/>
  <c r="K56" i="7"/>
  <c r="AB56" i="7"/>
  <c r="J178" i="7"/>
  <c r="S169" i="7"/>
  <c r="AD169" i="7"/>
  <c r="L169" i="7"/>
  <c r="X169" i="7"/>
  <c r="Q178" i="7"/>
  <c r="N195" i="7"/>
  <c r="P178" i="7"/>
  <c r="AE195" i="7"/>
  <c r="AF195" i="7"/>
  <c r="O178" i="7"/>
  <c r="S195" i="7"/>
  <c r="AD178" i="7"/>
  <c r="AD195" i="7"/>
  <c r="O56" i="7"/>
  <c r="AG56" i="7"/>
  <c r="W178" i="7"/>
  <c r="Z56" i="7"/>
  <c r="U56" i="7"/>
  <c r="K178" i="7"/>
  <c r="P169" i="7"/>
  <c r="T195" i="7"/>
  <c r="N56" i="7"/>
  <c r="U138" i="7"/>
  <c r="V178" i="7"/>
  <c r="I195" i="7"/>
  <c r="D238" i="7"/>
  <c r="AE169" i="7"/>
  <c r="M169" i="7"/>
  <c r="I169" i="7"/>
  <c r="Y169" i="7"/>
  <c r="AG178" i="7"/>
  <c r="U178" i="7"/>
  <c r="AF169" i="7"/>
  <c r="Z169" i="7"/>
  <c r="AC178" i="7"/>
  <c r="P195" i="7"/>
  <c r="M195" i="7"/>
  <c r="I178" i="7"/>
  <c r="U169" i="7"/>
  <c r="AA178" i="7"/>
  <c r="X178" i="7"/>
  <c r="L195" i="7"/>
  <c r="X195" i="7"/>
  <c r="C85" i="7"/>
  <c r="AF178" i="7"/>
  <c r="AG169" i="7"/>
  <c r="M178" i="7"/>
  <c r="AA169" i="7"/>
  <c r="K195" i="7"/>
  <c r="W195" i="7"/>
  <c r="C246" i="7"/>
  <c r="T169" i="7"/>
  <c r="N169" i="7"/>
  <c r="AB169" i="7"/>
  <c r="D69" i="7"/>
  <c r="H75" i="7" s="1"/>
  <c r="I75" i="7" s="1"/>
  <c r="J75" i="7" s="1"/>
  <c r="K75" i="7" s="1"/>
  <c r="L75" i="7" s="1"/>
  <c r="M75" i="7" s="1"/>
  <c r="N75" i="7" s="1"/>
  <c r="O75" i="7" s="1"/>
  <c r="P75" i="7" s="1"/>
  <c r="Q75" i="7" s="1"/>
  <c r="R75" i="7" s="1"/>
  <c r="S75" i="7" s="1"/>
  <c r="T75" i="7" s="1"/>
  <c r="U75" i="7" s="1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D161" i="7"/>
  <c r="T178" i="7"/>
  <c r="J169" i="7"/>
  <c r="O169" i="7"/>
  <c r="AB178" i="7"/>
  <c r="AC195" i="7"/>
  <c r="J195" i="7"/>
  <c r="C206" i="7"/>
  <c r="D32" i="7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V38" i="7" s="1"/>
  <c r="W38" i="7" s="1"/>
  <c r="X38" i="7" s="1"/>
  <c r="Y38" i="7" s="1"/>
  <c r="Z38" i="7" s="1"/>
  <c r="AA38" i="7" s="1"/>
  <c r="AB38" i="7" s="1"/>
  <c r="AC38" i="7" s="1"/>
  <c r="AD38" i="7" s="1"/>
  <c r="AE38" i="7" s="1"/>
  <c r="AF38" i="7" s="1"/>
  <c r="AG38" i="7" s="1"/>
  <c r="AE178" i="7"/>
  <c r="V169" i="7"/>
  <c r="Z178" i="7"/>
  <c r="Q195" i="7"/>
  <c r="AG195" i="7"/>
  <c r="D111" i="7"/>
  <c r="S178" i="7"/>
  <c r="K169" i="7"/>
  <c r="Y178" i="7"/>
  <c r="N178" i="7"/>
  <c r="AB195" i="7"/>
  <c r="D189" i="7"/>
  <c r="V137" i="7"/>
  <c r="D48" i="7"/>
  <c r="H55" i="7" s="1"/>
  <c r="I55" i="7" s="1"/>
  <c r="D246" i="7"/>
  <c r="C69" i="7"/>
  <c r="D94" i="7"/>
  <c r="L178" i="7"/>
  <c r="R169" i="7"/>
  <c r="W169" i="7"/>
  <c r="Y195" i="7"/>
  <c r="C247" i="7"/>
  <c r="C239" i="7"/>
  <c r="R137" i="7"/>
  <c r="I137" i="7"/>
  <c r="J137" i="7"/>
  <c r="S137" i="7"/>
  <c r="P137" i="7"/>
  <c r="AA137" i="7"/>
  <c r="O137" i="7"/>
  <c r="Z137" i="7"/>
  <c r="AG137" i="7"/>
  <c r="D188" i="7"/>
  <c r="AD137" i="7"/>
  <c r="AF137" i="7"/>
  <c r="N137" i="7"/>
  <c r="AE137" i="7"/>
  <c r="U137" i="7"/>
  <c r="Y137" i="7"/>
  <c r="D160" i="7"/>
  <c r="AB137" i="7"/>
  <c r="AC137" i="7"/>
  <c r="T137" i="7"/>
  <c r="M137" i="7"/>
  <c r="X137" i="7"/>
  <c r="L137" i="7"/>
  <c r="W137" i="7"/>
  <c r="D110" i="7"/>
  <c r="Q137" i="7"/>
  <c r="K137" i="7"/>
  <c r="D200" i="7"/>
  <c r="D206" i="7"/>
  <c r="C48" i="7"/>
  <c r="C94" i="7"/>
  <c r="C49" i="7"/>
  <c r="C86" i="7"/>
  <c r="C95" i="7"/>
  <c r="C110" i="7"/>
  <c r="C188" i="7"/>
  <c r="C131" i="7"/>
  <c r="C160" i="7"/>
  <c r="C51" i="7"/>
  <c r="C97" i="7"/>
  <c r="C88" i="7"/>
  <c r="Z170" i="7"/>
  <c r="N170" i="7"/>
  <c r="Y170" i="7"/>
  <c r="M170" i="7"/>
  <c r="X170" i="7"/>
  <c r="L170" i="7"/>
  <c r="W170" i="7"/>
  <c r="K170" i="7"/>
  <c r="V170" i="7"/>
  <c r="J170" i="7"/>
  <c r="AG170" i="7"/>
  <c r="U170" i="7"/>
  <c r="I170" i="7"/>
  <c r="AF170" i="7"/>
  <c r="T170" i="7"/>
  <c r="AE170" i="7"/>
  <c r="S170" i="7"/>
  <c r="AD170" i="7"/>
  <c r="AC170" i="7"/>
  <c r="AB170" i="7"/>
  <c r="AA170" i="7"/>
  <c r="R170" i="7"/>
  <c r="Q170" i="7"/>
  <c r="P170" i="7"/>
  <c r="O170" i="7"/>
  <c r="AE119" i="7"/>
  <c r="U119" i="7"/>
  <c r="V119" i="7"/>
  <c r="J119" i="7"/>
  <c r="K119" i="7"/>
  <c r="N119" i="7"/>
  <c r="AF119" i="7"/>
  <c r="Z119" i="7"/>
  <c r="P119" i="7"/>
  <c r="AB119" i="7"/>
  <c r="I119" i="7"/>
  <c r="AD119" i="7"/>
  <c r="Q119" i="7"/>
  <c r="T119" i="7"/>
  <c r="S119" i="7"/>
  <c r="M119" i="7"/>
  <c r="AA119" i="7"/>
  <c r="AG119" i="7"/>
  <c r="Y119" i="7"/>
  <c r="AC119" i="7"/>
  <c r="R119" i="7"/>
  <c r="L119" i="7"/>
  <c r="W119" i="7"/>
  <c r="O119" i="7"/>
  <c r="R138" i="7"/>
  <c r="AC138" i="7"/>
  <c r="W138" i="7"/>
  <c r="Q138" i="7"/>
  <c r="V138" i="7"/>
  <c r="Y138" i="7"/>
  <c r="S138" i="7"/>
  <c r="N138" i="7"/>
  <c r="L138" i="7"/>
  <c r="O138" i="7"/>
  <c r="AA138" i="7"/>
  <c r="AF138" i="7"/>
  <c r="J138" i="7"/>
  <c r="M138" i="7"/>
  <c r="K138" i="7"/>
  <c r="AB138" i="7"/>
  <c r="P138" i="7"/>
  <c r="T138" i="7"/>
  <c r="AE138" i="7"/>
  <c r="Z138" i="7"/>
  <c r="X138" i="7"/>
  <c r="C32" i="7"/>
  <c r="I138" i="7"/>
  <c r="AG138" i="7"/>
  <c r="AD138" i="7"/>
  <c r="K232" i="7" l="1"/>
  <c r="K14" i="7" s="1"/>
  <c r="K150" i="7"/>
  <c r="W150" i="7"/>
  <c r="AE150" i="7"/>
  <c r="S150" i="7"/>
  <c r="N150" i="7"/>
  <c r="T150" i="7"/>
  <c r="AA150" i="7"/>
  <c r="AC150" i="7"/>
  <c r="V150" i="7"/>
  <c r="R150" i="7"/>
  <c r="Y150" i="7"/>
  <c r="U150" i="7"/>
  <c r="AG150" i="7"/>
  <c r="J150" i="7"/>
  <c r="AD150" i="7"/>
  <c r="M150" i="7"/>
  <c r="O150" i="7"/>
  <c r="X150" i="7"/>
  <c r="P150" i="7"/>
  <c r="H100" i="7"/>
  <c r="I100" i="7" s="1"/>
  <c r="J100" i="7" s="1"/>
  <c r="K100" i="7" s="1"/>
  <c r="L100" i="7" s="1"/>
  <c r="M100" i="7" s="1"/>
  <c r="N100" i="7" s="1"/>
  <c r="O100" i="7" s="1"/>
  <c r="P100" i="7" s="1"/>
  <c r="Q100" i="7" s="1"/>
  <c r="R100" i="7" s="1"/>
  <c r="S100" i="7" s="1"/>
  <c r="T100" i="7" s="1"/>
  <c r="U100" i="7" s="1"/>
  <c r="V100" i="7" s="1"/>
  <c r="W100" i="7" s="1"/>
  <c r="X100" i="7" s="1"/>
  <c r="Y100" i="7" s="1"/>
  <c r="Z100" i="7" s="1"/>
  <c r="AA100" i="7" s="1"/>
  <c r="AB100" i="7" s="1"/>
  <c r="AC100" i="7" s="1"/>
  <c r="AD100" i="7" s="1"/>
  <c r="AE100" i="7" s="1"/>
  <c r="AF100" i="7" s="1"/>
  <c r="AG100" i="7" s="1"/>
  <c r="AB150" i="7"/>
  <c r="AF150" i="7"/>
  <c r="Z168" i="7"/>
  <c r="K118" i="7"/>
  <c r="K121" i="7" s="1"/>
  <c r="K125" i="7" s="1"/>
  <c r="J243" i="7"/>
  <c r="AD118" i="7"/>
  <c r="K243" i="7"/>
  <c r="AB168" i="7"/>
  <c r="J139" i="7"/>
  <c r="I139" i="7"/>
  <c r="W118" i="7"/>
  <c r="L118" i="7"/>
  <c r="L121" i="7" s="1"/>
  <c r="L125" i="7" s="1"/>
  <c r="L10" i="7" s="1"/>
  <c r="AE118" i="7"/>
  <c r="O118" i="7"/>
  <c r="O121" i="7" s="1"/>
  <c r="AA118" i="7"/>
  <c r="AC168" i="7"/>
  <c r="X118" i="7"/>
  <c r="P118" i="7"/>
  <c r="P121" i="7" s="1"/>
  <c r="S118" i="7"/>
  <c r="S121" i="7" s="1"/>
  <c r="M118" i="7"/>
  <c r="M121" i="7" s="1"/>
  <c r="AB118" i="7"/>
  <c r="I255" i="7"/>
  <c r="I15" i="7" s="1"/>
  <c r="J251" i="7"/>
  <c r="K251" i="7"/>
  <c r="T118" i="7"/>
  <c r="T121" i="7" s="1"/>
  <c r="Y118" i="7"/>
  <c r="AF118" i="7"/>
  <c r="N118" i="7"/>
  <c r="N121" i="7" s="1"/>
  <c r="I118" i="7"/>
  <c r="I121" i="7" s="1"/>
  <c r="Z118" i="7"/>
  <c r="U118" i="7"/>
  <c r="Q118" i="7"/>
  <c r="Q121" i="7" s="1"/>
  <c r="AG118" i="7"/>
  <c r="AC118" i="7"/>
  <c r="AB194" i="7"/>
  <c r="AB196" i="7" s="1"/>
  <c r="J118" i="7"/>
  <c r="J121" i="7" s="1"/>
  <c r="J125" i="7" s="1"/>
  <c r="R118" i="7"/>
  <c r="R121" i="7" s="1"/>
  <c r="V118" i="7"/>
  <c r="R168" i="7"/>
  <c r="AA168" i="7"/>
  <c r="S194" i="7"/>
  <c r="S196" i="7" s="1"/>
  <c r="AG194" i="7"/>
  <c r="AG196" i="7" s="1"/>
  <c r="AD168" i="7"/>
  <c r="U168" i="7"/>
  <c r="AG168" i="7"/>
  <c r="K139" i="7"/>
  <c r="J168" i="7"/>
  <c r="J171" i="7" s="1"/>
  <c r="J182" i="7" s="1"/>
  <c r="V168" i="7"/>
  <c r="K168" i="7"/>
  <c r="K171" i="7" s="1"/>
  <c r="K182" i="7" s="1"/>
  <c r="P168" i="7"/>
  <c r="W168" i="7"/>
  <c r="L139" i="7"/>
  <c r="Q168" i="7"/>
  <c r="L168" i="7"/>
  <c r="L171" i="7" s="1"/>
  <c r="L182" i="7" s="1"/>
  <c r="L12" i="7" s="1"/>
  <c r="S168" i="7"/>
  <c r="M168" i="7"/>
  <c r="M171" i="7" s="1"/>
  <c r="M182" i="7" s="1"/>
  <c r="M12" i="7" s="1"/>
  <c r="AE168" i="7"/>
  <c r="Y168" i="7"/>
  <c r="T168" i="7"/>
  <c r="N168" i="7"/>
  <c r="N171" i="7" s="1"/>
  <c r="N182" i="7" s="1"/>
  <c r="N12" i="7" s="1"/>
  <c r="I168" i="7"/>
  <c r="I171" i="7" s="1"/>
  <c r="X168" i="7"/>
  <c r="O168" i="7"/>
  <c r="AF168" i="7"/>
  <c r="J194" i="7"/>
  <c r="J196" i="7" s="1"/>
  <c r="AA194" i="7"/>
  <c r="AA196" i="7" s="1"/>
  <c r="R194" i="7"/>
  <c r="R196" i="7" s="1"/>
  <c r="I194" i="7"/>
  <c r="I196" i="7" s="1"/>
  <c r="AE194" i="7"/>
  <c r="AE196" i="7" s="1"/>
  <c r="AD194" i="7"/>
  <c r="AD196" i="7" s="1"/>
  <c r="V194" i="7"/>
  <c r="V196" i="7" s="1"/>
  <c r="M194" i="7"/>
  <c r="M196" i="7" s="1"/>
  <c r="T194" i="7"/>
  <c r="T196" i="7" s="1"/>
  <c r="W194" i="7"/>
  <c r="W196" i="7" s="1"/>
  <c r="P194" i="7"/>
  <c r="P196" i="7" s="1"/>
  <c r="AF194" i="7"/>
  <c r="AF196" i="7" s="1"/>
  <c r="L194" i="7"/>
  <c r="L196" i="7" s="1"/>
  <c r="X194" i="7"/>
  <c r="X196" i="7" s="1"/>
  <c r="Q194" i="7"/>
  <c r="Q196" i="7" s="1"/>
  <c r="M139" i="7"/>
  <c r="Y194" i="7"/>
  <c r="Y196" i="7" s="1"/>
  <c r="AC194" i="7"/>
  <c r="AC196" i="7" s="1"/>
  <c r="N194" i="7"/>
  <c r="N196" i="7" s="1"/>
  <c r="U194" i="7"/>
  <c r="U196" i="7" s="1"/>
  <c r="Z194" i="7"/>
  <c r="Z196" i="7" s="1"/>
  <c r="K194" i="7"/>
  <c r="K196" i="7" s="1"/>
  <c r="O194" i="7"/>
  <c r="O196" i="7" s="1"/>
  <c r="Y212" i="7"/>
  <c r="J212" i="7"/>
  <c r="T212" i="7"/>
  <c r="AC212" i="7"/>
  <c r="AD212" i="7"/>
  <c r="V212" i="7"/>
  <c r="Z212" i="7"/>
  <c r="Q212" i="7"/>
  <c r="AA212" i="7"/>
  <c r="AG212" i="7"/>
  <c r="AE212" i="7"/>
  <c r="K212" i="7"/>
  <c r="M212" i="7"/>
  <c r="S212" i="7"/>
  <c r="N212" i="7"/>
  <c r="W212" i="7"/>
  <c r="O212" i="7"/>
  <c r="L212" i="7"/>
  <c r="P212" i="7"/>
  <c r="X212" i="7"/>
  <c r="R212" i="7"/>
  <c r="I212" i="7"/>
  <c r="AF212" i="7"/>
  <c r="AB212" i="7"/>
  <c r="U212" i="7"/>
  <c r="W203" i="7"/>
  <c r="Y203" i="7"/>
  <c r="AB203" i="7"/>
  <c r="K203" i="7"/>
  <c r="M203" i="7"/>
  <c r="J203" i="7"/>
  <c r="AD203" i="7"/>
  <c r="L203" i="7"/>
  <c r="AC203" i="7"/>
  <c r="O203" i="7"/>
  <c r="AA203" i="7"/>
  <c r="S203" i="7"/>
  <c r="AG203" i="7"/>
  <c r="Z203" i="7"/>
  <c r="Q203" i="7"/>
  <c r="U203" i="7"/>
  <c r="V203" i="7"/>
  <c r="R203" i="7"/>
  <c r="N203" i="7"/>
  <c r="I203" i="7"/>
  <c r="P203" i="7"/>
  <c r="X203" i="7"/>
  <c r="AE203" i="7"/>
  <c r="T203" i="7"/>
  <c r="AF203" i="7"/>
  <c r="U120" i="7"/>
  <c r="N139" i="7"/>
  <c r="H57" i="7"/>
  <c r="J55" i="7"/>
  <c r="I57" i="7"/>
  <c r="I79" i="7" s="1"/>
  <c r="M228" i="7" l="1"/>
  <c r="L232" i="7"/>
  <c r="L14" i="7" s="1"/>
  <c r="I154" i="7"/>
  <c r="K154" i="7"/>
  <c r="N154" i="7"/>
  <c r="N11" i="7" s="1"/>
  <c r="M154" i="7"/>
  <c r="M11" i="7" s="1"/>
  <c r="J154" i="7"/>
  <c r="L154" i="7"/>
  <c r="L11" i="7" s="1"/>
  <c r="U121" i="7"/>
  <c r="I125" i="7"/>
  <c r="L216" i="7"/>
  <c r="L13" i="7" s="1"/>
  <c r="H39" i="1" s="1"/>
  <c r="AD216" i="7"/>
  <c r="AD13" i="7" s="1"/>
  <c r="Z39" i="1" s="1"/>
  <c r="O216" i="7"/>
  <c r="O13" i="7" s="1"/>
  <c r="K39" i="1" s="1"/>
  <c r="P216" i="7"/>
  <c r="P13" i="7" s="1"/>
  <c r="L39" i="1" s="1"/>
  <c r="AC216" i="7"/>
  <c r="AC13" i="7" s="1"/>
  <c r="Y39" i="1" s="1"/>
  <c r="AG216" i="7"/>
  <c r="AG13" i="7" s="1"/>
  <c r="AC39" i="1" s="1"/>
  <c r="Y216" i="7"/>
  <c r="Y13" i="7" s="1"/>
  <c r="U39" i="1" s="1"/>
  <c r="X216" i="7"/>
  <c r="X13" i="7" s="1"/>
  <c r="T39" i="1" s="1"/>
  <c r="U216" i="7"/>
  <c r="U13" i="7" s="1"/>
  <c r="Q39" i="1" s="1"/>
  <c r="I216" i="7"/>
  <c r="E39" i="1" s="1"/>
  <c r="R216" i="7"/>
  <c r="R13" i="7" s="1"/>
  <c r="N39" i="1" s="1"/>
  <c r="Z216" i="7"/>
  <c r="Z13" i="7" s="1"/>
  <c r="V39" i="1" s="1"/>
  <c r="K216" i="7"/>
  <c r="G39" i="1" s="1"/>
  <c r="AB216" i="7"/>
  <c r="AB13" i="7" s="1"/>
  <c r="X39" i="1" s="1"/>
  <c r="T216" i="7"/>
  <c r="T13" i="7" s="1"/>
  <c r="P39" i="1" s="1"/>
  <c r="AA216" i="7"/>
  <c r="AA13" i="7" s="1"/>
  <c r="W39" i="1" s="1"/>
  <c r="S216" i="7"/>
  <c r="S13" i="7" s="1"/>
  <c r="O39" i="1" s="1"/>
  <c r="AF216" i="7"/>
  <c r="AF13" i="7" s="1"/>
  <c r="AB39" i="1" s="1"/>
  <c r="W216" i="7"/>
  <c r="W13" i="7" s="1"/>
  <c r="S39" i="1" s="1"/>
  <c r="AE216" i="7"/>
  <c r="AE13" i="7" s="1"/>
  <c r="AA39" i="1" s="1"/>
  <c r="J216" i="7"/>
  <c r="F39" i="1" s="1"/>
  <c r="N216" i="7"/>
  <c r="N13" i="7" s="1"/>
  <c r="J39" i="1" s="1"/>
  <c r="V216" i="7"/>
  <c r="V13" i="7" s="1"/>
  <c r="R39" i="1" s="1"/>
  <c r="M216" i="7"/>
  <c r="M13" i="7" s="1"/>
  <c r="I39" i="1" s="1"/>
  <c r="Q216" i="7"/>
  <c r="Q13" i="7" s="1"/>
  <c r="M39" i="1" s="1"/>
  <c r="V120" i="7"/>
  <c r="W120" i="7" s="1"/>
  <c r="J255" i="7"/>
  <c r="J15" i="7" s="1"/>
  <c r="I182" i="7"/>
  <c r="O171" i="7"/>
  <c r="O182" i="7" s="1"/>
  <c r="O12" i="7" s="1"/>
  <c r="O139" i="7"/>
  <c r="M125" i="7"/>
  <c r="M10" i="7" s="1"/>
  <c r="K55" i="7"/>
  <c r="J57" i="7"/>
  <c r="J79" i="7" s="1"/>
  <c r="N228" i="7" l="1"/>
  <c r="M232" i="7"/>
  <c r="M14" i="7" s="1"/>
  <c r="O154" i="7"/>
  <c r="O11" i="7" s="1"/>
  <c r="G13" i="7"/>
  <c r="F13" i="7"/>
  <c r="V121" i="7"/>
  <c r="K255" i="7"/>
  <c r="K15" i="7" s="1"/>
  <c r="P171" i="7"/>
  <c r="P182" i="7" s="1"/>
  <c r="P12" i="7" s="1"/>
  <c r="P139" i="7"/>
  <c r="X120" i="7"/>
  <c r="W121" i="7"/>
  <c r="N125" i="7"/>
  <c r="N10" i="7" s="1"/>
  <c r="L55" i="7"/>
  <c r="K57" i="7"/>
  <c r="K79" i="7" s="1"/>
  <c r="O228" i="7" l="1"/>
  <c r="N232" i="7"/>
  <c r="N14" i="7" s="1"/>
  <c r="P154" i="7"/>
  <c r="P11" i="7" s="1"/>
  <c r="L255" i="7"/>
  <c r="L15" i="7" s="1"/>
  <c r="Q171" i="7"/>
  <c r="Q182" i="7" s="1"/>
  <c r="Q12" i="7" s="1"/>
  <c r="Q139" i="7"/>
  <c r="Y120" i="7"/>
  <c r="X121" i="7"/>
  <c r="O125" i="7"/>
  <c r="O10" i="7" s="1"/>
  <c r="M55" i="7"/>
  <c r="L57" i="7"/>
  <c r="L79" i="7" s="1"/>
  <c r="P228" i="7" l="1"/>
  <c r="O232" i="7"/>
  <c r="O14" i="7" s="1"/>
  <c r="Q154" i="7"/>
  <c r="Q11" i="7" s="1"/>
  <c r="M255" i="7"/>
  <c r="M15" i="7" s="1"/>
  <c r="R171" i="7"/>
  <c r="R182" i="7" s="1"/>
  <c r="R12" i="7" s="1"/>
  <c r="R139" i="7"/>
  <c r="Z120" i="7"/>
  <c r="Y121" i="7"/>
  <c r="P125" i="7"/>
  <c r="P10" i="7" s="1"/>
  <c r="N55" i="7"/>
  <c r="M57" i="7"/>
  <c r="M79" i="7" s="1"/>
  <c r="Q228" i="7" l="1"/>
  <c r="P232" i="7"/>
  <c r="P14" i="7" s="1"/>
  <c r="R154" i="7"/>
  <c r="R11" i="7" s="1"/>
  <c r="N255" i="7"/>
  <c r="N15" i="7" s="1"/>
  <c r="S171" i="7"/>
  <c r="S182" i="7" s="1"/>
  <c r="S12" i="7" s="1"/>
  <c r="S139" i="7"/>
  <c r="AA120" i="7"/>
  <c r="Z121" i="7"/>
  <c r="Q125" i="7"/>
  <c r="Q10" i="7" s="1"/>
  <c r="O55" i="7"/>
  <c r="N57" i="7"/>
  <c r="N79" i="7" s="1"/>
  <c r="R228" i="7" l="1"/>
  <c r="Q232" i="7"/>
  <c r="Q14" i="7" s="1"/>
  <c r="S154" i="7"/>
  <c r="S11" i="7" s="1"/>
  <c r="O255" i="7"/>
  <c r="O15" i="7" s="1"/>
  <c r="T171" i="7"/>
  <c r="T182" i="7" s="1"/>
  <c r="T12" i="7" s="1"/>
  <c r="T139" i="7"/>
  <c r="AB120" i="7"/>
  <c r="AA121" i="7"/>
  <c r="R125" i="7"/>
  <c r="R10" i="7" s="1"/>
  <c r="P55" i="7"/>
  <c r="O57" i="7"/>
  <c r="O79" i="7" s="1"/>
  <c r="S228" i="7" l="1"/>
  <c r="R232" i="7"/>
  <c r="R14" i="7" s="1"/>
  <c r="T154" i="7"/>
  <c r="T11" i="7" s="1"/>
  <c r="P255" i="7"/>
  <c r="P15" i="7" s="1"/>
  <c r="U171" i="7"/>
  <c r="U182" i="7" s="1"/>
  <c r="U12" i="7" s="1"/>
  <c r="U139" i="7"/>
  <c r="AC120" i="7"/>
  <c r="AB121" i="7"/>
  <c r="S125" i="7"/>
  <c r="S10" i="7" s="1"/>
  <c r="Q55" i="7"/>
  <c r="P57" i="7"/>
  <c r="P79" i="7" s="1"/>
  <c r="T228" i="7" l="1"/>
  <c r="S232" i="7"/>
  <c r="S14" i="7" s="1"/>
  <c r="U154" i="7"/>
  <c r="U11" i="7" s="1"/>
  <c r="Q255" i="7"/>
  <c r="Q15" i="7" s="1"/>
  <c r="V171" i="7"/>
  <c r="V182" i="7" s="1"/>
  <c r="V12" i="7" s="1"/>
  <c r="V139" i="7"/>
  <c r="AD120" i="7"/>
  <c r="AC121" i="7"/>
  <c r="T125" i="7"/>
  <c r="T10" i="7" s="1"/>
  <c r="R55" i="7"/>
  <c r="Q57" i="7"/>
  <c r="Q79" i="7" s="1"/>
  <c r="U228" i="7" l="1"/>
  <c r="T232" i="7"/>
  <c r="T14" i="7" s="1"/>
  <c r="V154" i="7"/>
  <c r="V11" i="7" s="1"/>
  <c r="R255" i="7"/>
  <c r="R15" i="7" s="1"/>
  <c r="W171" i="7"/>
  <c r="W182" i="7" s="1"/>
  <c r="W12" i="7" s="1"/>
  <c r="W139" i="7"/>
  <c r="AE120" i="7"/>
  <c r="AD121" i="7"/>
  <c r="U125" i="7"/>
  <c r="U10" i="7" s="1"/>
  <c r="S55" i="7"/>
  <c r="R57" i="7"/>
  <c r="R79" i="7" s="1"/>
  <c r="V228" i="7" l="1"/>
  <c r="U232" i="7"/>
  <c r="U14" i="7" s="1"/>
  <c r="W154" i="7"/>
  <c r="W11" i="7" s="1"/>
  <c r="S255" i="7"/>
  <c r="S15" i="7" s="1"/>
  <c r="X171" i="7"/>
  <c r="X182" i="7" s="1"/>
  <c r="X12" i="7" s="1"/>
  <c r="X139" i="7"/>
  <c r="AF120" i="7"/>
  <c r="AE121" i="7"/>
  <c r="V125" i="7"/>
  <c r="V10" i="7" s="1"/>
  <c r="T55" i="7"/>
  <c r="S57" i="7"/>
  <c r="S79" i="7" s="1"/>
  <c r="W228" i="7" l="1"/>
  <c r="V232" i="7"/>
  <c r="V14" i="7" s="1"/>
  <c r="X154" i="7"/>
  <c r="X11" i="7" s="1"/>
  <c r="T255" i="7"/>
  <c r="T15" i="7" s="1"/>
  <c r="Y171" i="7"/>
  <c r="Y182" i="7" s="1"/>
  <c r="Y12" i="7" s="1"/>
  <c r="Y139" i="7"/>
  <c r="AG120" i="7"/>
  <c r="AG121" i="7" s="1"/>
  <c r="AF121" i="7"/>
  <c r="W125" i="7"/>
  <c r="W10" i="7" s="1"/>
  <c r="U55" i="7"/>
  <c r="T57" i="7"/>
  <c r="T79" i="7" s="1"/>
  <c r="X228" i="7" l="1"/>
  <c r="W232" i="7"/>
  <c r="W14" i="7" s="1"/>
  <c r="Y154" i="7"/>
  <c r="Y11" i="7" s="1"/>
  <c r="U255" i="7"/>
  <c r="U15" i="7" s="1"/>
  <c r="Z171" i="7"/>
  <c r="Z182" i="7" s="1"/>
  <c r="Z12" i="7" s="1"/>
  <c r="Z139" i="7"/>
  <c r="X125" i="7"/>
  <c r="X10" i="7" s="1"/>
  <c r="V55" i="7"/>
  <c r="U57" i="7"/>
  <c r="U79" i="7" s="1"/>
  <c r="Y228" i="7" l="1"/>
  <c r="X232" i="7"/>
  <c r="X14" i="7" s="1"/>
  <c r="Z154" i="7"/>
  <c r="Z11" i="7" s="1"/>
  <c r="V255" i="7"/>
  <c r="V15" i="7" s="1"/>
  <c r="AA171" i="7"/>
  <c r="AA182" i="7" s="1"/>
  <c r="AA12" i="7" s="1"/>
  <c r="AA139" i="7"/>
  <c r="Y125" i="7"/>
  <c r="Y10" i="7" s="1"/>
  <c r="W55" i="7"/>
  <c r="V57" i="7"/>
  <c r="V79" i="7" s="1"/>
  <c r="Z228" i="7" l="1"/>
  <c r="Y232" i="7"/>
  <c r="Y14" i="7" s="1"/>
  <c r="AA154" i="7"/>
  <c r="AA11" i="7" s="1"/>
  <c r="W255" i="7"/>
  <c r="W15" i="7" s="1"/>
  <c r="AB171" i="7"/>
  <c r="AB182" i="7" s="1"/>
  <c r="AB12" i="7" s="1"/>
  <c r="AB139" i="7"/>
  <c r="Z125" i="7"/>
  <c r="Z10" i="7" s="1"/>
  <c r="X55" i="7"/>
  <c r="W57" i="7"/>
  <c r="W79" i="7" s="1"/>
  <c r="AA228" i="7" l="1"/>
  <c r="Z232" i="7"/>
  <c r="Z14" i="7" s="1"/>
  <c r="AB154" i="7"/>
  <c r="AB11" i="7" s="1"/>
  <c r="X255" i="7"/>
  <c r="X15" i="7" s="1"/>
  <c r="AC171" i="7"/>
  <c r="AC182" i="7" s="1"/>
  <c r="AC12" i="7" s="1"/>
  <c r="AC139" i="7"/>
  <c r="AA125" i="7"/>
  <c r="AA10" i="7" s="1"/>
  <c r="Y55" i="7"/>
  <c r="X57" i="7"/>
  <c r="X79" i="7" s="1"/>
  <c r="AB228" i="7" l="1"/>
  <c r="AA232" i="7"/>
  <c r="AA14" i="7" s="1"/>
  <c r="AC154" i="7"/>
  <c r="AC11" i="7" s="1"/>
  <c r="Y255" i="7"/>
  <c r="Y15" i="7" s="1"/>
  <c r="AD171" i="7"/>
  <c r="AD182" i="7" s="1"/>
  <c r="AD12" i="7" s="1"/>
  <c r="AD139" i="7"/>
  <c r="AB125" i="7"/>
  <c r="AB10" i="7" s="1"/>
  <c r="Z55" i="7"/>
  <c r="Y57" i="7"/>
  <c r="Y79" i="7" s="1"/>
  <c r="AC228" i="7" l="1"/>
  <c r="AB232" i="7"/>
  <c r="AB14" i="7" s="1"/>
  <c r="AD154" i="7"/>
  <c r="AD11" i="7" s="1"/>
  <c r="Z255" i="7"/>
  <c r="Z15" i="7" s="1"/>
  <c r="AE171" i="7"/>
  <c r="AE182" i="7" s="1"/>
  <c r="AE12" i="7" s="1"/>
  <c r="AE139" i="7"/>
  <c r="AC125" i="7"/>
  <c r="AC10" i="7" s="1"/>
  <c r="AA55" i="7"/>
  <c r="Z57" i="7"/>
  <c r="Z79" i="7" s="1"/>
  <c r="AD228" i="7" l="1"/>
  <c r="AC232" i="7"/>
  <c r="AC14" i="7" s="1"/>
  <c r="AE154" i="7"/>
  <c r="AE11" i="7" s="1"/>
  <c r="AA255" i="7"/>
  <c r="AA15" i="7" s="1"/>
  <c r="AG171" i="7"/>
  <c r="AG182" i="7" s="1"/>
  <c r="AG12" i="7" s="1"/>
  <c r="AF171" i="7"/>
  <c r="AF182" i="7" s="1"/>
  <c r="AF12" i="7" s="1"/>
  <c r="AG139" i="7"/>
  <c r="AF139" i="7"/>
  <c r="AD125" i="7"/>
  <c r="AD10" i="7" s="1"/>
  <c r="AB55" i="7"/>
  <c r="AA57" i="7"/>
  <c r="AA79" i="7" s="1"/>
  <c r="AE228" i="7" l="1"/>
  <c r="AD232" i="7"/>
  <c r="AD14" i="7" s="1"/>
  <c r="AF154" i="7"/>
  <c r="AF11" i="7" s="1"/>
  <c r="AG154" i="7"/>
  <c r="AG11" i="7" s="1"/>
  <c r="G12" i="7"/>
  <c r="F12" i="7"/>
  <c r="AB255" i="7"/>
  <c r="AB15" i="7" s="1"/>
  <c r="AE125" i="7"/>
  <c r="AE10" i="7" s="1"/>
  <c r="AC55" i="7"/>
  <c r="AB57" i="7"/>
  <c r="AB79" i="7" s="1"/>
  <c r="AF228" i="7" l="1"/>
  <c r="AE232" i="7"/>
  <c r="AE14" i="7" s="1"/>
  <c r="G11" i="7"/>
  <c r="F11" i="7"/>
  <c r="AC255" i="7"/>
  <c r="AC15" i="7" s="1"/>
  <c r="AF125" i="7"/>
  <c r="AF10" i="7" s="1"/>
  <c r="AD55" i="7"/>
  <c r="AC57" i="7"/>
  <c r="AC79" i="7" s="1"/>
  <c r="AG228" i="7" l="1"/>
  <c r="AG232" i="7" s="1"/>
  <c r="AG14" i="7" s="1"/>
  <c r="AF232" i="7"/>
  <c r="AF14" i="7" s="1"/>
  <c r="AD255" i="7"/>
  <c r="AD15" i="7" s="1"/>
  <c r="AG125" i="7"/>
  <c r="AG10" i="7" s="1"/>
  <c r="AE55" i="7"/>
  <c r="AD57" i="7"/>
  <c r="AD79" i="7" s="1"/>
  <c r="F14" i="7" l="1"/>
  <c r="G14" i="7"/>
  <c r="G10" i="7"/>
  <c r="F10" i="7"/>
  <c r="AE255" i="7"/>
  <c r="AE15" i="7" s="1"/>
  <c r="AF55" i="7"/>
  <c r="AE57" i="7"/>
  <c r="AE79" i="7" s="1"/>
  <c r="AF255" i="7" l="1"/>
  <c r="AF15" i="7" s="1"/>
  <c r="AG255" i="7"/>
  <c r="AG15" i="7" s="1"/>
  <c r="AG55" i="7"/>
  <c r="AG57" i="7" s="1"/>
  <c r="AG79" i="7" s="1"/>
  <c r="AF57" i="7"/>
  <c r="AF79" i="7" s="1"/>
  <c r="G15" i="7" l="1"/>
  <c r="F15" i="7"/>
  <c r="D25" i="7"/>
  <c r="D24" i="7"/>
  <c r="D26" i="7"/>
  <c r="D23" i="7"/>
  <c r="C23" i="7"/>
  <c r="C26" i="7"/>
  <c r="C24" i="7"/>
  <c r="C25" i="7"/>
  <c r="B29" i="7"/>
  <c r="A3" i="7"/>
  <c r="A2" i="7"/>
  <c r="A1" i="7"/>
  <c r="A3" i="6"/>
  <c r="A2" i="6"/>
  <c r="A1" i="6"/>
  <c r="A3" i="3"/>
  <c r="C26" i="2"/>
  <c r="A2" i="3"/>
  <c r="A1" i="3"/>
  <c r="P23" i="3"/>
  <c r="G23" i="3"/>
  <c r="C23" i="3"/>
  <c r="P22" i="3"/>
  <c r="G22" i="3"/>
  <c r="C22" i="3"/>
  <c r="P21" i="3"/>
  <c r="G21" i="3"/>
  <c r="C21" i="3"/>
  <c r="P20" i="3"/>
  <c r="G20" i="3"/>
  <c r="C20" i="3"/>
  <c r="P19" i="3"/>
  <c r="G19" i="3"/>
  <c r="C19" i="3"/>
  <c r="P18" i="3"/>
  <c r="G18" i="3"/>
  <c r="C18" i="3"/>
  <c r="P17" i="3"/>
  <c r="C17" i="3"/>
  <c r="P16" i="3"/>
  <c r="G16" i="3"/>
  <c r="C16" i="3"/>
  <c r="P15" i="3"/>
  <c r="G15" i="3"/>
  <c r="C15" i="3"/>
  <c r="N62" i="3"/>
  <c r="M62" i="3"/>
  <c r="K62" i="3"/>
  <c r="P61" i="3"/>
  <c r="C61" i="3"/>
  <c r="P60" i="3"/>
  <c r="C60" i="3"/>
  <c r="C59" i="3"/>
  <c r="P58" i="3"/>
  <c r="C58" i="3"/>
  <c r="P57" i="3"/>
  <c r="C57" i="3"/>
  <c r="P56" i="3"/>
  <c r="C56" i="3"/>
  <c r="J62" i="3"/>
  <c r="C55" i="3"/>
  <c r="P54" i="3"/>
  <c r="C54" i="3"/>
  <c r="P53" i="3"/>
  <c r="C53" i="3"/>
  <c r="N43" i="3"/>
  <c r="N8" i="3" s="1"/>
  <c r="M43" i="3"/>
  <c r="M8" i="3" s="1"/>
  <c r="K43" i="3"/>
  <c r="J43" i="3"/>
  <c r="P42" i="3"/>
  <c r="C42" i="3"/>
  <c r="P41" i="3"/>
  <c r="C41" i="3"/>
  <c r="P40" i="3"/>
  <c r="C40" i="3"/>
  <c r="P39" i="3"/>
  <c r="C39" i="3"/>
  <c r="C38" i="3"/>
  <c r="P37" i="3"/>
  <c r="C37" i="3"/>
  <c r="P36" i="3"/>
  <c r="C36" i="3"/>
  <c r="P35" i="3"/>
  <c r="C35" i="3"/>
  <c r="P34" i="3"/>
  <c r="C34" i="3"/>
  <c r="A1" i="2"/>
  <c r="H29" i="7" l="1"/>
  <c r="L66" i="3"/>
  <c r="L65" i="3"/>
  <c r="L64" i="3"/>
  <c r="P64" i="3" s="1"/>
  <c r="X66" i="1"/>
  <c r="L66" i="1"/>
  <c r="Y65" i="1"/>
  <c r="M65" i="1"/>
  <c r="Z64" i="1"/>
  <c r="N64" i="1"/>
  <c r="AA63" i="1"/>
  <c r="O63" i="1"/>
  <c r="AC56" i="1"/>
  <c r="AC57" i="1" s="1"/>
  <c r="Q56" i="1"/>
  <c r="Q57" i="1" s="1"/>
  <c r="E56" i="1"/>
  <c r="S42" i="1"/>
  <c r="G42" i="1"/>
  <c r="T41" i="1"/>
  <c r="H41" i="1"/>
  <c r="U40" i="1"/>
  <c r="I40" i="1"/>
  <c r="V38" i="1"/>
  <c r="J38" i="1"/>
  <c r="K31" i="1"/>
  <c r="K32" i="1" s="1"/>
  <c r="W31" i="1"/>
  <c r="W32" i="1" s="1"/>
  <c r="Z63" i="1"/>
  <c r="P56" i="1"/>
  <c r="P57" i="1" s="1"/>
  <c r="F42" i="1"/>
  <c r="G41" i="1"/>
  <c r="H40" i="1"/>
  <c r="I38" i="1"/>
  <c r="X31" i="1"/>
  <c r="X32" i="1" s="1"/>
  <c r="R65" i="1"/>
  <c r="H63" i="1"/>
  <c r="X42" i="1"/>
  <c r="Z40" i="1"/>
  <c r="F31" i="1"/>
  <c r="P66" i="1"/>
  <c r="F64" i="1"/>
  <c r="X41" i="1"/>
  <c r="N38" i="1"/>
  <c r="Q64" i="1"/>
  <c r="T56" i="1"/>
  <c r="T57" i="1" s="1"/>
  <c r="W41" i="1"/>
  <c r="Y38" i="1"/>
  <c r="H31" i="1"/>
  <c r="H32" i="1" s="1"/>
  <c r="AA65" i="1"/>
  <c r="Q63" i="1"/>
  <c r="S56" i="1"/>
  <c r="S57" i="1" s="1"/>
  <c r="I42" i="1"/>
  <c r="K40" i="1"/>
  <c r="O64" i="1"/>
  <c r="F56" i="1"/>
  <c r="J40" i="1"/>
  <c r="W66" i="1"/>
  <c r="K66" i="1"/>
  <c r="X65" i="1"/>
  <c r="L65" i="1"/>
  <c r="Y64" i="1"/>
  <c r="M64" i="1"/>
  <c r="N63" i="1"/>
  <c r="AB56" i="1"/>
  <c r="AB57" i="1" s="1"/>
  <c r="R42" i="1"/>
  <c r="S41" i="1"/>
  <c r="T40" i="1"/>
  <c r="U38" i="1"/>
  <c r="L31" i="1"/>
  <c r="L32" i="1" s="1"/>
  <c r="E66" i="1"/>
  <c r="L42" i="1"/>
  <c r="AA38" i="1"/>
  <c r="R31" i="1"/>
  <c r="R32" i="1" s="1"/>
  <c r="E65" i="1"/>
  <c r="G63" i="1"/>
  <c r="W42" i="1"/>
  <c r="Y40" i="1"/>
  <c r="S31" i="1"/>
  <c r="S32" i="1" s="1"/>
  <c r="AB65" i="1"/>
  <c r="E64" i="1"/>
  <c r="R63" i="1"/>
  <c r="J42" i="1"/>
  <c r="L40" i="1"/>
  <c r="N66" i="1"/>
  <c r="AC63" i="1"/>
  <c r="U42" i="1"/>
  <c r="J41" i="1"/>
  <c r="L38" i="1"/>
  <c r="U31" i="1"/>
  <c r="U32" i="1" s="1"/>
  <c r="M66" i="1"/>
  <c r="AB63" i="1"/>
  <c r="H42" i="1"/>
  <c r="W38" i="1"/>
  <c r="J31" i="1"/>
  <c r="J32" i="1" s="1"/>
  <c r="V66" i="1"/>
  <c r="J66" i="1"/>
  <c r="W65" i="1"/>
  <c r="K65" i="1"/>
  <c r="X64" i="1"/>
  <c r="L64" i="1"/>
  <c r="Y63" i="1"/>
  <c r="M63" i="1"/>
  <c r="AA56" i="1"/>
  <c r="AA57" i="1" s="1"/>
  <c r="O56" i="1"/>
  <c r="O57" i="1" s="1"/>
  <c r="AC42" i="1"/>
  <c r="Q42" i="1"/>
  <c r="E42" i="1"/>
  <c r="R41" i="1"/>
  <c r="F41" i="1"/>
  <c r="S40" i="1"/>
  <c r="G40" i="1"/>
  <c r="T38" i="1"/>
  <c r="H38" i="1"/>
  <c r="M31" i="1"/>
  <c r="M32" i="1" s="1"/>
  <c r="Y31" i="1"/>
  <c r="Y32" i="1" s="1"/>
  <c r="N31" i="1"/>
  <c r="N32" i="1" s="1"/>
  <c r="Y42" i="1"/>
  <c r="N41" i="1"/>
  <c r="O40" i="1"/>
  <c r="Q31" i="1"/>
  <c r="Q32" i="1" s="1"/>
  <c r="AC66" i="1"/>
  <c r="S64" i="1"/>
  <c r="Y41" i="1"/>
  <c r="O38" i="1"/>
  <c r="E31" i="1"/>
  <c r="Q65" i="1"/>
  <c r="K42" i="1"/>
  <c r="Z38" i="1"/>
  <c r="O66" i="1"/>
  <c r="AC64" i="1"/>
  <c r="F63" i="1"/>
  <c r="H56" i="1"/>
  <c r="H57" i="1" s="1"/>
  <c r="X40" i="1"/>
  <c r="T31" i="1"/>
  <c r="T32" i="1" s="1"/>
  <c r="O65" i="1"/>
  <c r="P64" i="1"/>
  <c r="V41" i="1"/>
  <c r="X38" i="1"/>
  <c r="N65" i="1"/>
  <c r="R56" i="1"/>
  <c r="R57" i="1" s="1"/>
  <c r="I41" i="1"/>
  <c r="U66" i="1"/>
  <c r="I66" i="1"/>
  <c r="V65" i="1"/>
  <c r="J65" i="1"/>
  <c r="W64" i="1"/>
  <c r="K64" i="1"/>
  <c r="X63" i="1"/>
  <c r="L63" i="1"/>
  <c r="Z56" i="1"/>
  <c r="Z57" i="1" s="1"/>
  <c r="N56" i="1"/>
  <c r="N57" i="1" s="1"/>
  <c r="AB42" i="1"/>
  <c r="P42" i="1"/>
  <c r="AC41" i="1"/>
  <c r="Q41" i="1"/>
  <c r="E41" i="1"/>
  <c r="R40" i="1"/>
  <c r="F40" i="1"/>
  <c r="S38" i="1"/>
  <c r="G38" i="1"/>
  <c r="Z31" i="1"/>
  <c r="Z32" i="1" s="1"/>
  <c r="Z41" i="1"/>
  <c r="P38" i="1"/>
  <c r="G64" i="1"/>
  <c r="J56" i="1"/>
  <c r="J57" i="1" s="1"/>
  <c r="N40" i="1"/>
  <c r="AC65" i="1"/>
  <c r="S63" i="1"/>
  <c r="I56" i="1"/>
  <c r="I57" i="1" s="1"/>
  <c r="M40" i="1"/>
  <c r="AA66" i="1"/>
  <c r="P65" i="1"/>
  <c r="V42" i="1"/>
  <c r="K41" i="1"/>
  <c r="M38" i="1"/>
  <c r="Z66" i="1"/>
  <c r="AB64" i="1"/>
  <c r="E63" i="1"/>
  <c r="G56" i="1"/>
  <c r="W40" i="1"/>
  <c r="Y66" i="1"/>
  <c r="AA64" i="1"/>
  <c r="T42" i="1"/>
  <c r="V40" i="1"/>
  <c r="V31" i="1"/>
  <c r="V32" i="1" s="1"/>
  <c r="T66" i="1"/>
  <c r="H66" i="1"/>
  <c r="U65" i="1"/>
  <c r="I65" i="1"/>
  <c r="V64" i="1"/>
  <c r="J64" i="1"/>
  <c r="W63" i="1"/>
  <c r="K63" i="1"/>
  <c r="Y56" i="1"/>
  <c r="Y57" i="1" s="1"/>
  <c r="M56" i="1"/>
  <c r="M57" i="1" s="1"/>
  <c r="AA42" i="1"/>
  <c r="O42" i="1"/>
  <c r="AB41" i="1"/>
  <c r="P41" i="1"/>
  <c r="AC40" i="1"/>
  <c r="Q40" i="1"/>
  <c r="E40" i="1"/>
  <c r="R38" i="1"/>
  <c r="F38" i="1"/>
  <c r="O31" i="1"/>
  <c r="O32" i="1" s="1"/>
  <c r="AA31" i="1"/>
  <c r="AA32" i="1" s="1"/>
  <c r="G65" i="1"/>
  <c r="M42" i="1"/>
  <c r="AA40" i="1"/>
  <c r="AB38" i="1"/>
  <c r="AC31" i="1"/>
  <c r="AC32" i="1" s="1"/>
  <c r="Q66" i="1"/>
  <c r="F65" i="1"/>
  <c r="T63" i="1"/>
  <c r="V56" i="1"/>
  <c r="V57" i="1" s="1"/>
  <c r="M41" i="1"/>
  <c r="AB66" i="1"/>
  <c r="R64" i="1"/>
  <c r="U56" i="1"/>
  <c r="U57" i="1" s="1"/>
  <c r="L41" i="1"/>
  <c r="G31" i="1"/>
  <c r="I31" i="1"/>
  <c r="I32" i="1" s="1"/>
  <c r="Z65" i="1"/>
  <c r="P63" i="1"/>
  <c r="U41" i="1"/>
  <c r="K38" i="1"/>
  <c r="S66" i="1"/>
  <c r="G66" i="1"/>
  <c r="T65" i="1"/>
  <c r="H65" i="1"/>
  <c r="U64" i="1"/>
  <c r="I64" i="1"/>
  <c r="V63" i="1"/>
  <c r="J63" i="1"/>
  <c r="X56" i="1"/>
  <c r="X57" i="1" s="1"/>
  <c r="L56" i="1"/>
  <c r="L57" i="1" s="1"/>
  <c r="Z42" i="1"/>
  <c r="N42" i="1"/>
  <c r="AA41" i="1"/>
  <c r="O41" i="1"/>
  <c r="AB40" i="1"/>
  <c r="P40" i="1"/>
  <c r="AC38" i="1"/>
  <c r="Q38" i="1"/>
  <c r="E38" i="1"/>
  <c r="P31" i="1"/>
  <c r="P32" i="1" s="1"/>
  <c r="AB31" i="1"/>
  <c r="AB32" i="1" s="1"/>
  <c r="R66" i="1"/>
  <c r="F66" i="1"/>
  <c r="S65" i="1"/>
  <c r="T64" i="1"/>
  <c r="H64" i="1"/>
  <c r="U63" i="1"/>
  <c r="I63" i="1"/>
  <c r="W56" i="1"/>
  <c r="W57" i="1" s="1"/>
  <c r="K56" i="1"/>
  <c r="K57" i="1" s="1"/>
  <c r="P66" i="3"/>
  <c r="P65" i="3"/>
  <c r="L27" i="3"/>
  <c r="K27" i="3"/>
  <c r="N27" i="3"/>
  <c r="M27" i="3"/>
  <c r="J27" i="3"/>
  <c r="N9" i="3"/>
  <c r="P38" i="3"/>
  <c r="P43" i="3" s="1"/>
  <c r="L45" i="3"/>
  <c r="P45" i="3" s="1"/>
  <c r="L47" i="3"/>
  <c r="P47" i="3" s="1"/>
  <c r="P59" i="3"/>
  <c r="M9" i="3"/>
  <c r="J46" i="3"/>
  <c r="M46" i="3"/>
  <c r="K46" i="3"/>
  <c r="N46" i="3"/>
  <c r="L46" i="3"/>
  <c r="P24" i="3"/>
  <c r="J8" i="3"/>
  <c r="E29" i="1"/>
  <c r="N7" i="3"/>
  <c r="I16" i="1"/>
  <c r="I20" i="1" s="1"/>
  <c r="J9" i="3"/>
  <c r="E54" i="1"/>
  <c r="J7" i="3"/>
  <c r="E16" i="1"/>
  <c r="K7" i="3"/>
  <c r="F16" i="1"/>
  <c r="F20" i="1" s="1"/>
  <c r="K8" i="3"/>
  <c r="F29" i="1"/>
  <c r="M7" i="3"/>
  <c r="H16" i="1"/>
  <c r="H20" i="1" s="1"/>
  <c r="K9" i="3"/>
  <c r="F54" i="1"/>
  <c r="I104" i="7"/>
  <c r="L62" i="3"/>
  <c r="L43" i="3"/>
  <c r="P55" i="3"/>
  <c r="F57" i="1" l="1"/>
  <c r="E57" i="1"/>
  <c r="F32" i="1"/>
  <c r="E32" i="1"/>
  <c r="P27" i="3"/>
  <c r="P46" i="3"/>
  <c r="P62" i="3"/>
  <c r="L7" i="3"/>
  <c r="G7" i="3" s="1"/>
  <c r="G16" i="1"/>
  <c r="G20" i="1" s="1"/>
  <c r="L8" i="3"/>
  <c r="G8" i="3" s="1"/>
  <c r="G29" i="1"/>
  <c r="G32" i="1" s="1"/>
  <c r="L9" i="3"/>
  <c r="G54" i="1"/>
  <c r="G57" i="1" s="1"/>
  <c r="G9" i="3"/>
  <c r="H9" i="3"/>
  <c r="E20" i="1"/>
  <c r="E61" i="1"/>
  <c r="E36" i="1"/>
  <c r="J104" i="7"/>
  <c r="I29" i="7"/>
  <c r="C71" i="1" l="1"/>
  <c r="C47" i="1"/>
  <c r="H8" i="3"/>
  <c r="C22" i="1"/>
  <c r="H7" i="3"/>
  <c r="C24" i="1"/>
  <c r="F36" i="1"/>
  <c r="F61" i="1"/>
  <c r="K104" i="7"/>
  <c r="J29" i="7"/>
  <c r="I42" i="7"/>
  <c r="E37" i="1" l="1"/>
  <c r="E62" i="1"/>
  <c r="E7" i="1" a="1"/>
  <c r="E7" i="1" s="1"/>
  <c r="E35" i="1"/>
  <c r="E60" i="1"/>
  <c r="G36" i="1"/>
  <c r="G61" i="1"/>
  <c r="L104" i="7"/>
  <c r="L9" i="7" s="1"/>
  <c r="L8" i="7"/>
  <c r="K29" i="7"/>
  <c r="J42" i="7"/>
  <c r="E43" i="1" l="1"/>
  <c r="E45" i="1" s="1"/>
  <c r="E67" i="1"/>
  <c r="E69" i="1" s="1"/>
  <c r="F62" i="1"/>
  <c r="F37" i="1"/>
  <c r="H36" i="1"/>
  <c r="H61" i="1"/>
  <c r="F60" i="1"/>
  <c r="F35" i="1"/>
  <c r="M104" i="7"/>
  <c r="M9" i="7" s="1"/>
  <c r="M8" i="7"/>
  <c r="L29" i="7"/>
  <c r="K42" i="7"/>
  <c r="F43" i="1" l="1"/>
  <c r="F45" i="1" s="1"/>
  <c r="F67" i="1"/>
  <c r="F69" i="1" s="1"/>
  <c r="G62" i="1"/>
  <c r="G37" i="1"/>
  <c r="I61" i="1"/>
  <c r="I36" i="1"/>
  <c r="G60" i="1"/>
  <c r="G35" i="1"/>
  <c r="N104" i="7"/>
  <c r="N9" i="7" s="1"/>
  <c r="N8" i="7"/>
  <c r="M29" i="7"/>
  <c r="L42" i="7"/>
  <c r="L7" i="7" s="1"/>
  <c r="G43" i="1" l="1"/>
  <c r="G45" i="1" s="1"/>
  <c r="G67" i="1"/>
  <c r="G69" i="1" s="1"/>
  <c r="H37" i="1"/>
  <c r="H62" i="1"/>
  <c r="H35" i="1"/>
  <c r="H60" i="1"/>
  <c r="J36" i="1"/>
  <c r="J61" i="1"/>
  <c r="O104" i="7"/>
  <c r="O9" i="7" s="1"/>
  <c r="O8" i="7"/>
  <c r="N29" i="7"/>
  <c r="M42" i="7"/>
  <c r="M7" i="7" s="1"/>
  <c r="H43" i="1" l="1"/>
  <c r="H45" i="1" s="1"/>
  <c r="H67" i="1"/>
  <c r="H69" i="1" s="1"/>
  <c r="I37" i="1"/>
  <c r="I62" i="1"/>
  <c r="I35" i="1"/>
  <c r="I60" i="1"/>
  <c r="K61" i="1"/>
  <c r="K36" i="1"/>
  <c r="P104" i="7"/>
  <c r="P9" i="7" s="1"/>
  <c r="P8" i="7"/>
  <c r="O29" i="7"/>
  <c r="N42" i="7"/>
  <c r="N7" i="7" s="1"/>
  <c r="I43" i="1" l="1"/>
  <c r="I45" i="1" s="1"/>
  <c r="I67" i="1"/>
  <c r="I69" i="1" s="1"/>
  <c r="J37" i="1"/>
  <c r="J62" i="1"/>
  <c r="J60" i="1"/>
  <c r="J35" i="1"/>
  <c r="L61" i="1"/>
  <c r="L36" i="1"/>
  <c r="Q104" i="7"/>
  <c r="Q9" i="7" s="1"/>
  <c r="Q8" i="7"/>
  <c r="P29" i="7"/>
  <c r="O42" i="7"/>
  <c r="O7" i="7" s="1"/>
  <c r="J43" i="1" l="1"/>
  <c r="J45" i="1" s="1"/>
  <c r="J67" i="1"/>
  <c r="J69" i="1" s="1"/>
  <c r="K37" i="1"/>
  <c r="K62" i="1"/>
  <c r="K60" i="1"/>
  <c r="K35" i="1"/>
  <c r="M61" i="1"/>
  <c r="M36" i="1"/>
  <c r="R104" i="7"/>
  <c r="R9" i="7" s="1"/>
  <c r="R8" i="7"/>
  <c r="Q29" i="7"/>
  <c r="P42" i="7"/>
  <c r="P7" i="7" s="1"/>
  <c r="K43" i="1" l="1"/>
  <c r="K45" i="1" s="1"/>
  <c r="K67" i="1"/>
  <c r="K69" i="1" s="1"/>
  <c r="L62" i="1"/>
  <c r="L37" i="1"/>
  <c r="L60" i="1"/>
  <c r="L35" i="1"/>
  <c r="N36" i="1"/>
  <c r="N61" i="1"/>
  <c r="S104" i="7"/>
  <c r="S9" i="7" s="1"/>
  <c r="S8" i="7"/>
  <c r="R29" i="7"/>
  <c r="Q42" i="7"/>
  <c r="Q7" i="7" s="1"/>
  <c r="L43" i="1" l="1"/>
  <c r="L45" i="1" s="1"/>
  <c r="L67" i="1"/>
  <c r="L69" i="1" s="1"/>
  <c r="M62" i="1"/>
  <c r="M37" i="1"/>
  <c r="M60" i="1"/>
  <c r="M35" i="1"/>
  <c r="O36" i="1"/>
  <c r="O61" i="1"/>
  <c r="T104" i="7"/>
  <c r="T9" i="7" s="1"/>
  <c r="T8" i="7"/>
  <c r="S29" i="7"/>
  <c r="R42" i="7"/>
  <c r="R7" i="7" s="1"/>
  <c r="N62" i="1" l="1"/>
  <c r="N37" i="1"/>
  <c r="M43" i="1"/>
  <c r="M45" i="1" s="1"/>
  <c r="M67" i="1"/>
  <c r="M69" i="1" s="1"/>
  <c r="N60" i="1"/>
  <c r="N35" i="1"/>
  <c r="P36" i="1"/>
  <c r="P61" i="1"/>
  <c r="U104" i="7"/>
  <c r="U9" i="7" s="1"/>
  <c r="U8" i="7"/>
  <c r="T29" i="7"/>
  <c r="S42" i="7"/>
  <c r="S7" i="7" s="1"/>
  <c r="N43" i="1" l="1"/>
  <c r="N45" i="1" s="1"/>
  <c r="N67" i="1"/>
  <c r="N69" i="1" s="1"/>
  <c r="O62" i="1"/>
  <c r="O37" i="1"/>
  <c r="O35" i="1"/>
  <c r="O60" i="1"/>
  <c r="Q61" i="1"/>
  <c r="Q36" i="1"/>
  <c r="V104" i="7"/>
  <c r="V9" i="7" s="1"/>
  <c r="V8" i="7"/>
  <c r="U29" i="7"/>
  <c r="T42" i="7"/>
  <c r="T7" i="7" s="1"/>
  <c r="O67" i="1" l="1"/>
  <c r="O69" i="1" s="1"/>
  <c r="O43" i="1"/>
  <c r="O45" i="1" s="1"/>
  <c r="P37" i="1"/>
  <c r="P62" i="1"/>
  <c r="P35" i="1"/>
  <c r="P60" i="1"/>
  <c r="R61" i="1"/>
  <c r="R36" i="1"/>
  <c r="W104" i="7"/>
  <c r="W9" i="7" s="1"/>
  <c r="W8" i="7"/>
  <c r="V29" i="7"/>
  <c r="U42" i="7"/>
  <c r="U7" i="7" s="1"/>
  <c r="P43" i="1" l="1"/>
  <c r="P45" i="1" s="1"/>
  <c r="P67" i="1"/>
  <c r="P69" i="1" s="1"/>
  <c r="Q62" i="1"/>
  <c r="Q37" i="1"/>
  <c r="Q35" i="1"/>
  <c r="Q60" i="1"/>
  <c r="S61" i="1"/>
  <c r="S36" i="1"/>
  <c r="X104" i="7"/>
  <c r="X9" i="7" s="1"/>
  <c r="X8" i="7"/>
  <c r="W29" i="7"/>
  <c r="V42" i="7"/>
  <c r="V7" i="7" s="1"/>
  <c r="Q43" i="1" l="1"/>
  <c r="Q45" i="1" s="1"/>
  <c r="Q67" i="1"/>
  <c r="Q69" i="1" s="1"/>
  <c r="R37" i="1"/>
  <c r="R62" i="1"/>
  <c r="R60" i="1"/>
  <c r="R35" i="1"/>
  <c r="T61" i="1"/>
  <c r="T36" i="1"/>
  <c r="Y104" i="7"/>
  <c r="Y9" i="7" s="1"/>
  <c r="Y8" i="7"/>
  <c r="X29" i="7"/>
  <c r="W42" i="7"/>
  <c r="W7" i="7" s="1"/>
  <c r="R43" i="1" l="1"/>
  <c r="R45" i="1" s="1"/>
  <c r="R67" i="1"/>
  <c r="R69" i="1" s="1"/>
  <c r="S62" i="1"/>
  <c r="S37" i="1"/>
  <c r="S35" i="1"/>
  <c r="S60" i="1"/>
  <c r="U61" i="1"/>
  <c r="U36" i="1"/>
  <c r="Z104" i="7"/>
  <c r="Z9" i="7" s="1"/>
  <c r="Z8" i="7"/>
  <c r="Y29" i="7"/>
  <c r="X42" i="7"/>
  <c r="X7" i="7" s="1"/>
  <c r="S67" i="1" l="1"/>
  <c r="S69" i="1" s="1"/>
  <c r="S43" i="1"/>
  <c r="S45" i="1" s="1"/>
  <c r="T62" i="1"/>
  <c r="T37" i="1"/>
  <c r="T60" i="1"/>
  <c r="T35" i="1"/>
  <c r="V61" i="1"/>
  <c r="V36" i="1"/>
  <c r="AA104" i="7"/>
  <c r="AA9" i="7" s="1"/>
  <c r="AA8" i="7"/>
  <c r="Z29" i="7"/>
  <c r="Y42" i="7"/>
  <c r="Y7" i="7" s="1"/>
  <c r="T67" i="1" l="1"/>
  <c r="T69" i="1" s="1"/>
  <c r="T43" i="1"/>
  <c r="T45" i="1" s="1"/>
  <c r="U37" i="1"/>
  <c r="U62" i="1"/>
  <c r="U60" i="1"/>
  <c r="U35" i="1"/>
  <c r="W61" i="1"/>
  <c r="W36" i="1"/>
  <c r="AB104" i="7"/>
  <c r="AB9" i="7" s="1"/>
  <c r="AB8" i="7"/>
  <c r="AA29" i="7"/>
  <c r="Z42" i="7"/>
  <c r="Z7" i="7" s="1"/>
  <c r="U67" i="1" l="1"/>
  <c r="U69" i="1" s="1"/>
  <c r="U43" i="1"/>
  <c r="U45" i="1" s="1"/>
  <c r="V37" i="1"/>
  <c r="V62" i="1"/>
  <c r="V35" i="1"/>
  <c r="V60" i="1"/>
  <c r="X61" i="1"/>
  <c r="X36" i="1"/>
  <c r="AC104" i="7"/>
  <c r="AC9" i="7" s="1"/>
  <c r="AC8" i="7"/>
  <c r="AB29" i="7"/>
  <c r="AA42" i="7"/>
  <c r="AA7" i="7" s="1"/>
  <c r="V67" i="1" l="1"/>
  <c r="V69" i="1" s="1"/>
  <c r="V43" i="1"/>
  <c r="V45" i="1" s="1"/>
  <c r="W37" i="1"/>
  <c r="W62" i="1"/>
  <c r="Y61" i="1"/>
  <c r="Y36" i="1"/>
  <c r="W35" i="1"/>
  <c r="W60" i="1"/>
  <c r="AD104" i="7"/>
  <c r="AD9" i="7" s="1"/>
  <c r="AD8" i="7"/>
  <c r="AC29" i="7"/>
  <c r="AB42" i="7"/>
  <c r="AB7" i="7" s="1"/>
  <c r="W67" i="1" l="1"/>
  <c r="W69" i="1" s="1"/>
  <c r="W43" i="1"/>
  <c r="W45" i="1" s="1"/>
  <c r="X37" i="1"/>
  <c r="X62" i="1"/>
  <c r="Z61" i="1"/>
  <c r="Z36" i="1"/>
  <c r="X60" i="1"/>
  <c r="X35" i="1"/>
  <c r="AE104" i="7"/>
  <c r="AE9" i="7" s="1"/>
  <c r="AE8" i="7"/>
  <c r="AD29" i="7"/>
  <c r="AC42" i="7"/>
  <c r="AC7" i="7" s="1"/>
  <c r="X43" i="1" l="1"/>
  <c r="X45" i="1" s="1"/>
  <c r="X67" i="1"/>
  <c r="X69" i="1" s="1"/>
  <c r="Y37" i="1"/>
  <c r="Y62" i="1"/>
  <c r="Y60" i="1"/>
  <c r="Y35" i="1"/>
  <c r="AA36" i="1"/>
  <c r="AA61" i="1"/>
  <c r="AF104" i="7"/>
  <c r="AF9" i="7" s="1"/>
  <c r="AG104" i="7"/>
  <c r="AG9" i="7" s="1"/>
  <c r="AF8" i="7"/>
  <c r="AG8" i="7"/>
  <c r="AE29" i="7"/>
  <c r="AD42" i="7"/>
  <c r="AD7" i="7" s="1"/>
  <c r="Y43" i="1" l="1"/>
  <c r="Y45" i="1" s="1"/>
  <c r="Y67" i="1"/>
  <c r="Y69" i="1" s="1"/>
  <c r="Z37" i="1"/>
  <c r="Z62" i="1"/>
  <c r="F9" i="7"/>
  <c r="G9" i="7"/>
  <c r="Z60" i="1"/>
  <c r="Z35" i="1"/>
  <c r="AC61" i="1"/>
  <c r="AC36" i="1"/>
  <c r="G8" i="7"/>
  <c r="F8" i="7"/>
  <c r="AB36" i="1"/>
  <c r="AB61" i="1"/>
  <c r="AF29" i="7"/>
  <c r="AE42" i="7"/>
  <c r="AE7" i="7" s="1"/>
  <c r="Z43" i="1" l="1"/>
  <c r="Z45" i="1" s="1"/>
  <c r="Z67" i="1"/>
  <c r="Z69" i="1" s="1"/>
  <c r="AA62" i="1"/>
  <c r="AA37" i="1"/>
  <c r="AA35" i="1"/>
  <c r="AA60" i="1"/>
  <c r="AG29" i="7"/>
  <c r="AG42" i="7" s="1"/>
  <c r="AG7" i="7" s="1"/>
  <c r="AF42" i="7"/>
  <c r="AF7" i="7" s="1"/>
  <c r="AA43" i="1" l="1"/>
  <c r="AA45" i="1" s="1"/>
  <c r="AA67" i="1"/>
  <c r="AA69" i="1" s="1"/>
  <c r="AB37" i="1"/>
  <c r="AB62" i="1"/>
  <c r="AC37" i="1"/>
  <c r="AC62" i="1"/>
  <c r="AC35" i="1"/>
  <c r="AC60" i="1"/>
  <c r="F7" i="7"/>
  <c r="G7" i="7"/>
  <c r="AB35" i="1"/>
  <c r="AB60" i="1"/>
  <c r="AB43" i="1" l="1"/>
  <c r="AB45" i="1" s="1"/>
  <c r="AB67" i="1"/>
  <c r="AB69" i="1" s="1"/>
  <c r="AC67" i="1"/>
  <c r="AC43" i="1"/>
  <c r="AC45" i="1" s="1"/>
  <c r="C49" i="1" l="1"/>
  <c r="C72" i="1"/>
  <c r="AC69" i="1"/>
  <c r="C73" i="1" s="1"/>
  <c r="C48" i="1"/>
  <c r="E9" i="1" l="1" a="1"/>
  <c r="E9" i="1" s="1"/>
  <c r="E8" i="1" a="1"/>
  <c r="E8" i="1" s="1"/>
  <c r="C8" i="5" l="1"/>
  <c r="B17" i="5" s="1" a="1"/>
  <c r="D8" i="1"/>
  <c r="D7" i="1"/>
  <c r="D9" i="1"/>
  <c r="C24" i="5" l="1" a="1"/>
  <c r="C24" i="5" s="1"/>
  <c r="C23" i="5" a="1"/>
  <c r="C23" i="5" s="1"/>
  <c r="C18" i="5" a="1"/>
  <c r="C18" i="5" s="1"/>
  <c r="C22" i="5" a="1"/>
  <c r="C22" i="5" s="1"/>
  <c r="C19" i="5" a="1"/>
  <c r="C19" i="5" s="1"/>
  <c r="C21" i="5" a="1"/>
  <c r="C21" i="5" s="1"/>
  <c r="C20" i="5" a="1"/>
  <c r="C20" i="5" s="1"/>
  <c r="C16" i="5" a="1"/>
  <c r="C16" i="5" s="1"/>
  <c r="C41" i="5" s="1"/>
  <c r="C11" i="5" a="1"/>
  <c r="C11" i="5" s="1"/>
  <c r="C40" i="5" s="1"/>
  <c r="B13" i="5" a="1"/>
  <c r="B13" i="5" s="1"/>
  <c r="C13" i="5" s="1" a="1"/>
  <c r="C13" i="5" s="1"/>
  <c r="C12" i="5"/>
  <c r="C30" i="5" a="1"/>
  <c r="C30" i="5" s="1"/>
  <c r="C33" i="5" s="1"/>
  <c r="C26" i="5" a="1"/>
  <c r="C26" i="5" s="1"/>
  <c r="B17" i="5"/>
  <c r="C17" i="5" s="1" a="1"/>
  <c r="C17" i="5" s="1"/>
  <c r="B29" i="5"/>
  <c r="C42" i="5" l="1"/>
  <c r="D33" i="5"/>
  <c r="F33" i="5"/>
  <c r="E33" i="5"/>
  <c r="G33" i="5"/>
  <c r="D2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<sst xmlns="http://schemas.openxmlformats.org/spreadsheetml/2006/main" count="1227" uniqueCount="225">
  <si>
    <t>Key:</t>
  </si>
  <si>
    <t>Input</t>
  </si>
  <si>
    <t>Regulation only input</t>
  </si>
  <si>
    <t>Regulatory assumptions</t>
  </si>
  <si>
    <t>Formula do not edit</t>
  </si>
  <si>
    <t>Assumption Types</t>
  </si>
  <si>
    <t>Assumptions</t>
  </si>
  <si>
    <t>Parameters</t>
  </si>
  <si>
    <t>Area Applied</t>
  </si>
  <si>
    <t>Business:</t>
  </si>
  <si>
    <t>Cost inputs from SME:</t>
  </si>
  <si>
    <t>2023/24</t>
  </si>
  <si>
    <t>Real Discount rate:</t>
  </si>
  <si>
    <t>Labour</t>
  </si>
  <si>
    <t>Materials</t>
  </si>
  <si>
    <t>Contracts</t>
  </si>
  <si>
    <t>Escalation: for Regulation use</t>
  </si>
  <si>
    <t>2022/23</t>
  </si>
  <si>
    <t>2024/25</t>
  </si>
  <si>
    <t>2025/26</t>
  </si>
  <si>
    <t>Multiply by:</t>
  </si>
  <si>
    <t>Option 2</t>
  </si>
  <si>
    <t>2026/27</t>
  </si>
  <si>
    <t>2027/28</t>
  </si>
  <si>
    <t>2028/29</t>
  </si>
  <si>
    <t>2029/30</t>
  </si>
  <si>
    <t>2030/31</t>
  </si>
  <si>
    <t>Total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</si>
  <si>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</si>
  <si>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</si>
  <si>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</si>
  <si>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</si>
  <si>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</si>
  <si>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</si>
  <si>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</si>
  <si>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</si>
  <si>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</si>
  <si>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Total Property Cost</t>
  </si>
  <si>
    <t>Option 3</t>
  </si>
  <si>
    <t>Material</t>
  </si>
  <si>
    <t>Total Property Costs ($ 2025/26)</t>
  </si>
  <si>
    <t>Option 1</t>
  </si>
  <si>
    <t>Options</t>
  </si>
  <si>
    <t>Do nothing</t>
  </si>
  <si>
    <t>-</t>
  </si>
  <si>
    <t>Model name</t>
  </si>
  <si>
    <t>Preferred option:</t>
  </si>
  <si>
    <t>Cost summary</t>
  </si>
  <si>
    <t>Output for business case:</t>
  </si>
  <si>
    <t>Risk summary</t>
  </si>
  <si>
    <t>Option</t>
  </si>
  <si>
    <t>Cost inputs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</si>
  <si>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</si>
  <si>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</si>
  <si>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</si>
  <si>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</si>
  <si>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</si>
  <si>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</si>
  <si>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</si>
  <si>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</si>
  <si>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</si>
  <si>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</si>
  <si>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</si>
  <si>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</si>
  <si>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</si>
  <si>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</si>
  <si>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</si>
  <si>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</si>
  <si>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</si>
  <si>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</si>
  <si>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</si>
  <si>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</si>
  <si>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Risk category</t>
  </si>
  <si>
    <t>Suboptimal layout</t>
  </si>
  <si>
    <t>Inadequate storage</t>
  </si>
  <si>
    <t>Outdated facilities and inadequate office space</t>
  </si>
  <si>
    <t>Structural issues</t>
  </si>
  <si>
    <t>Safety risks</t>
  </si>
  <si>
    <t>Maintenance issues</t>
  </si>
  <si>
    <t>Risk calculations</t>
  </si>
  <si>
    <t>Loss of efficiency during redevelopment</t>
  </si>
  <si>
    <t>Input name</t>
  </si>
  <si>
    <t>Unit</t>
  </si>
  <si>
    <t>Value</t>
  </si>
  <si>
    <t>Conversion required</t>
  </si>
  <si>
    <t>Connections</t>
  </si>
  <si>
    <t>Total customers served from depot in 2024</t>
  </si>
  <si>
    <t>New connections p.a.</t>
  </si>
  <si>
    <t>Forecast connections growth</t>
  </si>
  <si>
    <t>#</t>
  </si>
  <si>
    <t>%</t>
  </si>
  <si>
    <t>% connections delivered 1 day earlier</t>
  </si>
  <si>
    <t>Customer value per early connection</t>
  </si>
  <si>
    <t>Cost to customer of delays in new connections</t>
  </si>
  <si>
    <t>Forecast av. new connection growth</t>
  </si>
  <si>
    <t>% of connections delivered 1 day earlier</t>
  </si>
  <si>
    <t>Customer value per connection</t>
  </si>
  <si>
    <t>Unit used for risk calculations</t>
  </si>
  <si>
    <t>Value used for risk calculations</t>
  </si>
  <si>
    <t>2021/22</t>
  </si>
  <si>
    <t>2020/21</t>
  </si>
  <si>
    <t>2019/20</t>
  </si>
  <si>
    <t>Cost to customer of delays in restoring supply after forced outage (addition USE @ VCR)</t>
  </si>
  <si>
    <t>Average interruption cost per customer</t>
  </si>
  <si>
    <t>Total number of customers in 2024</t>
  </si>
  <si>
    <t>Outages</t>
  </si>
  <si>
    <t>Weighted average interruption cost</t>
  </si>
  <si>
    <t>$ 2024</t>
  </si>
  <si>
    <t>% cost of reduced capacity</t>
  </si>
  <si>
    <t>Additional cost of sourcing material off-site</t>
  </si>
  <si>
    <t>Staff</t>
  </si>
  <si>
    <t>Average cost per FTE</t>
  </si>
  <si>
    <t>Total field personnel (FTE)</t>
  </si>
  <si>
    <t>Field personnel (FTE)</t>
  </si>
  <si>
    <t>Office staff (FTE)</t>
  </si>
  <si>
    <t>Average cost per FTE p.a.</t>
  </si>
  <si>
    <t>Productivity loss</t>
  </si>
  <si>
    <t>Deterioration in productivity p.a.</t>
  </si>
  <si>
    <t>Increased outage time due to inadequate depot capacity</t>
  </si>
  <si>
    <t>Productivity loss as at 2024</t>
  </si>
  <si>
    <t>Annual lease cost</t>
  </si>
  <si>
    <t xml:space="preserve">Off-site storage </t>
  </si>
  <si>
    <t>Lease cost for off-site storage</t>
  </si>
  <si>
    <t>Reduced office productivity</t>
  </si>
  <si>
    <t>Reduced field productivity</t>
  </si>
  <si>
    <t>Productivity lost due to sourcing materials off-site in 2024</t>
  </si>
  <si>
    <t>Total office personnel (FTE)</t>
  </si>
  <si>
    <t>Death or serious injury caused by structural failure</t>
  </si>
  <si>
    <t>Safety</t>
  </si>
  <si>
    <t>Value of statistical life</t>
  </si>
  <si>
    <t>Disproportionality factor</t>
  </si>
  <si>
    <t>Increase in likelihood of minor structural failure</t>
  </si>
  <si>
    <t>Clean-up cost after major structural failure</t>
  </si>
  <si>
    <t>Clean-up cost after minor structural failure</t>
  </si>
  <si>
    <t>Probability of major structural failure p.a.</t>
  </si>
  <si>
    <t>Value of statistical life ($ 000)</t>
  </si>
  <si>
    <t>Annual major failure probability</t>
  </si>
  <si>
    <t>Clean-up cost after major failure ($000)</t>
  </si>
  <si>
    <t>Clean-up cost after minor failure ($000) per annum</t>
  </si>
  <si>
    <t>Escalation of minor failure cost with age per annum</t>
  </si>
  <si>
    <t>Risk of death or serious injury</t>
  </si>
  <si>
    <t>Restoration after major structural failure</t>
  </si>
  <si>
    <t>Restoration after minor structural failure</t>
  </si>
  <si>
    <t>Death or serious injury due to movement of vehicles in confined space</t>
  </si>
  <si>
    <t>Annual probability of incident</t>
  </si>
  <si>
    <t>Repair cost after incident</t>
  </si>
  <si>
    <t>Repair cost after vehicle incident in confined space</t>
  </si>
  <si>
    <t>Depot security</t>
  </si>
  <si>
    <t>Damage to equipment</t>
  </si>
  <si>
    <t>Cost of public enquiries, emergency services</t>
  </si>
  <si>
    <t>Total number of sites at risk</t>
  </si>
  <si>
    <t>Annual probability of incident per site</t>
  </si>
  <si>
    <t>Property</t>
  </si>
  <si>
    <t>Security</t>
  </si>
  <si>
    <t>Probability of unauthorised entry leading to death or serious injury</t>
  </si>
  <si>
    <t>Annual number of incidents of theft</t>
  </si>
  <si>
    <t>Average loss per theft</t>
  </si>
  <si>
    <t>Cost of damage due to serious incident resulting from unauthorised entry</t>
  </si>
  <si>
    <t>Cost of public inquiries and emergency services</t>
  </si>
  <si>
    <t>Cost of public enquiries and emergency services</t>
  </si>
  <si>
    <t>Number of depot sites at risk</t>
  </si>
  <si>
    <t>Copper theft</t>
  </si>
  <si>
    <t>Annual number of theft incidents</t>
  </si>
  <si>
    <t>Average loss per incident</t>
  </si>
  <si>
    <t>Death or serious injury due to external storage of EWP</t>
  </si>
  <si>
    <t>EWP storage</t>
  </si>
  <si>
    <t>Probability of serious incident as a result of external storage of EWPs</t>
  </si>
  <si>
    <t>Repair cost after serious incident</t>
  </si>
  <si>
    <t>Volume of EWPs stored without cover</t>
  </si>
  <si>
    <t>Annual service and maintenance cost savings of undercover EWP storage</t>
  </si>
  <si>
    <t>Average EWP cost</t>
  </si>
  <si>
    <t>Average asset life when stored undercover</t>
  </si>
  <si>
    <t>Average asset life when stored without cover</t>
  </si>
  <si>
    <t>years</t>
  </si>
  <si>
    <t>Additional maintenance costs due to external EWP storage</t>
  </si>
  <si>
    <t>Annual savings of undercover EWP storage</t>
  </si>
  <si>
    <t>Cost of reduced asset life of EWPs stored without cover</t>
  </si>
  <si>
    <t>Productivity reduction</t>
  </si>
  <si>
    <t>Reduced office productivity during disruption</t>
  </si>
  <si>
    <t>Reduced field productivity during disruption</t>
  </si>
  <si>
    <t>Productivity loss during depot redevelopment</t>
  </si>
  <si>
    <t>Increased outage time due to inadequate depot storage</t>
  </si>
  <si>
    <t>Cost to customer of delays in restoring supply after forced outage</t>
  </si>
  <si>
    <t>New connections in 2024</t>
  </si>
  <si>
    <t>NPV</t>
  </si>
  <si>
    <t>Options summary</t>
  </si>
  <si>
    <t>Options Analysis</t>
  </si>
  <si>
    <t>Costs</t>
  </si>
  <si>
    <t>Capex</t>
  </si>
  <si>
    <t>Risks avoided</t>
  </si>
  <si>
    <t>PV costs</t>
  </si>
  <si>
    <t>PV benefits</t>
  </si>
  <si>
    <t>Additional costs</t>
  </si>
  <si>
    <t>Total costs</t>
  </si>
  <si>
    <t>Total benefits</t>
  </si>
  <si>
    <t>Benefits/Risks avoided</t>
  </si>
  <si>
    <t>PV Costs</t>
  </si>
  <si>
    <t>PV Benefits</t>
  </si>
  <si>
    <t>Preferred Option</t>
  </si>
  <si>
    <t>PV of benefits</t>
  </si>
  <si>
    <t>Sensitivity</t>
  </si>
  <si>
    <t>NPV (sensitivity)</t>
  </si>
  <si>
    <t>Shift values:</t>
  </si>
  <si>
    <t>PV of Costs</t>
  </si>
  <si>
    <t>Regulatory proposal 2026-31</t>
  </si>
  <si>
    <t>Model number:</t>
  </si>
  <si>
    <t>$ 2022</t>
  </si>
  <si>
    <t>CPI Lagged conversion to June 24</t>
  </si>
  <si>
    <t>CPI Lagged conversion to June 26</t>
  </si>
  <si>
    <t>CitiPower</t>
  </si>
  <si>
    <t>Burnley depot</t>
  </si>
  <si>
    <t>Partial remediation</t>
  </si>
  <si>
    <t>Full remediation</t>
  </si>
  <si>
    <t>Productivity lost as at 2024 in field due to inadequate storage</t>
  </si>
  <si>
    <t>Outdated facilities</t>
  </si>
  <si>
    <t>Productivity lost as at 2024 in office due to outdated facilities</t>
  </si>
  <si>
    <t>Productivity lost as at 2024 in field due to outdated facilities</t>
  </si>
  <si>
    <t>Death or serious injury due to operation of cranes and vehicles near pedestrians</t>
  </si>
  <si>
    <t>Probability of incident involving operation of cranes and vehicles near pedestrians</t>
  </si>
  <si>
    <t>Probability of incident due to movement of vehicles in confined space</t>
  </si>
  <si>
    <t>Restoration after incident</t>
  </si>
  <si>
    <t>EWP storage risks</t>
  </si>
  <si>
    <t>Reduction in cost to customer of delays in restoring supply after forced outage gained through partial remediation of site</t>
  </si>
  <si>
    <t>Improvement in outage time gained by partial remediation</t>
  </si>
  <si>
    <t>Suboptimal layout - risk offset with partial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</si>
</sst>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0"/>
    <numFmt numFmtId="167" formatCode="&quot;$&quot;\ mmmm\ yyyy"/>
    <numFmt numFmtId="168" formatCode="#,##0.00_ ;[Red]\-#,##0.00\ "/>
    <numFmt numFmtId="169" formatCode="#,##0_ ;[Red]\-#,##0\ "/>
    <numFmt numFmtId="170" formatCode="#,##0.0"/>
    <numFmt numFmtId="171" formatCode="#,##0.00\ ;[Red]\(#,##0.00\);\-"/>
    <numFmt numFmtId="172" formatCode="dd\ mmmm\ 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rgb="FF0066FF"/>
      <name val="Calibri"/>
      <family val="2"/>
    </font>
    <font>
      <i/>
      <sz val="8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5" fillId="0" borderId="0"/>
  </cellStyleXfs>
  <cellXfs count="158">
    <xf numFmtId="0" fontId="0" fillId="0" borderId="0" xfId="0"/>
    <xf numFmtId="0" fontId="3" fillId="2" borderId="0" xfId="2" applyFont="1" applyFill="1" applyAlignment="1">
      <alignment horizontal="right"/>
    </xf>
    <xf numFmtId="10" fontId="4" fillId="3" borderId="1" xfId="3" applyNumberFormat="1" applyFont="1" applyFill="1" applyBorder="1" applyAlignment="1">
      <alignment horizontal="left"/>
    </xf>
    <xf numFmtId="0" fontId="0" fillId="0" borderId="0" xfId="2" applyFont="1"/>
    <xf numFmtId="10" fontId="5" fillId="2" borderId="0" xfId="2" applyNumberFormat="1" applyFont="1" applyFill="1"/>
    <xf numFmtId="0" fontId="5" fillId="2" borderId="0" xfId="2" applyFont="1" applyFill="1"/>
    <xf numFmtId="10" fontId="4" fillId="4" borderId="1" xfId="3" applyNumberFormat="1" applyFont="1" applyFill="1" applyBorder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8" fillId="5" borderId="1" xfId="2" applyFont="1" applyFill="1" applyBorder="1" applyAlignment="1">
      <alignment horizontal="left"/>
    </xf>
    <xf numFmtId="0" fontId="9" fillId="0" borderId="0" xfId="2" applyFont="1"/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0" borderId="0" xfId="2" applyFont="1"/>
    <xf numFmtId="10" fontId="14" fillId="3" borderId="3" xfId="3" applyNumberFormat="1" applyFont="1" applyFill="1" applyBorder="1" applyProtection="1">
      <protection locked="0"/>
    </xf>
    <xf numFmtId="10" fontId="14" fillId="3" borderId="3" xfId="3" applyNumberFormat="1" applyFont="1" applyFill="1" applyBorder="1" applyAlignment="1">
      <alignment horizontal="left"/>
    </xf>
    <xf numFmtId="0" fontId="12" fillId="0" borderId="0" xfId="4" applyFont="1" applyAlignment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/>
    <xf numFmtId="10" fontId="14" fillId="4" borderId="3" xfId="6" applyNumberFormat="1" applyFont="1" applyFill="1" applyBorder="1" applyAlignment="1">
      <alignment horizontal="right"/>
    </xf>
    <xf numFmtId="0" fontId="17" fillId="0" borderId="0" xfId="5" applyFont="1"/>
    <xf numFmtId="0" fontId="17" fillId="0" borderId="0" xfId="5" applyFont="1" applyAlignment="1">
      <alignment horizontal="right"/>
    </xf>
    <xf numFmtId="0" fontId="17" fillId="0" borderId="4" xfId="5" applyFont="1" applyBorder="1" applyAlignment="1">
      <alignment horizontal="right"/>
    </xf>
    <xf numFmtId="0" fontId="18" fillId="0" borderId="5" xfId="5" applyFont="1" applyBorder="1" applyAlignment="1">
      <alignment horizontal="left"/>
    </xf>
    <xf numFmtId="0" fontId="8" fillId="0" borderId="5" xfId="5" applyFont="1" applyBorder="1"/>
    <xf numFmtId="0" fontId="19" fillId="0" borderId="5" xfId="5" applyFont="1" applyBorder="1"/>
    <xf numFmtId="0" fontId="18" fillId="0" borderId="5" xfId="5" applyFont="1" applyBorder="1" applyAlignment="1">
      <alignment horizontal="right"/>
    </xf>
    <xf numFmtId="10" fontId="18" fillId="0" borderId="0" xfId="6" applyNumberFormat="1" applyFont="1"/>
    <xf numFmtId="0" fontId="15" fillId="0" borderId="0" xfId="5"/>
    <xf numFmtId="10" fontId="4" fillId="0" borderId="0" xfId="6" applyNumberFormat="1" applyFont="1"/>
    <xf numFmtId="0" fontId="20" fillId="0" borderId="0" xfId="5" applyFont="1"/>
    <xf numFmtId="164" fontId="13" fillId="0" borderId="3" xfId="5" applyNumberFormat="1" applyFont="1" applyBorder="1"/>
    <xf numFmtId="0" fontId="3" fillId="2" borderId="0" xfId="2" applyFont="1" applyFill="1"/>
    <xf numFmtId="0" fontId="17" fillId="6" borderId="0" xfId="5" applyFont="1" applyFill="1" applyAlignment="1">
      <alignment horizontal="left"/>
    </xf>
    <xf numFmtId="0" fontId="15" fillId="6" borderId="0" xfId="5" applyFill="1"/>
    <xf numFmtId="165" fontId="0" fillId="6" borderId="0" xfId="9" applyNumberFormat="1" applyFont="1" applyFill="1"/>
    <xf numFmtId="10" fontId="17" fillId="0" borderId="4" xfId="5" applyNumberFormat="1" applyFont="1" applyBorder="1" applyProtection="1">
      <protection locked="0"/>
    </xf>
    <xf numFmtId="0" fontId="15" fillId="0" borderId="4" xfId="5" applyBorder="1"/>
    <xf numFmtId="0" fontId="17" fillId="0" borderId="4" xfId="5" applyFont="1" applyBorder="1"/>
    <xf numFmtId="0" fontId="17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21" fillId="0" borderId="0" xfId="5" applyFont="1"/>
    <xf numFmtId="165" fontId="15" fillId="0" borderId="0" xfId="5" applyNumberFormat="1"/>
    <xf numFmtId="9" fontId="15" fillId="3" borderId="0" xfId="5" applyNumberFormat="1" applyFill="1" applyProtection="1">
      <protection locked="0"/>
    </xf>
    <xf numFmtId="9" fontId="15" fillId="0" borderId="0" xfId="5" applyNumberFormat="1"/>
    <xf numFmtId="165" fontId="0" fillId="3" borderId="0" xfId="9" applyNumberFormat="1" applyFont="1" applyFill="1" applyProtection="1">
      <protection locked="0"/>
    </xf>
    <xf numFmtId="165" fontId="15" fillId="0" borderId="0" xfId="5" applyNumberFormat="1" applyAlignment="1">
      <alignment horizontal="right"/>
    </xf>
    <xf numFmtId="0" fontId="15" fillId="7" borderId="0" xfId="5" applyFill="1"/>
    <xf numFmtId="0" fontId="21" fillId="0" borderId="4" xfId="5" applyFont="1" applyBorder="1"/>
    <xf numFmtId="0" fontId="22" fillId="0" borderId="0" xfId="5" applyFont="1"/>
    <xf numFmtId="165" fontId="17" fillId="0" borderId="5" xfId="9" applyNumberFormat="1" applyFont="1" applyBorder="1"/>
    <xf numFmtId="165" fontId="17" fillId="0" borderId="5" xfId="5" applyNumberFormat="1" applyFont="1" applyBorder="1" applyAlignment="1">
      <alignment horizontal="right"/>
    </xf>
    <xf numFmtId="165" fontId="17" fillId="0" borderId="0" xfId="9" applyNumberFormat="1" applyFont="1"/>
    <xf numFmtId="165" fontId="17" fillId="0" borderId="0" xfId="5" applyNumberFormat="1" applyFont="1" applyAlignment="1">
      <alignment horizontal="right"/>
    </xf>
    <xf numFmtId="165" fontId="0" fillId="0" borderId="0" xfId="9" applyNumberFormat="1" applyFont="1"/>
    <xf numFmtId="0" fontId="23" fillId="0" borderId="0" xfId="5" applyFont="1"/>
    <xf numFmtId="0" fontId="17" fillId="0" borderId="5" xfId="5" applyFont="1" applyBorder="1"/>
    <xf numFmtId="0" fontId="15" fillId="0" borderId="5" xfId="5" applyBorder="1"/>
    <xf numFmtId="10" fontId="6" fillId="2" borderId="0" xfId="2" applyNumberFormat="1" applyFont="1" applyFill="1"/>
    <xf numFmtId="167" fontId="14" fillId="3" borderId="3" xfId="6" applyNumberFormat="1" applyFont="1" applyFill="1" applyBorder="1" applyAlignment="1" applyProtection="1">
      <alignment horizontal="right"/>
      <protection locked="0"/>
    </xf>
    <xf numFmtId="0" fontId="24" fillId="0" borderId="0" xfId="4" applyFont="1" applyAlignment="1">
      <alignment horizontal="left" vertical="center"/>
    </xf>
    <xf numFmtId="10" fontId="4" fillId="3" borderId="3" xfId="3" applyNumberFormat="1" applyFont="1" applyFill="1" applyBorder="1" applyAlignment="1">
      <alignment horizontal="left"/>
    </xf>
    <xf numFmtId="0" fontId="8" fillId="5" borderId="3" xfId="2" applyFont="1" applyFill="1" applyBorder="1" applyAlignment="1">
      <alignment horizontal="left"/>
    </xf>
    <xf numFmtId="0" fontId="13" fillId="0" borderId="0" xfId="0" applyFont="1"/>
    <xf numFmtId="0" fontId="25" fillId="0" borderId="0" xfId="0" applyFont="1"/>
    <xf numFmtId="10" fontId="3" fillId="2" borderId="0" xfId="2" applyNumberFormat="1" applyFont="1" applyFill="1"/>
    <xf numFmtId="0" fontId="15" fillId="0" borderId="0" xfId="5" applyFont="1"/>
    <xf numFmtId="10" fontId="26" fillId="2" borderId="0" xfId="2" applyNumberFormat="1" applyFont="1" applyFill="1"/>
    <xf numFmtId="0" fontId="26" fillId="2" borderId="0" xfId="2" applyFont="1" applyFill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0" xfId="0" applyFont="1"/>
    <xf numFmtId="10" fontId="18" fillId="3" borderId="3" xfId="3" applyNumberFormat="1" applyFont="1" applyFill="1" applyBorder="1" applyAlignment="1">
      <alignment horizontal="left"/>
    </xf>
    <xf numFmtId="10" fontId="18" fillId="3" borderId="3" xfId="3" applyNumberFormat="1" applyFont="1" applyFill="1" applyBorder="1" applyAlignment="1">
      <alignment horizontal="center"/>
    </xf>
    <xf numFmtId="3" fontId="18" fillId="3" borderId="3" xfId="3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0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center"/>
    </xf>
    <xf numFmtId="10" fontId="17" fillId="8" borderId="4" xfId="5" applyNumberFormat="1" applyFont="1" applyFill="1" applyBorder="1" applyProtection="1">
      <protection locked="0"/>
    </xf>
    <xf numFmtId="0" fontId="17" fillId="8" borderId="4" xfId="5" applyFont="1" applyFill="1" applyBorder="1" applyAlignment="1">
      <alignment horizontal="center"/>
    </xf>
    <xf numFmtId="0" fontId="13" fillId="8" borderId="0" xfId="0" applyFont="1" applyFill="1"/>
    <xf numFmtId="0" fontId="13" fillId="9" borderId="0" xfId="0" applyFont="1" applyFill="1"/>
    <xf numFmtId="0" fontId="16" fillId="9" borderId="0" xfId="0" applyFont="1" applyFill="1"/>
    <xf numFmtId="3" fontId="13" fillId="0" borderId="0" xfId="0" applyNumberFormat="1" applyFont="1"/>
    <xf numFmtId="10" fontId="13" fillId="0" borderId="0" xfId="0" applyNumberFormat="1" applyFont="1"/>
    <xf numFmtId="6" fontId="13" fillId="0" borderId="0" xfId="0" applyNumberFormat="1" applyFont="1"/>
    <xf numFmtId="0" fontId="13" fillId="0" borderId="4" xfId="0" applyFont="1" applyBorder="1"/>
    <xf numFmtId="8" fontId="13" fillId="0" borderId="0" xfId="0" applyNumberFormat="1" applyFont="1"/>
    <xf numFmtId="168" fontId="13" fillId="0" borderId="0" xfId="0" applyNumberFormat="1" applyFont="1"/>
    <xf numFmtId="0" fontId="17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/>
    </xf>
    <xf numFmtId="0" fontId="8" fillId="0" borderId="0" xfId="5" applyFont="1" applyBorder="1"/>
    <xf numFmtId="0" fontId="19" fillId="0" borderId="0" xfId="5" applyFont="1" applyBorder="1"/>
    <xf numFmtId="0" fontId="18" fillId="0" borderId="0" xfId="5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left"/>
    </xf>
    <xf numFmtId="166" fontId="4" fillId="3" borderId="7" xfId="1" applyNumberFormat="1" applyFont="1" applyFill="1" applyBorder="1" applyAlignment="1">
      <alignment horizontal="left"/>
    </xf>
    <xf numFmtId="1" fontId="13" fillId="0" borderId="0" xfId="0" applyNumberFormat="1" applyFont="1"/>
    <xf numFmtId="1" fontId="18" fillId="3" borderId="3" xfId="3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6" fontId="13" fillId="0" borderId="0" xfId="0" applyNumberFormat="1" applyFont="1" applyAlignment="1">
      <alignment horizontal="right"/>
    </xf>
    <xf numFmtId="169" fontId="13" fillId="0" borderId="0" xfId="0" applyNumberFormat="1" applyFont="1"/>
    <xf numFmtId="0" fontId="27" fillId="9" borderId="4" xfId="0" applyFont="1" applyFill="1" applyBorder="1"/>
    <xf numFmtId="169" fontId="28" fillId="9" borderId="0" xfId="0" applyNumberFormat="1" applyFont="1" applyFill="1"/>
    <xf numFmtId="0" fontId="13" fillId="0" borderId="0" xfId="0" applyFont="1" applyBorder="1"/>
    <xf numFmtId="0" fontId="27" fillId="9" borderId="0" xfId="0" applyFont="1" applyFill="1" applyBorder="1"/>
    <xf numFmtId="0" fontId="16" fillId="0" borderId="0" xfId="0" applyFont="1" applyBorder="1"/>
    <xf numFmtId="0" fontId="13" fillId="0" borderId="5" xfId="0" applyFont="1" applyBorder="1"/>
    <xf numFmtId="169" fontId="28" fillId="9" borderId="5" xfId="0" applyNumberFormat="1" applyFont="1" applyFill="1" applyBorder="1"/>
    <xf numFmtId="169" fontId="13" fillId="0" borderId="5" xfId="0" applyNumberFormat="1" applyFont="1" applyBorder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6" fillId="9" borderId="0" xfId="0" applyFont="1" applyFill="1" applyAlignment="1">
      <alignment horizontal="right"/>
    </xf>
    <xf numFmtId="0" fontId="13" fillId="9" borderId="0" xfId="0" applyFont="1" applyFill="1" applyAlignment="1">
      <alignment horizontal="right"/>
    </xf>
    <xf numFmtId="0" fontId="17" fillId="6" borderId="0" xfId="5" applyFont="1" applyFill="1" applyAlignment="1">
      <alignment horizontal="center"/>
    </xf>
    <xf numFmtId="0" fontId="15" fillId="6" borderId="0" xfId="5" applyFont="1" applyFill="1"/>
    <xf numFmtId="165" fontId="13" fillId="6" borderId="0" xfId="9" applyNumberFormat="1" applyFont="1" applyFill="1"/>
    <xf numFmtId="165" fontId="15" fillId="0" borderId="0" xfId="5" applyNumberFormat="1" applyFont="1"/>
    <xf numFmtId="0" fontId="15" fillId="0" borderId="5" xfId="5" applyFont="1" applyBorder="1"/>
    <xf numFmtId="0" fontId="16" fillId="0" borderId="5" xfId="0" applyFont="1" applyBorder="1"/>
    <xf numFmtId="165" fontId="15" fillId="0" borderId="5" xfId="5" applyNumberFormat="1" applyFont="1" applyBorder="1"/>
    <xf numFmtId="171" fontId="13" fillId="0" borderId="0" xfId="0" applyNumberFormat="1" applyFont="1"/>
    <xf numFmtId="0" fontId="13" fillId="0" borderId="9" xfId="0" applyFont="1" applyBorder="1"/>
    <xf numFmtId="171" fontId="13" fillId="0" borderId="9" xfId="0" applyNumberFormat="1" applyFont="1" applyBorder="1"/>
    <xf numFmtId="0" fontId="16" fillId="0" borderId="10" xfId="0" applyFont="1" applyBorder="1"/>
    <xf numFmtId="168" fontId="13" fillId="0" borderId="10" xfId="0" applyNumberFormat="1" applyFont="1" applyBorder="1"/>
    <xf numFmtId="165" fontId="17" fillId="0" borderId="0" xfId="5" applyNumberFormat="1" applyFont="1"/>
    <xf numFmtId="0" fontId="17" fillId="0" borderId="4" xfId="5" applyFont="1" applyBorder="1" applyAlignment="1">
      <alignment horizontal="center" wrapText="1"/>
    </xf>
    <xf numFmtId="171" fontId="13" fillId="0" borderId="0" xfId="0" applyNumberFormat="1" applyFont="1" applyAlignment="1">
      <alignment horizontal="center"/>
    </xf>
    <xf numFmtId="165" fontId="17" fillId="0" borderId="0" xfId="9" applyNumberFormat="1" applyFont="1" applyBorder="1"/>
    <xf numFmtId="165" fontId="17" fillId="0" borderId="0" xfId="5" applyNumberFormat="1" applyFont="1" applyBorder="1" applyAlignment="1">
      <alignment horizontal="right"/>
    </xf>
    <xf numFmtId="0" fontId="29" fillId="0" borderId="0" xfId="5" applyFont="1"/>
    <xf numFmtId="0" fontId="30" fillId="0" borderId="0" xfId="5" applyFont="1"/>
    <xf numFmtId="165" fontId="30" fillId="0" borderId="0" xfId="9" applyNumberFormat="1" applyFont="1" applyBorder="1"/>
    <xf numFmtId="165" fontId="29" fillId="0" borderId="0" xfId="5" applyNumberFormat="1" applyFont="1" applyBorder="1" applyAlignment="1">
      <alignment horizontal="right"/>
    </xf>
    <xf numFmtId="171" fontId="17" fillId="0" borderId="5" xfId="5" applyNumberFormat="1" applyFont="1" applyBorder="1"/>
    <xf numFmtId="168" fontId="13" fillId="0" borderId="0" xfId="0" applyNumberFormat="1" applyFont="1" applyBorder="1"/>
    <xf numFmtId="171" fontId="13" fillId="0" borderId="4" xfId="0" applyNumberFormat="1" applyFont="1" applyBorder="1"/>
    <xf numFmtId="0" fontId="2" fillId="0" borderId="0" xfId="0" applyFont="1"/>
    <xf numFmtId="0" fontId="1" fillId="10" borderId="0" xfId="10" applyFill="1"/>
    <xf numFmtId="0" fontId="1" fillId="0" borderId="0" xfId="10"/>
    <xf numFmtId="0" fontId="15" fillId="0" borderId="0" xfId="1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4" fillId="0" borderId="0" xfId="10" applyFont="1"/>
    <xf numFmtId="0" fontId="35" fillId="0" borderId="0" xfId="10" applyFont="1"/>
    <xf numFmtId="0" fontId="36" fillId="0" borderId="0" xfId="10" applyFont="1"/>
    <xf numFmtId="172" fontId="37" fillId="0" borderId="0" xfId="10" applyNumberFormat="1" applyFont="1" applyAlignment="1">
      <alignment horizontal="left"/>
    </xf>
    <xf numFmtId="0" fontId="38" fillId="0" borderId="0" xfId="10" applyFont="1"/>
    <xf numFmtId="9" fontId="4" fillId="3" borderId="1" xfId="3" applyNumberFormat="1" applyFont="1" applyFill="1" applyBorder="1" applyAlignment="1">
      <alignment horizontal="right"/>
    </xf>
    <xf numFmtId="0" fontId="39" fillId="0" borderId="0" xfId="0" applyFont="1"/>
    <xf numFmtId="2" fontId="35" fillId="0" borderId="0" xfId="10" applyNumberFormat="1" applyFont="1" applyAlignment="1">
      <alignment horizontal="left"/>
    </xf>
    <xf numFmtId="0" fontId="13" fillId="0" borderId="0" xfId="0" applyFont="1" applyFill="1"/>
    <xf numFmtId="170" fontId="13" fillId="0" borderId="0" xfId="0" applyNumberFormat="1" applyFont="1"/>
    <xf numFmtId="10" fontId="14" fillId="3" borderId="1" xfId="3" applyNumberFormat="1" applyFont="1" applyFill="1" applyBorder="1" applyAlignment="1">
      <alignment horizontal="left"/>
    </xf>
    <xf numFmtId="10" fontId="14" fillId="3" borderId="6" xfId="3" applyNumberFormat="1" applyFont="1" applyFill="1" applyBorder="1" applyAlignment="1">
      <alignment horizontal="left"/>
    </xf>
    <xf numFmtId="10" fontId="14" fillId="3" borderId="2" xfId="3" applyNumberFormat="1" applyFont="1" applyFill="1" applyBorder="1" applyAlignment="1">
      <alignment horizontal="left"/>
    </xf>
  </cellXfs>
  <cellStyles count="12">
    <cellStyle name="Comma 2" xfId="9" xr:uid="{29ACAF46-E5CF-4863-A971-E0C3E971553D}"/>
    <cellStyle name="Currency 2" xfId="8" xr:uid="{F8A6AF19-DD6A-4C09-9156-2C0AA927DE0D}"/>
    <cellStyle name="Normal" xfId="0" builtinId="0"/>
    <cellStyle name="Normal 2" xfId="11" xr:uid="{A92F35C6-8433-418A-9A57-EE40E7EB37D2}"/>
    <cellStyle name="Normal 2 2" xfId="2" xr:uid="{77D75051-9ABA-4732-B399-D4AE86170AA1}"/>
    <cellStyle name="Normal 2 4" xfId="7" xr:uid="{E8FCC4CC-A52E-497F-8B1F-F3EEB1D9D36B}"/>
    <cellStyle name="Normal 3" xfId="5" xr:uid="{680F6498-641F-4505-A3A8-FF4B1D6795CA}"/>
    <cellStyle name="Normal 3 2" xfId="10" xr:uid="{2383E6CA-E8AF-423E-B0C5-E6B08DF5D966}"/>
    <cellStyle name="Normal 5" xfId="4" xr:uid="{5DDB2C1F-567F-4D59-BF0D-46A1AA7A3C42}"/>
    <cellStyle name="Percent" xfId="1" builtinId="5"/>
    <cellStyle name="Percent 2" xfId="3" xr:uid="{6914CC54-D415-4D22-A3FF-427C7001D9DA}"/>
    <cellStyle name="Percent 3" xfId="6" xr:uid="{369AA32A-AB01-4585-8626-DFAF59E1E513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B9908561-1996-4E9A-8353-2EEBD9C0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F5A9-B3AD-4819-83CB-047936C8F449}">
  <sheetPr>
    <tabColor theme="1" tint="0.34998626667073579"/>
  </sheetPr>
  <dimension ref="A1:K43"/>
  <sheetViews>
    <sheetView showGridLines="0" tabSelected="1" workbookViewId="0">
      <selection activeCell="I30" sqref="I30"/>
    </sheetView>
  </sheetViews>
  <sheetFormatPr defaultColWidth="0" defaultRowHeight="13" customHeight="1" zeroHeight="1" x14ac:dyDescent="0.3"/>
  <cols>
    <col min="1" max="1" width="12.81640625" style="141" customWidth="1"/>
    <col min="2" max="2" width="2.54296875" style="141" customWidth="1"/>
    <col min="3" max="3" width="16.81640625" style="141" customWidth="1"/>
    <col min="4" max="11" width="10.6328125" style="141" customWidth="1"/>
    <col min="12" max="16384" width="10.6328125" style="141" hidden="1"/>
  </cols>
  <sheetData>
    <row r="1" spans="1:11" ht="14.5" x14ac:dyDescent="0.3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3" x14ac:dyDescent="0.5">
      <c r="A2" s="139"/>
      <c r="B2" s="140"/>
      <c r="C2" s="142" t="s">
        <v>209</v>
      </c>
      <c r="D2" s="143"/>
      <c r="E2" s="143"/>
      <c r="F2" s="140"/>
      <c r="G2" s="140"/>
      <c r="H2" s="140"/>
      <c r="I2" s="140"/>
      <c r="J2" s="140"/>
      <c r="K2" s="140"/>
    </row>
    <row r="3" spans="1:11" ht="15.5" x14ac:dyDescent="0.35">
      <c r="A3" s="139"/>
      <c r="B3" s="140"/>
      <c r="C3" s="144" t="s">
        <v>204</v>
      </c>
      <c r="D3" s="143"/>
      <c r="E3" s="143"/>
      <c r="F3" s="140"/>
      <c r="G3" s="140"/>
      <c r="H3" s="140"/>
      <c r="I3" s="140"/>
      <c r="J3" s="140"/>
      <c r="K3" s="140"/>
    </row>
    <row r="4" spans="1:11" ht="14.5" x14ac:dyDescent="0.35">
      <c r="A4" s="139"/>
      <c r="B4" s="140"/>
      <c r="C4" s="140"/>
      <c r="D4" s="143"/>
      <c r="E4" s="143"/>
      <c r="F4" s="140"/>
      <c r="G4" s="140"/>
      <c r="H4" s="140"/>
      <c r="I4" s="140"/>
      <c r="J4" s="140"/>
      <c r="K4" s="140"/>
    </row>
    <row r="5" spans="1:11" ht="14.5" x14ac:dyDescent="0.35">
      <c r="A5" s="139"/>
      <c r="B5" s="140"/>
      <c r="C5" s="145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Burnley depot</v>
      </c>
      <c r="D5" s="140"/>
      <c r="E5" s="140"/>
      <c r="F5" s="140"/>
      <c r="G5" s="140"/>
      <c r="H5" s="140"/>
      <c r="I5" s="140"/>
      <c r="J5" s="140"/>
      <c r="K5" s="140"/>
    </row>
    <row r="6" spans="1:11" ht="14.5" x14ac:dyDescent="0.35">
      <c r="A6" s="139"/>
      <c r="B6" s="140"/>
      <c r="C6" s="146" t="s">
        <v>205</v>
      </c>
      <c r="D6" s="152" t="str" cm="1">
        <f t="array" aca="1" ref="D6" ca="1">LEFT(_xlfn.TEXTAFTER(CELL("filename")," MOD "),FIND(" - ",_xlfn.TEXTAFTER(CELL("filename")," MOD "),1)-1)</f>
        <v>7.03</v>
      </c>
      <c r="E6" s="146"/>
      <c r="F6" s="140"/>
      <c r="G6" s="140"/>
      <c r="H6" s="140"/>
      <c r="I6" s="140"/>
      <c r="J6" s="140"/>
      <c r="K6" s="140"/>
    </row>
    <row r="7" spans="1:11" ht="14.5" x14ac:dyDescent="0.35">
      <c r="A7" s="139"/>
      <c r="B7" s="140"/>
      <c r="C7" s="140"/>
      <c r="D7" s="140"/>
      <c r="E7" s="140"/>
      <c r="F7" s="147"/>
      <c r="G7" s="147"/>
      <c r="H7" s="147"/>
      <c r="I7" s="140"/>
      <c r="J7" s="147"/>
      <c r="K7" s="147"/>
    </row>
    <row r="8" spans="1:11" ht="14.5" x14ac:dyDescent="0.35">
      <c r="A8" s="139"/>
      <c r="B8" s="140"/>
      <c r="C8" s="148">
        <v>45688</v>
      </c>
      <c r="D8" s="140"/>
      <c r="E8" s="140"/>
      <c r="F8" s="147"/>
      <c r="G8" s="147"/>
      <c r="H8" s="147"/>
      <c r="I8" s="140"/>
      <c r="J8" s="147"/>
      <c r="K8" s="147"/>
    </row>
    <row r="9" spans="1:11" ht="14.5" x14ac:dyDescent="0.35">
      <c r="A9" s="139"/>
      <c r="B9" s="140"/>
      <c r="C9" s="149"/>
      <c r="D9" s="149"/>
      <c r="E9" s="140"/>
      <c r="F9" s="147"/>
      <c r="G9" s="147"/>
      <c r="H9" s="147"/>
      <c r="I9" s="147"/>
      <c r="J9" s="147"/>
      <c r="K9" s="147"/>
    </row>
    <row r="10" spans="1:11" ht="14.5" x14ac:dyDescent="0.35">
      <c r="A10" s="139"/>
      <c r="B10" s="140"/>
      <c r="C10" s="149"/>
      <c r="D10" s="149"/>
      <c r="E10" s="140"/>
      <c r="F10" s="147"/>
      <c r="G10" s="147"/>
      <c r="H10" s="147"/>
      <c r="I10" s="147"/>
      <c r="J10" s="147"/>
      <c r="K10" s="147"/>
    </row>
    <row r="11" spans="1:11" ht="14.5" x14ac:dyDescent="0.35">
      <c r="A11" s="139"/>
      <c r="B11" s="140"/>
      <c r="C11" s="149"/>
      <c r="D11" s="149"/>
      <c r="E11" s="140"/>
      <c r="F11" s="147"/>
      <c r="G11" s="147"/>
      <c r="H11" s="147"/>
      <c r="I11" s="147"/>
      <c r="J11" s="147"/>
      <c r="K11" s="147"/>
    </row>
    <row r="12" spans="1:11" ht="14.5" x14ac:dyDescent="0.35">
      <c r="A12" s="139"/>
      <c r="B12" s="140"/>
      <c r="C12" s="149"/>
      <c r="D12" s="149"/>
      <c r="E12" s="140"/>
      <c r="F12" s="147"/>
      <c r="G12" s="147"/>
      <c r="H12" s="147"/>
      <c r="I12" s="147"/>
      <c r="J12" s="147"/>
      <c r="K12" s="147"/>
    </row>
    <row r="13" spans="1:11" ht="14.5" x14ac:dyDescent="0.35">
      <c r="A13" s="139"/>
      <c r="B13" s="140"/>
      <c r="C13" s="149"/>
      <c r="D13" s="149"/>
      <c r="E13" s="140"/>
      <c r="F13" s="147"/>
      <c r="G13" s="147"/>
      <c r="H13" s="147"/>
      <c r="I13" s="147"/>
      <c r="J13" s="147"/>
      <c r="K13" s="147"/>
    </row>
    <row r="14" spans="1:11" ht="14.5" x14ac:dyDescent="0.35">
      <c r="A14" s="139"/>
      <c r="B14" s="140"/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ht="14.5" x14ac:dyDescent="0.35">
      <c r="A15" s="139"/>
      <c r="B15" s="140"/>
      <c r="C15" s="145"/>
      <c r="D15" s="147"/>
      <c r="E15" s="147"/>
      <c r="F15" s="147"/>
      <c r="G15" s="147"/>
      <c r="H15" s="147"/>
      <c r="I15" s="147"/>
      <c r="J15" s="147"/>
      <c r="K15" s="147"/>
    </row>
    <row r="16" spans="1:11" ht="14.5" x14ac:dyDescent="0.35">
      <c r="A16" s="139"/>
      <c r="B16" s="140"/>
      <c r="C16" s="145"/>
      <c r="D16" s="147"/>
      <c r="E16" s="147"/>
      <c r="F16" s="147"/>
      <c r="G16" s="147"/>
      <c r="H16" s="147"/>
      <c r="I16" s="147"/>
      <c r="J16" s="147"/>
      <c r="K16" s="147"/>
    </row>
    <row r="17" spans="1:11" ht="14.5" x14ac:dyDescent="0.35">
      <c r="A17" s="139"/>
      <c r="B17" s="140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1" ht="14.5" x14ac:dyDescent="0.35">
      <c r="A18" s="139"/>
      <c r="B18" s="140"/>
      <c r="C18" s="147"/>
      <c r="D18" s="147"/>
      <c r="E18" s="147"/>
      <c r="F18" s="147"/>
      <c r="G18" s="147"/>
      <c r="H18" s="147"/>
      <c r="I18" s="147"/>
      <c r="J18" s="147"/>
      <c r="K18" s="147"/>
    </row>
    <row r="19" spans="1:11" ht="14.5" x14ac:dyDescent="0.35">
      <c r="A19" s="139"/>
      <c r="B19" s="140"/>
      <c r="C19" s="147"/>
      <c r="D19" s="147"/>
      <c r="E19" s="147"/>
      <c r="F19" s="147"/>
      <c r="H19" s="147"/>
      <c r="I19" s="147"/>
      <c r="J19" s="147"/>
      <c r="K19" s="147"/>
    </row>
    <row r="20" spans="1:11" ht="14.5" x14ac:dyDescent="0.35">
      <c r="A20" s="139"/>
      <c r="B20" s="140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1:11" ht="14.5" x14ac:dyDescent="0.35">
      <c r="A21" s="139"/>
      <c r="B21" s="140"/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ht="14.5" x14ac:dyDescent="0.35">
      <c r="A22" s="139"/>
      <c r="B22" s="140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1" ht="14.5" x14ac:dyDescent="0.35">
      <c r="A23" s="139"/>
      <c r="B23" s="140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ht="14.5" x14ac:dyDescent="0.35">
      <c r="A24" s="139"/>
      <c r="B24" s="140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1" ht="14.5" x14ac:dyDescent="0.35">
      <c r="A25" s="139"/>
      <c r="B25" s="140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1" ht="14.5" x14ac:dyDescent="0.35">
      <c r="A26" s="139"/>
      <c r="B26" s="140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ht="14.5" x14ac:dyDescent="0.35">
      <c r="A27" s="139"/>
      <c r="B27" s="140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11" ht="14.5" x14ac:dyDescent="0.35">
      <c r="A28" s="139"/>
      <c r="B28" s="140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11" ht="14.5" x14ac:dyDescent="0.35">
      <c r="A29" s="139"/>
      <c r="B29" s="140"/>
      <c r="C29" s="147"/>
      <c r="D29" s="147"/>
      <c r="E29" s="147"/>
      <c r="F29" s="147"/>
      <c r="G29" s="147"/>
      <c r="H29" s="147"/>
      <c r="I29" s="147"/>
      <c r="J29" s="147"/>
      <c r="K29" s="147"/>
    </row>
    <row r="30" spans="1:11" ht="14.5" x14ac:dyDescent="0.35">
      <c r="A30" s="139"/>
      <c r="B30" s="140"/>
      <c r="C30" s="147"/>
      <c r="D30" s="140"/>
      <c r="E30" s="147"/>
      <c r="F30" s="147"/>
      <c r="G30" s="147"/>
      <c r="H30" s="147"/>
      <c r="I30" s="147"/>
      <c r="J30" s="147"/>
      <c r="K30" s="147"/>
    </row>
    <row r="31" spans="1:11" ht="14.5" x14ac:dyDescent="0.3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ht="14.5" x14ac:dyDescent="0.3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ht="14.5" x14ac:dyDescent="0.3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</row>
    <row r="34" spans="1:11" ht="14.5" x14ac:dyDescent="0.35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ht="14.5" x14ac:dyDescent="0.3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14.5" x14ac:dyDescent="0.3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1" ht="14.5" x14ac:dyDescent="0.3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</row>
    <row r="38" spans="1:11" ht="14.5" x14ac:dyDescent="0.3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ht="14.5" x14ac:dyDescent="0.3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</row>
    <row r="40" spans="1:11" ht="14.5" x14ac:dyDescent="0.35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14.5" x14ac:dyDescent="0.3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ht="14.5" x14ac:dyDescent="0.3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 ht="14.5" x14ac:dyDescent="0.3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F5C3-6A06-4993-8B73-7312427BC8EE}">
  <sheetPr codeName="Sheet5"/>
  <dimension ref="A1:J43"/>
  <sheetViews>
    <sheetView showGridLines="0" workbookViewId="0">
      <selection activeCell="E11" sqref="E11"/>
    </sheetView>
  </sheetViews>
  <sheetFormatPr defaultRowHeight="14.5" x14ac:dyDescent="0.35"/>
  <cols>
    <col min="2" max="2" width="43.54296875" bestFit="1" customWidth="1"/>
    <col min="3" max="3" width="11.1796875" bestFit="1" customWidth="1"/>
    <col min="4" max="5" width="12.08984375" bestFit="1" customWidth="1"/>
    <col min="6" max="7" width="8.81640625" bestFit="1" customWidth="1"/>
  </cols>
  <sheetData>
    <row r="1" spans="1:10" s="28" customFormat="1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5"/>
      <c r="I1" s="5"/>
      <c r="J1"/>
    </row>
    <row r="2" spans="1:10" s="28" customFormat="1" ht="15.5" x14ac:dyDescent="0.35">
      <c r="A2" s="58" t="str">
        <f>model_name</f>
        <v>Burnley depot</v>
      </c>
      <c r="B2" s="8"/>
      <c r="C2" s="8"/>
      <c r="D2" s="8"/>
      <c r="E2" s="8"/>
      <c r="F2" s="8"/>
      <c r="G2" s="8"/>
      <c r="H2" s="5"/>
      <c r="I2" s="5"/>
      <c r="J2"/>
    </row>
    <row r="3" spans="1:10" s="28" customFormat="1" ht="13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6" spans="1:10" x14ac:dyDescent="0.35">
      <c r="A6" s="33" t="s">
        <v>47</v>
      </c>
      <c r="B6" s="33"/>
      <c r="C6" s="33"/>
      <c r="D6" s="33"/>
      <c r="E6" s="33"/>
      <c r="F6" s="33"/>
      <c r="G6" s="33"/>
      <c r="H6" s="33"/>
      <c r="I6" s="33"/>
    </row>
    <row r="7" spans="1:10" x14ac:dyDescent="0.35">
      <c r="B7" s="28"/>
      <c r="C7" s="28"/>
    </row>
    <row r="8" spans="1:10" x14ac:dyDescent="0.35">
      <c r="B8" s="28" t="s">
        <v>46</v>
      </c>
      <c r="C8" s="28" t="str">
        <f>INDEX('Options Analysis'!$B$7:$B$9,MATCH(MAX('Options Analysis'!$G$7:$G$9),'Options Analysis'!$G$7:$G$9,0))</f>
        <v>Option 2</v>
      </c>
    </row>
    <row r="9" spans="1:10" x14ac:dyDescent="0.35">
      <c r="B9" s="28"/>
      <c r="C9" s="28"/>
    </row>
    <row r="10" spans="1:10" x14ac:dyDescent="0.35">
      <c r="B10" s="28"/>
      <c r="C10" s="20"/>
    </row>
    <row r="11" spans="1:10" x14ac:dyDescent="0.35">
      <c r="B11" s="69" t="s">
        <v>203</v>
      </c>
      <c r="C11" s="137" cm="1">
        <f t="array" ref="C11">INDEX('Options Analysis'!$E$7:$E$9,MATCH(pref_option,'Options Analysis'!$B$7:$B$9,0),)</f>
        <v>-55.538536818259843</v>
      </c>
    </row>
    <row r="12" spans="1:10" x14ac:dyDescent="0.35">
      <c r="B12" s="64" t="s">
        <v>188</v>
      </c>
      <c r="C12" s="121">
        <f>-INDEX(Costs!$G$7:$G$9,MATCH(pref_option,Costs!$B$7:$B$9,0))*10^-6*esc_24_26</f>
        <v>-50.194835429881358</v>
      </c>
    </row>
    <row r="13" spans="1:10" x14ac:dyDescent="0.35">
      <c r="B13" s="64" t="str" cm="1">
        <f t="array" ref="B13">INDEX(('Options Analysis'!B17,'Options Analysis'!C31,'Options Analysis'!C56),,,MATCH(pref_option,'Reg Assumptions '!$B$14:$B$16,0))</f>
        <v>Loss of efficiency during redevelopment</v>
      </c>
      <c r="C13" s="121" cm="1">
        <f t="array" ref="C13">-SUMPRODUCT((B13=Risks!B15:B15)*Risks!F15:F15)*10^-6*esc_24_26</f>
        <v>-5.3437013883784799</v>
      </c>
    </row>
    <row r="15" spans="1:10" x14ac:dyDescent="0.35">
      <c r="B15" s="106"/>
      <c r="C15" s="136"/>
    </row>
    <row r="16" spans="1:10" x14ac:dyDescent="0.35">
      <c r="B16" s="69" t="s">
        <v>199</v>
      </c>
      <c r="C16" s="137" cm="1">
        <f t="array" ref="C16">INDEX('Options Analysis'!$F$7:$F$9,MATCH(pref_option,'Options Analysis'!$B$7:$B$9,0),)</f>
        <v>75.52483018152995</v>
      </c>
    </row>
    <row r="17" spans="2:7" x14ac:dyDescent="0.35">
      <c r="B17" s="64" t="str" cm="1">
        <f t="array" ref="B17:B24">INDEX(('Options Analysis'!B19,'Options Analysis'!C35:C42,'Options Analysis'!C60:C66),,,MATCH(pref_option,'Reg Assumptions '!$B$14:$B$16,0))</f>
        <v>Inadequate storage</v>
      </c>
      <c r="C17" s="121" cm="1">
        <f t="array" ref="C17">SUMPRODUCT((B17=Risks!$B$7:$B$15)*Risks!$F$7:$F$15)*10^-6*esc_24_26</f>
        <v>26.335857092916211</v>
      </c>
    </row>
    <row r="18" spans="2:7" x14ac:dyDescent="0.35">
      <c r="B18" s="64" t="str">
        <v>Outdated facilities and inadequate office space</v>
      </c>
      <c r="C18" s="121" cm="1">
        <f t="array" ref="C18">SUMPRODUCT((B18=Risks!$B$7:$B$15)*Risks!$F$7:$F$15)*10^-6*esc_24_26</f>
        <v>23.151241978883426</v>
      </c>
    </row>
    <row r="19" spans="2:7" x14ac:dyDescent="0.35">
      <c r="B19" s="64" t="str">
        <v>Suboptimal layout</v>
      </c>
      <c r="C19" s="121" cm="1">
        <f t="array" ref="C19">SUMPRODUCT((B19=Risks!$B$7:$B$15)*Risks!$F$7:$F$15)*10^-6*esc_24_26</f>
        <v>8.9302333871721515</v>
      </c>
    </row>
    <row r="20" spans="2:7" x14ac:dyDescent="0.35">
      <c r="B20" s="64" t="str">
        <v>Depot security</v>
      </c>
      <c r="C20" s="121" cm="1">
        <f t="array" ref="C20">SUMPRODUCT((B20=Risks!$B$7:$B$15)*Risks!$F$7:$F$15)*10^-6*esc_24_26</f>
        <v>6.4223486477172145</v>
      </c>
    </row>
    <row r="21" spans="2:7" x14ac:dyDescent="0.35">
      <c r="B21" s="64" t="str">
        <v>Maintenance issues</v>
      </c>
      <c r="C21" s="121" cm="1">
        <f t="array" ref="C21">SUMPRODUCT((B21=Risks!$B$7:$B$15)*Risks!$F$7:$F$15)*10^-6*esc_24_26</f>
        <v>5.0516434428033063</v>
      </c>
    </row>
    <row r="22" spans="2:7" x14ac:dyDescent="0.35">
      <c r="B22" s="64" t="str">
        <v>Structural issues</v>
      </c>
      <c r="C22" s="121" cm="1">
        <f t="array" ref="C22">SUMPRODUCT((B22=Risks!$B$7:$B$15)*Risks!$F$7:$F$15)*10^-6*esc_24_26</f>
        <v>4.3498473891088354</v>
      </c>
    </row>
    <row r="23" spans="2:7" x14ac:dyDescent="0.35">
      <c r="B23" s="64" t="str">
        <v>Safety risks</v>
      </c>
      <c r="C23" s="121" cm="1">
        <f t="array" ref="C23">SUMPRODUCT((B23=Risks!$B$7:$B$15)*Risks!$F$7:$F$15)*10^-6*esc_24_26</f>
        <v>3.8581555217002714</v>
      </c>
    </row>
    <row r="24" spans="2:7" x14ac:dyDescent="0.35">
      <c r="B24" s="63" t="str">
        <v>Suboptimal layout - risk offset with partial remediation</v>
      </c>
      <c r="C24" s="121" cm="1">
        <f t="array" ref="C24">SUMPRODUCT((B24=Risks!$B$7:$B$15)*Risks!$F$7:$F$15)*10^-6*esc_24_26</f>
        <v>-2.5744972787714637</v>
      </c>
    </row>
    <row r="25" spans="2:7" x14ac:dyDescent="0.35">
      <c r="B25" s="63"/>
      <c r="C25" s="88"/>
    </row>
    <row r="26" spans="2:7" ht="15" thickBot="1" x14ac:dyDescent="0.4">
      <c r="B26" s="124" t="s">
        <v>184</v>
      </c>
      <c r="C26" s="125" cm="1">
        <f t="array" ref="C26">INDEX('Options Analysis'!$G$7:$G$9,MATCH(pref_option,'Options Analysis'!$B$7:$B$9,0),)</f>
        <v>19.986293363270118</v>
      </c>
      <c r="D26" s="138" t="str">
        <f>IF(AND(C26-SUM(C16,C11)&lt;0.0000001,C11-SUM(C12:C13)&lt;0.0000001,C16-SUM(C17:C23)&lt;0.0000001),"","CHECK")</f>
        <v/>
      </c>
    </row>
    <row r="27" spans="2:7" ht="15" thickTop="1" x14ac:dyDescent="0.35"/>
    <row r="29" spans="2:7" x14ac:dyDescent="0.35">
      <c r="B29" s="39" t="str">
        <f>pref_option&amp;" capex"</f>
        <v>Option 2 capex</v>
      </c>
      <c r="C29" s="40" t="s">
        <v>22</v>
      </c>
      <c r="D29" s="40" t="s">
        <v>23</v>
      </c>
      <c r="E29" s="40" t="s">
        <v>24</v>
      </c>
      <c r="F29" s="40" t="s">
        <v>25</v>
      </c>
      <c r="G29" s="40" t="s">
        <v>26</v>
      </c>
    </row>
    <row r="30" spans="2:7" x14ac:dyDescent="0.35">
      <c r="B30" s="28" t="s">
        <v>13</v>
      </c>
      <c r="C30" s="121" cm="1">
        <f t="array" ref="C30:G32">INDEX((Costs!J26:N28,Costs!J45:N47,Costs!J64:N66),,,MATCH(pref_option,'Reg Assumptions '!$B$14:$B$16,0))*10^-6*esc_24_26</f>
        <v>0</v>
      </c>
      <c r="D30" s="121">
        <v>0</v>
      </c>
      <c r="E30" s="121">
        <v>0</v>
      </c>
      <c r="F30" s="121">
        <v>0</v>
      </c>
      <c r="G30" s="121">
        <v>0</v>
      </c>
    </row>
    <row r="31" spans="2:7" x14ac:dyDescent="0.35">
      <c r="B31" s="28" t="s">
        <v>39</v>
      </c>
      <c r="C31" s="121">
        <v>0</v>
      </c>
      <c r="D31" s="121">
        <v>15.39492063788078</v>
      </c>
      <c r="E31" s="121">
        <v>23.167954765837237</v>
      </c>
      <c r="F31" s="121">
        <v>0</v>
      </c>
      <c r="G31" s="121">
        <v>0</v>
      </c>
    </row>
    <row r="32" spans="2:7" x14ac:dyDescent="0.35">
      <c r="B32" s="28" t="s">
        <v>15</v>
      </c>
      <c r="C32" s="121">
        <v>0</v>
      </c>
      <c r="D32" s="121">
        <v>1.2375588628152552</v>
      </c>
      <c r="E32" s="121">
        <v>15.269340224735132</v>
      </c>
      <c r="F32" s="121">
        <v>0</v>
      </c>
      <c r="G32" s="121">
        <v>0</v>
      </c>
    </row>
    <row r="33" spans="1:9" x14ac:dyDescent="0.35">
      <c r="B33" s="56" t="s">
        <v>40</v>
      </c>
      <c r="C33" s="135">
        <f>SUM(C30:C32)</f>
        <v>0</v>
      </c>
      <c r="D33" s="135">
        <f t="shared" ref="D33:G33" si="0">SUM(D30:D32)</f>
        <v>16.632479500696036</v>
      </c>
      <c r="E33" s="135">
        <f t="shared" si="0"/>
        <v>38.437294990572369</v>
      </c>
      <c r="F33" s="135">
        <f t="shared" si="0"/>
        <v>0</v>
      </c>
      <c r="G33" s="135">
        <f t="shared" si="0"/>
        <v>0</v>
      </c>
    </row>
    <row r="36" spans="1:9" x14ac:dyDescent="0.35">
      <c r="A36" s="33" t="s">
        <v>200</v>
      </c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B37" s="28"/>
      <c r="C37" s="28"/>
    </row>
    <row r="38" spans="1:9" x14ac:dyDescent="0.35">
      <c r="B38" s="28" t="s">
        <v>202</v>
      </c>
      <c r="C38" s="150">
        <v>0.1</v>
      </c>
    </row>
    <row r="39" spans="1:9" x14ac:dyDescent="0.35">
      <c r="B39" s="28"/>
      <c r="C39" s="28"/>
    </row>
    <row r="40" spans="1:9" x14ac:dyDescent="0.35">
      <c r="B40" s="71" t="str">
        <f>"PV of costs +"&amp;TEXT(C38,"#0%")</f>
        <v>PV of costs +10%</v>
      </c>
      <c r="C40" s="88">
        <f>C11*(1+C38)</f>
        <v>-61.092390500085834</v>
      </c>
    </row>
    <row r="41" spans="1:9" x14ac:dyDescent="0.35">
      <c r="B41" s="71" t="str">
        <f>"PV of benefits -"&amp;TEXT(C38,"#0%")</f>
        <v>PV of benefits -10%</v>
      </c>
      <c r="C41" s="88">
        <f>C16*(1-C38)</f>
        <v>67.972347163376952</v>
      </c>
    </row>
    <row r="42" spans="1:9" ht="15" thickBot="1" x14ac:dyDescent="0.4">
      <c r="B42" s="124" t="s">
        <v>201</v>
      </c>
      <c r="C42" s="125">
        <f>SUM(C40:C41)</f>
        <v>6.879956663291118</v>
      </c>
    </row>
    <row r="43" spans="1:9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DB8-3969-49CB-A921-55646D198638}">
  <sheetPr codeName="Sheet1"/>
  <dimension ref="A1:AD74"/>
  <sheetViews>
    <sheetView showGridLines="0" workbookViewId="0">
      <selection activeCell="C56" sqref="C56"/>
    </sheetView>
  </sheetViews>
  <sheetFormatPr defaultRowHeight="13" x14ac:dyDescent="0.3"/>
  <cols>
    <col min="1" max="2" width="8.7265625" style="63"/>
    <col min="3" max="3" width="31.453125" style="63" bestFit="1" customWidth="1"/>
    <col min="4" max="4" width="8.7265625" style="63" customWidth="1"/>
    <col min="5" max="5" width="15.81640625" style="63" bestFit="1" customWidth="1"/>
    <col min="6" max="16384" width="8.7265625" style="63"/>
  </cols>
  <sheetData>
    <row r="1" spans="1:30" s="66" customFormat="1" x14ac:dyDescent="0.3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 t="s">
        <v>1</v>
      </c>
    </row>
    <row r="2" spans="1:30" s="66" customFormat="1" x14ac:dyDescent="0.3">
      <c r="A2" s="67" t="str">
        <f>model_name</f>
        <v>Burnley depot</v>
      </c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9" t="s">
        <v>4</v>
      </c>
    </row>
    <row r="3" spans="1:30" s="66" customFormat="1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4" spans="1:30" s="66" customFormat="1" x14ac:dyDescent="0.3">
      <c r="A4" s="63"/>
    </row>
    <row r="5" spans="1:30" s="66" customFormat="1" x14ac:dyDescent="0.3">
      <c r="A5" s="33" t="s">
        <v>185</v>
      </c>
      <c r="B5" s="33"/>
      <c r="C5" s="33"/>
      <c r="D5" s="11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</row>
    <row r="6" spans="1:30" s="66" customFormat="1" ht="26" x14ac:dyDescent="0.3">
      <c r="B6" s="36" t="s">
        <v>50</v>
      </c>
      <c r="C6" s="36"/>
      <c r="D6" s="127" t="s">
        <v>198</v>
      </c>
      <c r="E6" s="40" t="s">
        <v>196</v>
      </c>
      <c r="F6" s="40" t="s">
        <v>197</v>
      </c>
      <c r="G6" s="40" t="s">
        <v>184</v>
      </c>
    </row>
    <row r="7" spans="1:30" s="66" customFormat="1" x14ac:dyDescent="0.3">
      <c r="B7" s="66" t="s">
        <v>41</v>
      </c>
      <c r="D7" s="128" t="str">
        <f>IF(G7=MAX($G$7:$G$9),"*","")</f>
        <v/>
      </c>
      <c r="E7" s="121" cm="1">
        <f t="array" ref="E7:G7">TRANSPOSE(C22:C24)</f>
        <v>0</v>
      </c>
      <c r="F7" s="121">
        <v>0</v>
      </c>
      <c r="G7" s="121">
        <v>0</v>
      </c>
    </row>
    <row r="8" spans="1:30" s="66" customFormat="1" x14ac:dyDescent="0.3">
      <c r="B8" s="66" t="s">
        <v>21</v>
      </c>
      <c r="D8" s="128" t="str">
        <f>IF(G8=MAX($G$7:$G$9),"*","")</f>
        <v>*</v>
      </c>
      <c r="E8" s="121" cm="1">
        <f t="array" ref="E8:G8">TRANSPOSE(C47:C49)</f>
        <v>-55.538536818259843</v>
      </c>
      <c r="F8" s="121">
        <v>75.52483018152995</v>
      </c>
      <c r="G8" s="121">
        <v>19.986293363270118</v>
      </c>
    </row>
    <row r="9" spans="1:30" s="66" customFormat="1" x14ac:dyDescent="0.3">
      <c r="B9" s="66" t="s">
        <v>38</v>
      </c>
      <c r="D9" s="128" t="str">
        <f>IF(G9=MAX($G$7:$G$9),"*","")</f>
        <v/>
      </c>
      <c r="E9" s="121" cm="1">
        <f t="array" ref="E9:G9">TRANSPOSE(C71:C73)</f>
        <v>-61.975152955116194</v>
      </c>
      <c r="F9" s="121">
        <v>78.099327460301438</v>
      </c>
      <c r="G9" s="121">
        <v>16.124174505185231</v>
      </c>
    </row>
    <row r="10" spans="1:30" s="66" customFormat="1" x14ac:dyDescent="0.3">
      <c r="B10" s="118"/>
      <c r="C10" s="118"/>
      <c r="D10" s="118"/>
      <c r="E10" s="118"/>
      <c r="F10" s="118"/>
      <c r="G10" s="118"/>
    </row>
    <row r="11" spans="1:30" s="66" customFormat="1" x14ac:dyDescent="0.3"/>
    <row r="12" spans="1:30" s="66" customFormat="1" x14ac:dyDescent="0.3">
      <c r="A12" s="33" t="s">
        <v>186</v>
      </c>
      <c r="B12" s="33"/>
      <c r="C12" s="33"/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</row>
    <row r="14" spans="1:30" x14ac:dyDescent="0.3">
      <c r="B14" s="38" t="s">
        <v>41</v>
      </c>
      <c r="C14" s="38" t="str">
        <f>INDEX('Reg Assumptions '!$C$14:$C$16,MATCH(B14,'Reg Assumptions '!$B$14:$B$16,0))</f>
        <v>Do nothing</v>
      </c>
      <c r="D14" s="38"/>
      <c r="E14" s="40" t="s">
        <v>22</v>
      </c>
      <c r="F14" s="40" t="s">
        <v>23</v>
      </c>
      <c r="G14" s="40" t="s">
        <v>24</v>
      </c>
      <c r="H14" s="40" t="s">
        <v>25</v>
      </c>
      <c r="I14" s="40" t="s">
        <v>26</v>
      </c>
      <c r="J14" s="40" t="s">
        <v>52</v>
      </c>
      <c r="K14" s="40" t="s">
        <v>53</v>
      </c>
      <c r="L14" s="40" t="s">
        <v>54</v>
      </c>
      <c r="M14" s="40" t="s">
        <v>55</v>
      </c>
      <c r="N14" s="40" t="s">
        <v>56</v>
      </c>
      <c r="O14" s="40" t="s">
        <v>57</v>
      </c>
      <c r="P14" s="40" t="s">
        <v>58</v>
      </c>
      <c r="Q14" s="40" t="s">
        <v>59</v>
      </c>
      <c r="R14" s="40" t="s">
        <v>60</v>
      </c>
      <c r="S14" s="40" t="s">
        <v>61</v>
      </c>
      <c r="T14" s="40" t="s">
        <v>62</v>
      </c>
      <c r="U14" s="40" t="s">
        <v>63</v>
      </c>
      <c r="V14" s="40" t="s">
        <v>64</v>
      </c>
      <c r="W14" s="40" t="s">
        <v>65</v>
      </c>
      <c r="X14" s="40" t="s">
        <v>66</v>
      </c>
      <c r="Y14" s="40" t="s">
        <v>67</v>
      </c>
      <c r="Z14" s="40" t="s">
        <v>68</v>
      </c>
      <c r="AA14" s="40" t="s">
        <v>69</v>
      </c>
      <c r="AB14" s="40" t="s">
        <v>70</v>
      </c>
      <c r="AC14" s="40" t="s">
        <v>71</v>
      </c>
    </row>
    <row r="16" spans="1:30" x14ac:dyDescent="0.3">
      <c r="B16" s="63" t="s">
        <v>187</v>
      </c>
      <c r="E16" s="126">
        <f>Costs!J24*10^-6*esc_24_26</f>
        <v>0</v>
      </c>
      <c r="F16" s="126">
        <f>Costs!K24*10^-6*esc_24_26</f>
        <v>0</v>
      </c>
      <c r="G16" s="126">
        <f>Costs!L24*10^-6*esc_24_26</f>
        <v>0</v>
      </c>
      <c r="H16" s="126">
        <f>Costs!M24*10^-6*esc_24_26</f>
        <v>0</v>
      </c>
      <c r="I16" s="126">
        <f>Costs!N24*10^-6*esc_24_26</f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</row>
    <row r="18" spans="2:29" x14ac:dyDescent="0.3">
      <c r="B18" s="63" t="s">
        <v>195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</row>
    <row r="20" spans="2:29" x14ac:dyDescent="0.3">
      <c r="B20" s="119" t="str">
        <f>"Total cost of "&amp;INDEX('Reg Assumptions '!$C$14:$C$16,MATCH(B14,'Reg Assumptions '!$B$14:$B$16,0))</f>
        <v>Total cost of Do nothing</v>
      </c>
      <c r="C20" s="107"/>
      <c r="D20" s="107"/>
      <c r="E20" s="120">
        <f>E16+E18</f>
        <v>0</v>
      </c>
      <c r="F20" s="120">
        <f t="shared" ref="F20:AC20" si="0">F16+F18</f>
        <v>0</v>
      </c>
      <c r="G20" s="120">
        <f t="shared" si="0"/>
        <v>0</v>
      </c>
      <c r="H20" s="120">
        <f t="shared" si="0"/>
        <v>0</v>
      </c>
      <c r="I20" s="120">
        <f t="shared" si="0"/>
        <v>0</v>
      </c>
      <c r="J20" s="120">
        <f t="shared" si="0"/>
        <v>0</v>
      </c>
      <c r="K20" s="120">
        <f t="shared" si="0"/>
        <v>0</v>
      </c>
      <c r="L20" s="120">
        <f t="shared" si="0"/>
        <v>0</v>
      </c>
      <c r="M20" s="120">
        <f t="shared" si="0"/>
        <v>0</v>
      </c>
      <c r="N20" s="120">
        <f t="shared" si="0"/>
        <v>0</v>
      </c>
      <c r="O20" s="120">
        <f t="shared" si="0"/>
        <v>0</v>
      </c>
      <c r="P20" s="120">
        <f t="shared" si="0"/>
        <v>0</v>
      </c>
      <c r="Q20" s="120">
        <f t="shared" si="0"/>
        <v>0</v>
      </c>
      <c r="R20" s="120">
        <f t="shared" si="0"/>
        <v>0</v>
      </c>
      <c r="S20" s="120">
        <f t="shared" si="0"/>
        <v>0</v>
      </c>
      <c r="T20" s="120">
        <f t="shared" si="0"/>
        <v>0</v>
      </c>
      <c r="U20" s="120">
        <f t="shared" si="0"/>
        <v>0</v>
      </c>
      <c r="V20" s="120">
        <f t="shared" si="0"/>
        <v>0</v>
      </c>
      <c r="W20" s="120">
        <f t="shared" si="0"/>
        <v>0</v>
      </c>
      <c r="X20" s="120">
        <f t="shared" si="0"/>
        <v>0</v>
      </c>
      <c r="Y20" s="120">
        <f t="shared" si="0"/>
        <v>0</v>
      </c>
      <c r="Z20" s="120">
        <f t="shared" si="0"/>
        <v>0</v>
      </c>
      <c r="AA20" s="120">
        <f t="shared" si="0"/>
        <v>0</v>
      </c>
      <c r="AB20" s="120">
        <f t="shared" si="0"/>
        <v>0</v>
      </c>
      <c r="AC20" s="120">
        <f t="shared" si="0"/>
        <v>0</v>
      </c>
    </row>
    <row r="22" spans="2:29" x14ac:dyDescent="0.3">
      <c r="B22" s="71" t="s">
        <v>190</v>
      </c>
      <c r="C22" s="87">
        <f>NPV(real_disc,E16:AC16)</f>
        <v>0</v>
      </c>
    </row>
    <row r="23" spans="2:29" x14ac:dyDescent="0.3">
      <c r="B23" s="71" t="s">
        <v>191</v>
      </c>
      <c r="C23" s="87">
        <f>NPV(real_disc,E18:AC18)</f>
        <v>0</v>
      </c>
    </row>
    <row r="24" spans="2:29" x14ac:dyDescent="0.3">
      <c r="B24" s="71" t="s">
        <v>184</v>
      </c>
      <c r="C24" s="87">
        <f>NPV(real_disc,E20:AC20)</f>
        <v>0</v>
      </c>
    </row>
    <row r="27" spans="2:29" x14ac:dyDescent="0.3">
      <c r="B27" s="38" t="s">
        <v>21</v>
      </c>
      <c r="C27" s="38" t="str">
        <f>INDEX('Reg Assumptions '!$C$14:$C$16,MATCH(B27,'Reg Assumptions '!$B$14:$B$16,0))</f>
        <v>Partial remediation</v>
      </c>
      <c r="D27" s="38"/>
      <c r="E27" s="40" t="s">
        <v>22</v>
      </c>
      <c r="F27" s="40" t="s">
        <v>23</v>
      </c>
      <c r="G27" s="40" t="s">
        <v>24</v>
      </c>
      <c r="H27" s="40" t="s">
        <v>25</v>
      </c>
      <c r="I27" s="40" t="s">
        <v>26</v>
      </c>
      <c r="J27" s="40" t="s">
        <v>52</v>
      </c>
      <c r="K27" s="40" t="s">
        <v>53</v>
      </c>
      <c r="L27" s="40" t="s">
        <v>54</v>
      </c>
      <c r="M27" s="40" t="s">
        <v>55</v>
      </c>
      <c r="N27" s="40" t="s">
        <v>56</v>
      </c>
      <c r="O27" s="40" t="s">
        <v>57</v>
      </c>
      <c r="P27" s="40" t="s">
        <v>58</v>
      </c>
      <c r="Q27" s="40" t="s">
        <v>59</v>
      </c>
      <c r="R27" s="40" t="s">
        <v>60</v>
      </c>
      <c r="S27" s="40" t="s">
        <v>61</v>
      </c>
      <c r="T27" s="40" t="s">
        <v>62</v>
      </c>
      <c r="U27" s="40" t="s">
        <v>63</v>
      </c>
      <c r="V27" s="40" t="s">
        <v>64</v>
      </c>
      <c r="W27" s="40" t="s">
        <v>65</v>
      </c>
      <c r="X27" s="40" t="s">
        <v>66</v>
      </c>
      <c r="Y27" s="40" t="s">
        <v>67</v>
      </c>
      <c r="Z27" s="40" t="s">
        <v>68</v>
      </c>
      <c r="AA27" s="40" t="s">
        <v>69</v>
      </c>
      <c r="AB27" s="40" t="s">
        <v>70</v>
      </c>
      <c r="AC27" s="40" t="s">
        <v>71</v>
      </c>
    </row>
    <row r="29" spans="2:29" x14ac:dyDescent="0.3">
      <c r="B29" s="63" t="s">
        <v>188</v>
      </c>
      <c r="E29" s="121">
        <f>-Costs!J43*10^-6*esc_24_26</f>
        <v>0</v>
      </c>
      <c r="F29" s="121">
        <f>-Costs!K43*10^-6*esc_24_26</f>
        <v>-16.632479500696036</v>
      </c>
      <c r="G29" s="121">
        <f>-Costs!L43*10^-6*esc_24_26</f>
        <v>-38.437294990572369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</row>
    <row r="30" spans="2:29" x14ac:dyDescent="0.3">
      <c r="B30" s="63" t="s">
        <v>192</v>
      </c>
    </row>
    <row r="31" spans="2:29" x14ac:dyDescent="0.3">
      <c r="B31" s="110" t="s">
        <v>44</v>
      </c>
      <c r="C31" s="63" t="s">
        <v>80</v>
      </c>
      <c r="E31" s="121">
        <f>-INDEX(Risks!I$7:I$15,MATCH('Options Analysis'!$C31,Risks!$B$7:$B$15,0))*10^-6*esc_24_26</f>
        <v>0</v>
      </c>
      <c r="F31" s="121">
        <f>-INDEX(Risks!J$7:J$15,MATCH('Options Analysis'!$C31,Risks!$B$7:$B$15,0))*10^-6*esc_24_26</f>
        <v>-2.9113794830258168</v>
      </c>
      <c r="G31" s="121">
        <f>-INDEX(Risks!K$7:K$15,MATCH('Options Analysis'!$C31,Risks!$B$7:$B$15,0))*10^-6*esc_24_26</f>
        <v>-2.9113794830258168</v>
      </c>
      <c r="H31" s="121">
        <f>-INDEX(Risks!L$7:L$15,MATCH('Options Analysis'!$C31,Risks!$B$7:$B$15,0))*10^-6*esc_24_26</f>
        <v>0</v>
      </c>
      <c r="I31" s="121">
        <f>-INDEX(Risks!M$7:M$15,MATCH('Options Analysis'!$C31,Risks!$B$7:$B$15,0))*10^-6*esc_24_26</f>
        <v>0</v>
      </c>
      <c r="J31" s="121">
        <f>-INDEX(Risks!N$7:N$15,MATCH('Options Analysis'!$C31,Risks!$B$7:$B$15,0))*10^-6*esc_24_26</f>
        <v>0</v>
      </c>
      <c r="K31" s="121">
        <f>-INDEX(Risks!O$7:O$15,MATCH('Options Analysis'!$C31,Risks!$B$7:$B$15,0))*10^-6*esc_24_26</f>
        <v>0</v>
      </c>
      <c r="L31" s="121">
        <f>-INDEX(Risks!P$7:P$15,MATCH('Options Analysis'!$C31,Risks!$B$7:$B$15,0))*10^-6*esc_24_26</f>
        <v>0</v>
      </c>
      <c r="M31" s="121">
        <f>-INDEX(Risks!Q$7:Q$15,MATCH('Options Analysis'!$C31,Risks!$B$7:$B$15,0))*10^-6*esc_24_26</f>
        <v>0</v>
      </c>
      <c r="N31" s="121">
        <f>-INDEX(Risks!R$7:R$15,MATCH('Options Analysis'!$C31,Risks!$B$7:$B$15,0))*10^-6*esc_24_26</f>
        <v>0</v>
      </c>
      <c r="O31" s="121">
        <f>-INDEX(Risks!S$7:S$15,MATCH('Options Analysis'!$C31,Risks!$B$7:$B$15,0))*10^-6*esc_24_26</f>
        <v>0</v>
      </c>
      <c r="P31" s="121">
        <f>-INDEX(Risks!T$7:T$15,MATCH('Options Analysis'!$C31,Risks!$B$7:$B$15,0))*10^-6*esc_24_26</f>
        <v>0</v>
      </c>
      <c r="Q31" s="121">
        <f>-INDEX(Risks!U$7:U$15,MATCH('Options Analysis'!$C31,Risks!$B$7:$B$15,0))*10^-6*esc_24_26</f>
        <v>0</v>
      </c>
      <c r="R31" s="121">
        <f>-INDEX(Risks!V$7:V$15,MATCH('Options Analysis'!$C31,Risks!$B$7:$B$15,0))*10^-6*esc_24_26</f>
        <v>0</v>
      </c>
      <c r="S31" s="121">
        <f>-INDEX(Risks!W$7:W$15,MATCH('Options Analysis'!$C31,Risks!$B$7:$B$15,0))*10^-6*esc_24_26</f>
        <v>0</v>
      </c>
      <c r="T31" s="121">
        <f>-INDEX(Risks!X$7:X$15,MATCH('Options Analysis'!$C31,Risks!$B$7:$B$15,0))*10^-6*esc_24_26</f>
        <v>0</v>
      </c>
      <c r="U31" s="121">
        <f>-INDEX(Risks!Y$7:Y$15,MATCH('Options Analysis'!$C31,Risks!$B$7:$B$15,0))*10^-6*esc_24_26</f>
        <v>0</v>
      </c>
      <c r="V31" s="121">
        <f>-INDEX(Risks!Z$7:Z$15,MATCH('Options Analysis'!$C31,Risks!$B$7:$B$15,0))*10^-6*esc_24_26</f>
        <v>0</v>
      </c>
      <c r="W31" s="121">
        <f>-INDEX(Risks!AA$7:AA$15,MATCH('Options Analysis'!$C31,Risks!$B$7:$B$15,0))*10^-6*esc_24_26</f>
        <v>0</v>
      </c>
      <c r="X31" s="121">
        <f>-INDEX(Risks!AB$7:AB$15,MATCH('Options Analysis'!$C31,Risks!$B$7:$B$15,0))*10^-6*esc_24_26</f>
        <v>0</v>
      </c>
      <c r="Y31" s="121">
        <f>-INDEX(Risks!AC$7:AC$15,MATCH('Options Analysis'!$C31,Risks!$B$7:$B$15,0))*10^-6*esc_24_26</f>
        <v>0</v>
      </c>
      <c r="Z31" s="121">
        <f>-INDEX(Risks!AD$7:AD$15,MATCH('Options Analysis'!$C31,Risks!$B$7:$B$15,0))*10^-6*esc_24_26</f>
        <v>0</v>
      </c>
      <c r="AA31" s="121">
        <f>-INDEX(Risks!AE$7:AE$15,MATCH('Options Analysis'!$C31,Risks!$B$7:$B$15,0))*10^-6*esc_24_26</f>
        <v>0</v>
      </c>
      <c r="AB31" s="121">
        <f>-INDEX(Risks!AF$7:AF$15,MATCH('Options Analysis'!$C31,Risks!$B$7:$B$15,0))*10^-6*esc_24_26</f>
        <v>0</v>
      </c>
      <c r="AC31" s="121">
        <f>-INDEX(Risks!AG$7:AG$15,MATCH('Options Analysis'!$C31,Risks!$B$7:$B$15,0))*10^-6*esc_24_26</f>
        <v>0</v>
      </c>
    </row>
    <row r="32" spans="2:29" x14ac:dyDescent="0.3">
      <c r="B32" s="122" t="s">
        <v>193</v>
      </c>
      <c r="C32" s="122"/>
      <c r="D32" s="122"/>
      <c r="E32" s="123">
        <f>E29+E31</f>
        <v>0</v>
      </c>
      <c r="F32" s="123">
        <f t="shared" ref="F32:AC32" si="1">F29+F31</f>
        <v>-19.543858983721854</v>
      </c>
      <c r="G32" s="123">
        <f t="shared" si="1"/>
        <v>-41.348674473598187</v>
      </c>
      <c r="H32" s="123">
        <f t="shared" si="1"/>
        <v>0</v>
      </c>
      <c r="I32" s="123">
        <f t="shared" si="1"/>
        <v>0</v>
      </c>
      <c r="J32" s="123">
        <f t="shared" si="1"/>
        <v>0</v>
      </c>
      <c r="K32" s="123">
        <f t="shared" si="1"/>
        <v>0</v>
      </c>
      <c r="L32" s="123">
        <f t="shared" si="1"/>
        <v>0</v>
      </c>
      <c r="M32" s="123">
        <f t="shared" si="1"/>
        <v>0</v>
      </c>
      <c r="N32" s="123">
        <f t="shared" si="1"/>
        <v>0</v>
      </c>
      <c r="O32" s="123">
        <f t="shared" si="1"/>
        <v>0</v>
      </c>
      <c r="P32" s="123">
        <f t="shared" si="1"/>
        <v>0</v>
      </c>
      <c r="Q32" s="123">
        <f t="shared" si="1"/>
        <v>0</v>
      </c>
      <c r="R32" s="123">
        <f t="shared" si="1"/>
        <v>0</v>
      </c>
      <c r="S32" s="123">
        <f t="shared" si="1"/>
        <v>0</v>
      </c>
      <c r="T32" s="123">
        <f t="shared" si="1"/>
        <v>0</v>
      </c>
      <c r="U32" s="123">
        <f t="shared" si="1"/>
        <v>0</v>
      </c>
      <c r="V32" s="123">
        <f t="shared" si="1"/>
        <v>0</v>
      </c>
      <c r="W32" s="123">
        <f t="shared" si="1"/>
        <v>0</v>
      </c>
      <c r="X32" s="123">
        <f t="shared" si="1"/>
        <v>0</v>
      </c>
      <c r="Y32" s="123">
        <f t="shared" si="1"/>
        <v>0</v>
      </c>
      <c r="Z32" s="123">
        <f t="shared" si="1"/>
        <v>0</v>
      </c>
      <c r="AA32" s="123">
        <f t="shared" si="1"/>
        <v>0</v>
      </c>
      <c r="AB32" s="123">
        <f t="shared" si="1"/>
        <v>0</v>
      </c>
      <c r="AC32" s="123">
        <f t="shared" si="1"/>
        <v>0</v>
      </c>
    </row>
    <row r="34" spans="2:29" x14ac:dyDescent="0.3">
      <c r="B34" s="63" t="s">
        <v>195</v>
      </c>
    </row>
    <row r="35" spans="2:29" x14ac:dyDescent="0.3">
      <c r="B35" s="110" t="s">
        <v>44</v>
      </c>
      <c r="C35" s="63" t="s">
        <v>74</v>
      </c>
      <c r="E35" s="121">
        <f>INDEX(Risks!I$7:I$15,MATCH('Options Analysis'!$C35,Risks!$B$7:$B$15,0))*10^-6*esc_24_26</f>
        <v>0</v>
      </c>
      <c r="F35" s="121">
        <f>INDEX(Risks!J$7:J$15,MATCH('Options Analysis'!$C35,Risks!$B$7:$B$15,0))*10^-6*esc_24_26</f>
        <v>0</v>
      </c>
      <c r="G35" s="121">
        <f>INDEX(Risks!K$7:K$15,MATCH('Options Analysis'!$C35,Risks!$B$7:$B$15,0))*10^-6*esc_24_26</f>
        <v>0</v>
      </c>
      <c r="H35" s="121">
        <f>INDEX(Risks!L$7:L$15,MATCH('Options Analysis'!$C35,Risks!$B$7:$B$15,0))*10^-6*esc_24_26</f>
        <v>1.7293169333855862</v>
      </c>
      <c r="I35" s="121">
        <f>INDEX(Risks!M$7:M$15,MATCH('Options Analysis'!$C35,Risks!$B$7:$B$15,0))*10^-6*esc_24_26</f>
        <v>1.7490582204439535</v>
      </c>
      <c r="J35" s="121">
        <f>INDEX(Risks!N$7:N$15,MATCH('Options Analysis'!$C35,Risks!$B$7:$B$15,0))*10^-6*esc_24_26</f>
        <v>1.7690571069141041</v>
      </c>
      <c r="K35" s="121">
        <f>INDEX(Risks!O$7:O$15,MATCH('Options Analysis'!$C35,Risks!$B$7:$B$15,0))*10^-6*esc_24_26</f>
        <v>1.7893173744251927</v>
      </c>
      <c r="L35" s="121">
        <f>INDEX(Risks!P$7:P$15,MATCH('Options Analysis'!$C35,Risks!$B$7:$B$15,0))*10^-6*esc_24_26</f>
        <v>1.80984286657351</v>
      </c>
      <c r="M35" s="121">
        <f>INDEX(Risks!Q$7:Q$15,MATCH('Options Analysis'!$C35,Risks!$B$7:$B$15,0))*10^-6*esc_24_26</f>
        <v>1.8306374900259357</v>
      </c>
      <c r="N35" s="121">
        <f>INDEX(Risks!R$7:R$15,MATCH('Options Analysis'!$C35,Risks!$B$7:$B$15,0))*10^-6*esc_24_26</f>
        <v>1.8517052156441174</v>
      </c>
      <c r="O35" s="121">
        <f>INDEX(Risks!S$7:S$15,MATCH('Options Analysis'!$C35,Risks!$B$7:$B$15,0))*10^-6*esc_24_26</f>
        <v>1.8730500796297747</v>
      </c>
      <c r="P35" s="121">
        <f>INDEX(Risks!T$7:T$15,MATCH('Options Analysis'!$C35,Risks!$B$7:$B$15,0))*10^-6*esc_24_26</f>
        <v>1.8946761846915374</v>
      </c>
      <c r="Q35" s="121">
        <f>INDEX(Risks!U$7:U$15,MATCH('Options Analysis'!$C35,Risks!$B$7:$B$15,0))*10^-6*esc_24_26</f>
        <v>1.916587701233744</v>
      </c>
      <c r="R35" s="121">
        <f>INDEX(Risks!V$7:V$15,MATCH('Options Analysis'!$C35,Risks!$B$7:$B$15,0))*10^-6*esc_24_26</f>
        <v>1.938788868567612</v>
      </c>
      <c r="S35" s="121">
        <f>INDEX(Risks!W$7:W$15,MATCH('Options Analysis'!$C35,Risks!$B$7:$B$15,0))*10^-6*esc_24_26</f>
        <v>1.9612839961452242</v>
      </c>
      <c r="T35" s="121">
        <f>INDEX(Risks!X$7:X$15,MATCH('Options Analysis'!$C35,Risks!$B$7:$B$15,0))*10^-6*esc_24_26</f>
        <v>1.9840774648167725</v>
      </c>
      <c r="U35" s="121">
        <f>INDEX(Risks!Y$7:Y$15,MATCH('Options Analysis'!$C35,Risks!$B$7:$B$15,0))*10^-6*esc_24_26</f>
        <v>2.0071737281115034</v>
      </c>
      <c r="V35" s="121">
        <f>INDEX(Risks!Z$7:Z$15,MATCH('Options Analysis'!$C35,Risks!$B$7:$B$15,0))*10^-6*esc_24_26</f>
        <v>2.0305773135428349</v>
      </c>
      <c r="W35" s="121">
        <f>INDEX(Risks!AA$7:AA$15,MATCH('Options Analysis'!$C35,Risks!$B$7:$B$15,0))*10^-6*esc_24_26</f>
        <v>2.0542928239381077</v>
      </c>
      <c r="X35" s="121">
        <f>INDEX(Risks!AB$7:AB$15,MATCH('Options Analysis'!$C35,Risks!$B$7:$B$15,0))*10^-6*esc_24_26</f>
        <v>2.0783249387934486</v>
      </c>
      <c r="Y35" s="121">
        <f>INDEX(Risks!AC$7:AC$15,MATCH('Options Analysis'!$C35,Risks!$B$7:$B$15,0))*10^-6*esc_24_26</f>
        <v>2.1026784156542395</v>
      </c>
      <c r="Z35" s="121">
        <f>INDEX(Risks!AD$7:AD$15,MATCH('Options Analysis'!$C35,Risks!$B$7:$B$15,0))*10^-6*esc_24_26</f>
        <v>2.1273580915216854</v>
      </c>
      <c r="AA35" s="121">
        <f>INDEX(Risks!AE$7:AE$15,MATCH('Options Analysis'!$C35,Risks!$B$7:$B$15,0))*10^-6*esc_24_26</f>
        <v>2.1523688842859863</v>
      </c>
      <c r="AB35" s="121">
        <f>INDEX(Risks!AF$7:AF$15,MATCH('Options Analysis'!$C35,Risks!$B$7:$B$15,0))*10^-6*esc_24_26</f>
        <v>2.1777157941866387</v>
      </c>
      <c r="AC35" s="121">
        <f>INDEX(Risks!AG$7:AG$15,MATCH('Options Analysis'!$C35,Risks!$B$7:$B$15,0))*10^-6*esc_24_26</f>
        <v>2.2034039053003833</v>
      </c>
    </row>
    <row r="36" spans="2:29" x14ac:dyDescent="0.3">
      <c r="B36" s="110" t="s">
        <v>44</v>
      </c>
      <c r="C36" s="63" t="s">
        <v>75</v>
      </c>
      <c r="E36" s="121">
        <f>INDEX(Risks!I$7:I$15,MATCH('Options Analysis'!$C36,Risks!$B$7:$B$15,0))*10^-6*esc_24_26</f>
        <v>0</v>
      </c>
      <c r="F36" s="121">
        <f>INDEX(Risks!J$7:J$15,MATCH('Options Analysis'!$C36,Risks!$B$7:$B$15,0))*10^-6*esc_24_26</f>
        <v>0</v>
      </c>
      <c r="G36" s="121">
        <f>INDEX(Risks!K$7:K$15,MATCH('Options Analysis'!$C36,Risks!$B$7:$B$15,0))*10^-6*esc_24_26</f>
        <v>0</v>
      </c>
      <c r="H36" s="121">
        <f>INDEX(Risks!L$7:L$15,MATCH('Options Analysis'!$C36,Risks!$B$7:$B$15,0))*10^-6*esc_24_26</f>
        <v>1.5424086835590416</v>
      </c>
      <c r="I36" s="121">
        <f>INDEX(Risks!M$7:M$15,MATCH('Options Analysis'!$C36,Risks!$B$7:$B$15,0))*10^-6*esc_24_26</f>
        <v>1.5578327703946317</v>
      </c>
      <c r="J36" s="121">
        <f>INDEX(Risks!N$7:N$15,MATCH('Options Analysis'!$C36,Risks!$B$7:$B$15,0))*10^-6*esc_24_26</f>
        <v>1.573411098098578</v>
      </c>
      <c r="K36" s="121">
        <f>INDEX(Risks!O$7:O$15,MATCH('Options Analysis'!$C36,Risks!$B$7:$B$15,0))*10^-6*esc_24_26</f>
        <v>1.5891452090795637</v>
      </c>
      <c r="L36" s="121">
        <f>INDEX(Risks!P$7:P$15,MATCH('Options Analysis'!$C36,Risks!$B$7:$B$15,0))*10^-6*esc_24_26</f>
        <v>1.6050366611703597</v>
      </c>
      <c r="M36" s="121">
        <f>INDEX(Risks!Q$7:Q$15,MATCH('Options Analysis'!$C36,Risks!$B$7:$B$15,0))*10^-6*esc_24_26</f>
        <v>1.6210870277820633</v>
      </c>
      <c r="N36" s="121">
        <f>INDEX(Risks!R$7:R$15,MATCH('Options Analysis'!$C36,Risks!$B$7:$B$15,0))*10^-6*esc_24_26</f>
        <v>1.637297898059884</v>
      </c>
      <c r="O36" s="121">
        <f>INDEX(Risks!S$7:S$15,MATCH('Options Analysis'!$C36,Risks!$B$7:$B$15,0))*10^-6*esc_24_26</f>
        <v>1.6536708770404827</v>
      </c>
      <c r="P36" s="121">
        <f>INDEX(Risks!T$7:T$15,MATCH('Options Analysis'!$C36,Risks!$B$7:$B$15,0))*10^-6*esc_24_26</f>
        <v>1.6702075858108876</v>
      </c>
      <c r="Q36" s="121">
        <f>INDEX(Risks!U$7:U$15,MATCH('Options Analysis'!$C36,Risks!$B$7:$B$15,0))*10^-6*esc_24_26</f>
        <v>1.6869096616689963</v>
      </c>
      <c r="R36" s="121">
        <f>INDEX(Risks!V$7:V$15,MATCH('Options Analysis'!$C36,Risks!$B$7:$B$15,0))*10^-6*esc_24_26</f>
        <v>1.7037787582856863</v>
      </c>
      <c r="S36" s="121">
        <f>INDEX(Risks!W$7:W$15,MATCH('Options Analysis'!$C36,Risks!$B$7:$B$15,0))*10^-6*esc_24_26</f>
        <v>1.7208165458685432</v>
      </c>
      <c r="T36" s="121">
        <f>INDEX(Risks!X$7:X$15,MATCH('Options Analysis'!$C36,Risks!$B$7:$B$15,0))*10^-6*esc_24_26</f>
        <v>1.7380247113272289</v>
      </c>
      <c r="U36" s="121">
        <f>INDEX(Risks!Y$7:Y$15,MATCH('Options Analysis'!$C36,Risks!$B$7:$B$15,0))*10^-6*esc_24_26</f>
        <v>1.7554049584405009</v>
      </c>
      <c r="V36" s="121">
        <f>INDEX(Risks!Z$7:Z$15,MATCH('Options Analysis'!$C36,Risks!$B$7:$B$15,0))*10^-6*esc_24_26</f>
        <v>1.772959008024906</v>
      </c>
      <c r="W36" s="121">
        <f>INDEX(Risks!AA$7:AA$15,MATCH('Options Analysis'!$C36,Risks!$B$7:$B$15,0))*10^-6*esc_24_26</f>
        <v>1.790688598105155</v>
      </c>
      <c r="X36" s="121">
        <f>INDEX(Risks!AB$7:AB$15,MATCH('Options Analysis'!$C36,Risks!$B$7:$B$15,0))*10^-6*esc_24_26</f>
        <v>1.8085954840862066</v>
      </c>
      <c r="Y36" s="121">
        <f>INDEX(Risks!AC$7:AC$15,MATCH('Options Analysis'!$C36,Risks!$B$7:$B$15,0))*10^-6*esc_24_26</f>
        <v>1.8266814389270689</v>
      </c>
      <c r="Z36" s="121">
        <f>INDEX(Risks!AD$7:AD$15,MATCH('Options Analysis'!$C36,Risks!$B$7:$B$15,0))*10^-6*esc_24_26</f>
        <v>1.8449482533163393</v>
      </c>
      <c r="AA36" s="121">
        <f>INDEX(Risks!AE$7:AE$15,MATCH('Options Analysis'!$C36,Risks!$B$7:$B$15,0))*10^-6*esc_24_26</f>
        <v>1.8633977358495029</v>
      </c>
      <c r="AB36" s="121">
        <f>INDEX(Risks!AF$7:AF$15,MATCH('Options Analysis'!$C36,Risks!$B$7:$B$15,0))*10^-6*esc_24_26</f>
        <v>1.882031713207998</v>
      </c>
      <c r="AC36" s="121">
        <f>INDEX(Risks!AG$7:AG$15,MATCH('Options Analysis'!$C36,Risks!$B$7:$B$15,0))*10^-6*esc_24_26</f>
        <v>1.900852030340078</v>
      </c>
    </row>
    <row r="37" spans="2:29" x14ac:dyDescent="0.3">
      <c r="B37" s="110" t="s">
        <v>44</v>
      </c>
      <c r="C37" s="63" t="s">
        <v>73</v>
      </c>
      <c r="E37" s="121">
        <f>INDEX(Risks!I$7:I$15,MATCH('Options Analysis'!$C37,Risks!$B$7:$B$15,0))*10^-6*esc_24_26</f>
        <v>0</v>
      </c>
      <c r="F37" s="121">
        <f>INDEX(Risks!J$7:J$15,MATCH('Options Analysis'!$C37,Risks!$B$7:$B$15,0))*10^-6*esc_24_26</f>
        <v>0</v>
      </c>
      <c r="G37" s="121">
        <f>INDEX(Risks!K$7:K$15,MATCH('Options Analysis'!$C37,Risks!$B$7:$B$15,0))*10^-6*esc_24_26</f>
        <v>0</v>
      </c>
      <c r="H37" s="121">
        <f>INDEX(Risks!L$7:L$15,MATCH('Options Analysis'!$C37,Risks!$B$7:$B$15,0))*10^-6*esc_24_26</f>
        <v>0.5404788441922963</v>
      </c>
      <c r="I37" s="121">
        <f>INDEX(Risks!M$7:M$15,MATCH('Options Analysis'!$C37,Risks!$B$7:$B$15,0))*10^-6*esc_24_26</f>
        <v>0.55130552102132113</v>
      </c>
      <c r="J37" s="121">
        <f>INDEX(Risks!N$7:N$15,MATCH('Options Analysis'!$C37,Risks!$B$7:$B$15,0))*10^-6*esc_24_26</f>
        <v>0.56234907392684697</v>
      </c>
      <c r="K37" s="121">
        <f>INDEX(Risks!O$7:O$15,MATCH('Options Analysis'!$C37,Risks!$B$7:$B$15,0))*10^-6*esc_24_26</f>
        <v>0.57361384729203924</v>
      </c>
      <c r="L37" s="121">
        <f>INDEX(Risks!P$7:P$15,MATCH('Options Analysis'!$C37,Risks!$B$7:$B$15,0))*10^-6*esc_24_26</f>
        <v>0.5851042725251776</v>
      </c>
      <c r="M37" s="121">
        <f>INDEX(Risks!Q$7:Q$15,MATCH('Options Analysis'!$C37,Risks!$B$7:$B$15,0))*10^-6*esc_24_26</f>
        <v>0.59682486980290916</v>
      </c>
      <c r="N37" s="121">
        <f>INDEX(Risks!R$7:R$15,MATCH('Options Analysis'!$C37,Risks!$B$7:$B$15,0))*10^-6*esc_24_26</f>
        <v>0.60878024984842671</v>
      </c>
      <c r="O37" s="121">
        <f>INDEX(Risks!S$7:S$15,MATCH('Options Analysis'!$C37,Risks!$B$7:$B$15,0))*10^-6*esc_24_26</f>
        <v>0.62097511574526265</v>
      </c>
      <c r="P37" s="121">
        <f>INDEX(Risks!T$7:T$15,MATCH('Options Analysis'!$C37,Risks!$B$7:$B$15,0))*10^-6*esc_24_26</f>
        <v>0.6334142647874188</v>
      </c>
      <c r="Q37" s="121">
        <f>INDEX(Risks!U$7:U$15,MATCH('Options Analysis'!$C37,Risks!$B$7:$B$15,0))*10^-6*esc_24_26</f>
        <v>0.64610259036655637</v>
      </c>
      <c r="R37" s="121">
        <f>INDEX(Risks!V$7:V$15,MATCH('Options Analysis'!$C37,Risks!$B$7:$B$15,0))*10^-6*esc_24_26</f>
        <v>0.65904508389698901</v>
      </c>
      <c r="S37" s="121">
        <f>INDEX(Risks!W$7:W$15,MATCH('Options Analysis'!$C37,Risks!$B$7:$B$15,0))*10^-6*esc_24_26</f>
        <v>0.67224683677923791</v>
      </c>
      <c r="T37" s="121">
        <f>INDEX(Risks!X$7:X$15,MATCH('Options Analysis'!$C37,Risks!$B$7:$B$15,0))*10^-6*esc_24_26</f>
        <v>0.6857130424029193</v>
      </c>
      <c r="U37" s="121">
        <f>INDEX(Risks!Y$7:Y$15,MATCH('Options Analysis'!$C37,Risks!$B$7:$B$15,0))*10^-6*esc_24_26</f>
        <v>0.69944899818975192</v>
      </c>
      <c r="V37" s="121">
        <f>INDEX(Risks!Z$7:Z$15,MATCH('Options Analysis'!$C37,Risks!$B$7:$B$15,0))*10^-6*esc_24_26</f>
        <v>0.71346010767749235</v>
      </c>
      <c r="W37" s="121">
        <f>INDEX(Risks!AA$7:AA$15,MATCH('Options Analysis'!$C37,Risks!$B$7:$B$15,0))*10^-6*esc_24_26</f>
        <v>0.72775188264561153</v>
      </c>
      <c r="X37" s="121">
        <f>INDEX(Risks!AB$7:AB$15,MATCH('Options Analysis'!$C37,Risks!$B$7:$B$15,0))*10^-6*esc_24_26</f>
        <v>0.74232994528355478</v>
      </c>
      <c r="Y37" s="121">
        <f>INDEX(Risks!AC$7:AC$15,MATCH('Options Analysis'!$C37,Risks!$B$7:$B$15,0))*10^-6*esc_24_26</f>
        <v>0.75720003040243378</v>
      </c>
      <c r="Z37" s="121">
        <f>INDEX(Risks!AD$7:AD$15,MATCH('Options Analysis'!$C37,Risks!$B$7:$B$15,0))*10^-6*esc_24_26</f>
        <v>0.77236798769102322</v>
      </c>
      <c r="AA37" s="121">
        <f>INDEX(Risks!AE$7:AE$15,MATCH('Options Analysis'!$C37,Risks!$B$7:$B$15,0))*10^-6*esc_24_26</f>
        <v>0.78783978401694899</v>
      </c>
      <c r="AB37" s="121">
        <f>INDEX(Risks!AF$7:AF$15,MATCH('Options Analysis'!$C37,Risks!$B$7:$B$15,0))*10^-6*esc_24_26</f>
        <v>0.80362150577397218</v>
      </c>
      <c r="AC37" s="121">
        <f>INDEX(Risks!AG$7:AG$15,MATCH('Options Analysis'!$C37,Risks!$B$7:$B$15,0))*10^-6*esc_24_26</f>
        <v>0.81971936127629341</v>
      </c>
    </row>
    <row r="38" spans="2:29" x14ac:dyDescent="0.3">
      <c r="B38" s="110" t="s">
        <v>44</v>
      </c>
      <c r="C38" s="63" t="s">
        <v>147</v>
      </c>
      <c r="E38" s="121">
        <f>INDEX(Risks!I$7:I$15,MATCH('Options Analysis'!$C38,Risks!$B$7:$B$15,0))*10^-6*esc_24_26</f>
        <v>0</v>
      </c>
      <c r="F38" s="121">
        <f>INDEX(Risks!J$7:J$15,MATCH('Options Analysis'!$C38,Risks!$B$7:$B$15,0))*10^-6*esc_24_26</f>
        <v>0</v>
      </c>
      <c r="G38" s="121">
        <f>INDEX(Risks!K$7:K$15,MATCH('Options Analysis'!$C38,Risks!$B$7:$B$15,0))*10^-6*esc_24_26</f>
        <v>0</v>
      </c>
      <c r="H38" s="121">
        <f>INDEX(Risks!L$7:L$15,MATCH('Options Analysis'!$C38,Risks!$B$7:$B$15,0))*10^-6*esc_24_26</f>
        <v>0.46947413055641352</v>
      </c>
      <c r="I38" s="121">
        <f>INDEX(Risks!M$7:M$15,MATCH('Options Analysis'!$C38,Risks!$B$7:$B$15,0))*10^-6*esc_24_26</f>
        <v>0.46947413055641352</v>
      </c>
      <c r="J38" s="121">
        <f>INDEX(Risks!N$7:N$15,MATCH('Options Analysis'!$C38,Risks!$B$7:$B$15,0))*10^-6*esc_24_26</f>
        <v>0.46947413055641352</v>
      </c>
      <c r="K38" s="121">
        <f>INDEX(Risks!O$7:O$15,MATCH('Options Analysis'!$C38,Risks!$B$7:$B$15,0))*10^-6*esc_24_26</f>
        <v>0.46947413055641352</v>
      </c>
      <c r="L38" s="121">
        <f>INDEX(Risks!P$7:P$15,MATCH('Options Analysis'!$C38,Risks!$B$7:$B$15,0))*10^-6*esc_24_26</f>
        <v>0.46947413055641352</v>
      </c>
      <c r="M38" s="121">
        <f>INDEX(Risks!Q$7:Q$15,MATCH('Options Analysis'!$C38,Risks!$B$7:$B$15,0))*10^-6*esc_24_26</f>
        <v>0.46947413055641352</v>
      </c>
      <c r="N38" s="121">
        <f>INDEX(Risks!R$7:R$15,MATCH('Options Analysis'!$C38,Risks!$B$7:$B$15,0))*10^-6*esc_24_26</f>
        <v>0.46947413055641352</v>
      </c>
      <c r="O38" s="121">
        <f>INDEX(Risks!S$7:S$15,MATCH('Options Analysis'!$C38,Risks!$B$7:$B$15,0))*10^-6*esc_24_26</f>
        <v>0.46947413055641352</v>
      </c>
      <c r="P38" s="121">
        <f>INDEX(Risks!T$7:T$15,MATCH('Options Analysis'!$C38,Risks!$B$7:$B$15,0))*10^-6*esc_24_26</f>
        <v>0.46947413055641352</v>
      </c>
      <c r="Q38" s="121">
        <f>INDEX(Risks!U$7:U$15,MATCH('Options Analysis'!$C38,Risks!$B$7:$B$15,0))*10^-6*esc_24_26</f>
        <v>0.46947413055641352</v>
      </c>
      <c r="R38" s="121">
        <f>INDEX(Risks!V$7:V$15,MATCH('Options Analysis'!$C38,Risks!$B$7:$B$15,0))*10^-6*esc_24_26</f>
        <v>0.46947413055641352</v>
      </c>
      <c r="S38" s="121">
        <f>INDEX(Risks!W$7:W$15,MATCH('Options Analysis'!$C38,Risks!$B$7:$B$15,0))*10^-6*esc_24_26</f>
        <v>0.46947413055641352</v>
      </c>
      <c r="T38" s="121">
        <f>INDEX(Risks!X$7:X$15,MATCH('Options Analysis'!$C38,Risks!$B$7:$B$15,0))*10^-6*esc_24_26</f>
        <v>0.46947413055641352</v>
      </c>
      <c r="U38" s="121">
        <f>INDEX(Risks!Y$7:Y$15,MATCH('Options Analysis'!$C38,Risks!$B$7:$B$15,0))*10^-6*esc_24_26</f>
        <v>0.46947413055641352</v>
      </c>
      <c r="V38" s="121">
        <f>INDEX(Risks!Z$7:Z$15,MATCH('Options Analysis'!$C38,Risks!$B$7:$B$15,0))*10^-6*esc_24_26</f>
        <v>0.46947413055641352</v>
      </c>
      <c r="W38" s="121">
        <f>INDEX(Risks!AA$7:AA$15,MATCH('Options Analysis'!$C38,Risks!$B$7:$B$15,0))*10^-6*esc_24_26</f>
        <v>0.46947413055641352</v>
      </c>
      <c r="X38" s="121">
        <f>INDEX(Risks!AB$7:AB$15,MATCH('Options Analysis'!$C38,Risks!$B$7:$B$15,0))*10^-6*esc_24_26</f>
        <v>0.46947413055641352</v>
      </c>
      <c r="Y38" s="121">
        <f>INDEX(Risks!AC$7:AC$15,MATCH('Options Analysis'!$C38,Risks!$B$7:$B$15,0))*10^-6*esc_24_26</f>
        <v>0.46947413055641352</v>
      </c>
      <c r="Z38" s="121">
        <f>INDEX(Risks!AD$7:AD$15,MATCH('Options Analysis'!$C38,Risks!$B$7:$B$15,0))*10^-6*esc_24_26</f>
        <v>0.46947413055641352</v>
      </c>
      <c r="AA38" s="121">
        <f>INDEX(Risks!AE$7:AE$15,MATCH('Options Analysis'!$C38,Risks!$B$7:$B$15,0))*10^-6*esc_24_26</f>
        <v>0.46947413055641352</v>
      </c>
      <c r="AB38" s="121">
        <f>INDEX(Risks!AF$7:AF$15,MATCH('Options Analysis'!$C38,Risks!$B$7:$B$15,0))*10^-6*esc_24_26</f>
        <v>0.46947413055641352</v>
      </c>
      <c r="AC38" s="121">
        <f>INDEX(Risks!AG$7:AG$15,MATCH('Options Analysis'!$C38,Risks!$B$7:$B$15,0))*10^-6*esc_24_26</f>
        <v>0.46947413055641352</v>
      </c>
    </row>
    <row r="39" spans="2:29" x14ac:dyDescent="0.3">
      <c r="B39" s="110" t="s">
        <v>44</v>
      </c>
      <c r="C39" s="63" t="s">
        <v>78</v>
      </c>
      <c r="E39" s="121">
        <f>INDEX(Risks!I$7:I$15,MATCH('Options Analysis'!$C39,Risks!$B$7:$B$15,0))*10^-6*esc_24_26</f>
        <v>0</v>
      </c>
      <c r="F39" s="121">
        <f>INDEX(Risks!J$7:J$15,MATCH('Options Analysis'!$C39,Risks!$B$7:$B$15,0))*10^-6*esc_24_26</f>
        <v>0</v>
      </c>
      <c r="G39" s="121">
        <f>INDEX(Risks!K$7:K$15,MATCH('Options Analysis'!$C39,Risks!$B$7:$B$15,0))*10^-6*esc_24_26</f>
        <v>0</v>
      </c>
      <c r="H39" s="121">
        <f>INDEX(Risks!L$7:L$15,MATCH('Options Analysis'!$C39,Risks!$B$7:$B$15,0))*10^-6*esc_24_26</f>
        <v>0.36927548522829989</v>
      </c>
      <c r="I39" s="121">
        <f>INDEX(Risks!M$7:M$15,MATCH('Options Analysis'!$C39,Risks!$B$7:$B$15,0))*10^-6*esc_24_26</f>
        <v>0.36927548522829989</v>
      </c>
      <c r="J39" s="121">
        <f>INDEX(Risks!N$7:N$15,MATCH('Options Analysis'!$C39,Risks!$B$7:$B$15,0))*10^-6*esc_24_26</f>
        <v>0.36927548522829989</v>
      </c>
      <c r="K39" s="121">
        <f>INDEX(Risks!O$7:O$15,MATCH('Options Analysis'!$C39,Risks!$B$7:$B$15,0))*10^-6*esc_24_26</f>
        <v>0.36927548522829989</v>
      </c>
      <c r="L39" s="121">
        <f>INDEX(Risks!P$7:P$15,MATCH('Options Analysis'!$C39,Risks!$B$7:$B$15,0))*10^-6*esc_24_26</f>
        <v>0.36927548522829989</v>
      </c>
      <c r="M39" s="121">
        <f>INDEX(Risks!Q$7:Q$15,MATCH('Options Analysis'!$C39,Risks!$B$7:$B$15,0))*10^-6*esc_24_26</f>
        <v>0.36927548522829989</v>
      </c>
      <c r="N39" s="121">
        <f>INDEX(Risks!R$7:R$15,MATCH('Options Analysis'!$C39,Risks!$B$7:$B$15,0))*10^-6*esc_24_26</f>
        <v>0.36927548522829989</v>
      </c>
      <c r="O39" s="121">
        <f>INDEX(Risks!S$7:S$15,MATCH('Options Analysis'!$C39,Risks!$B$7:$B$15,0))*10^-6*esc_24_26</f>
        <v>0.36927548522829989</v>
      </c>
      <c r="P39" s="121">
        <f>INDEX(Risks!T$7:T$15,MATCH('Options Analysis'!$C39,Risks!$B$7:$B$15,0))*10^-6*esc_24_26</f>
        <v>0.36927548522829989</v>
      </c>
      <c r="Q39" s="121">
        <f>INDEX(Risks!U$7:U$15,MATCH('Options Analysis'!$C39,Risks!$B$7:$B$15,0))*10^-6*esc_24_26</f>
        <v>0.36927548522829989</v>
      </c>
      <c r="R39" s="121">
        <f>INDEX(Risks!V$7:V$15,MATCH('Options Analysis'!$C39,Risks!$B$7:$B$15,0))*10^-6*esc_24_26</f>
        <v>0.36927548522829989</v>
      </c>
      <c r="S39" s="121">
        <f>INDEX(Risks!W$7:W$15,MATCH('Options Analysis'!$C39,Risks!$B$7:$B$15,0))*10^-6*esc_24_26</f>
        <v>0.36927548522829989</v>
      </c>
      <c r="T39" s="121">
        <f>INDEX(Risks!X$7:X$15,MATCH('Options Analysis'!$C39,Risks!$B$7:$B$15,0))*10^-6*esc_24_26</f>
        <v>0.36927548522829989</v>
      </c>
      <c r="U39" s="121">
        <f>INDEX(Risks!Y$7:Y$15,MATCH('Options Analysis'!$C39,Risks!$B$7:$B$15,0))*10^-6*esc_24_26</f>
        <v>0.36927548522829989</v>
      </c>
      <c r="V39" s="121">
        <f>INDEX(Risks!Z$7:Z$15,MATCH('Options Analysis'!$C39,Risks!$B$7:$B$15,0))*10^-6*esc_24_26</f>
        <v>0.36927548522829989</v>
      </c>
      <c r="W39" s="121">
        <f>INDEX(Risks!AA$7:AA$15,MATCH('Options Analysis'!$C39,Risks!$B$7:$B$15,0))*10^-6*esc_24_26</f>
        <v>0.36927548522829989</v>
      </c>
      <c r="X39" s="121">
        <f>INDEX(Risks!AB$7:AB$15,MATCH('Options Analysis'!$C39,Risks!$B$7:$B$15,0))*10^-6*esc_24_26</f>
        <v>0.36927548522829989</v>
      </c>
      <c r="Y39" s="121">
        <f>INDEX(Risks!AC$7:AC$15,MATCH('Options Analysis'!$C39,Risks!$B$7:$B$15,0))*10^-6*esc_24_26</f>
        <v>0.36927548522829989</v>
      </c>
      <c r="Z39" s="121">
        <f>INDEX(Risks!AD$7:AD$15,MATCH('Options Analysis'!$C39,Risks!$B$7:$B$15,0))*10^-6*esc_24_26</f>
        <v>0.36927548522829989</v>
      </c>
      <c r="AA39" s="121">
        <f>INDEX(Risks!AE$7:AE$15,MATCH('Options Analysis'!$C39,Risks!$B$7:$B$15,0))*10^-6*esc_24_26</f>
        <v>0.36927548522829989</v>
      </c>
      <c r="AB39" s="121">
        <f>INDEX(Risks!AF$7:AF$15,MATCH('Options Analysis'!$C39,Risks!$B$7:$B$15,0))*10^-6*esc_24_26</f>
        <v>0.36927548522829989</v>
      </c>
      <c r="AC39" s="121">
        <f>INDEX(Risks!AG$7:AG$15,MATCH('Options Analysis'!$C39,Risks!$B$7:$B$15,0))*10^-6*esc_24_26</f>
        <v>0.36927548522829989</v>
      </c>
    </row>
    <row r="40" spans="2:29" x14ac:dyDescent="0.3">
      <c r="B40" s="110" t="s">
        <v>44</v>
      </c>
      <c r="C40" s="63" t="s">
        <v>76</v>
      </c>
      <c r="E40" s="121">
        <f>INDEX(Risks!I$7:I$15,MATCH('Options Analysis'!$C40,Risks!$B$7:$B$15,0))*10^-6*esc_24_26</f>
        <v>0</v>
      </c>
      <c r="F40" s="121">
        <f>INDEX(Risks!J$7:J$15,MATCH('Options Analysis'!$C40,Risks!$B$7:$B$15,0))*10^-6*esc_24_26</f>
        <v>0</v>
      </c>
      <c r="G40" s="121">
        <f>INDEX(Risks!K$7:K$15,MATCH('Options Analysis'!$C40,Risks!$B$7:$B$15,0))*10^-6*esc_24_26</f>
        <v>0</v>
      </c>
      <c r="H40" s="121">
        <f>INDEX(Risks!L$7:L$15,MATCH('Options Analysis'!$C40,Risks!$B$7:$B$15,0))*10^-6*esc_24_26</f>
        <v>0.30821185952261182</v>
      </c>
      <c r="I40" s="121">
        <f>INDEX(Risks!M$7:M$15,MATCH('Options Analysis'!$C40,Risks!$B$7:$B$15,0))*10^-6*esc_24_26</f>
        <v>0.30921603184263724</v>
      </c>
      <c r="J40" s="121">
        <f>INDEX(Risks!N$7:N$15,MATCH('Options Analysis'!$C40,Risks!$B$7:$B$15,0))*10^-6*esc_24_26</f>
        <v>0.31023024588586295</v>
      </c>
      <c r="K40" s="121">
        <f>INDEX(Risks!O$7:O$15,MATCH('Options Analysis'!$C40,Risks!$B$7:$B$15,0))*10^-6*esc_24_26</f>
        <v>0.31125460206952088</v>
      </c>
      <c r="L40" s="121">
        <f>INDEX(Risks!P$7:P$15,MATCH('Options Analysis'!$C40,Risks!$B$7:$B$15,0))*10^-6*esc_24_26</f>
        <v>0.31228920181501535</v>
      </c>
      <c r="M40" s="121">
        <f>INDEX(Risks!Q$7:Q$15,MATCH('Options Analysis'!$C40,Risks!$B$7:$B$15,0))*10^-6*esc_24_26</f>
        <v>0.31333414755796479</v>
      </c>
      <c r="N40" s="121">
        <f>INDEX(Risks!R$7:R$15,MATCH('Options Analysis'!$C40,Risks!$B$7:$B$15,0))*10^-6*esc_24_26</f>
        <v>0.31438954275834374</v>
      </c>
      <c r="O40" s="121">
        <f>INDEX(Risks!S$7:S$15,MATCH('Options Analysis'!$C40,Risks!$B$7:$B$15,0))*10^-6*esc_24_26</f>
        <v>0.31545549191072647</v>
      </c>
      <c r="P40" s="121">
        <f>INDEX(Risks!T$7:T$15,MATCH('Options Analysis'!$C40,Risks!$B$7:$B$15,0))*10^-6*esc_24_26</f>
        <v>0.31653210055463304</v>
      </c>
      <c r="Q40" s="121">
        <f>INDEX(Risks!U$7:U$15,MATCH('Options Analysis'!$C40,Risks!$B$7:$B$15,0))*10^-6*esc_24_26</f>
        <v>0.31761947528497875</v>
      </c>
      <c r="R40" s="121">
        <f>INDEX(Risks!V$7:V$15,MATCH('Options Analysis'!$C40,Risks!$B$7:$B$15,0))*10^-6*esc_24_26</f>
        <v>0.3187177237626278</v>
      </c>
      <c r="S40" s="121">
        <f>INDEX(Risks!W$7:W$15,MATCH('Options Analysis'!$C40,Risks!$B$7:$B$15,0))*10^-6*esc_24_26</f>
        <v>0.31982695472505335</v>
      </c>
      <c r="T40" s="121">
        <f>INDEX(Risks!X$7:X$15,MATCH('Options Analysis'!$C40,Risks!$B$7:$B$15,0))*10^-6*esc_24_26</f>
        <v>0.32094727799710321</v>
      </c>
      <c r="U40" s="121">
        <f>INDEX(Risks!Y$7:Y$15,MATCH('Options Analysis'!$C40,Risks!$B$7:$B$15,0))*10^-6*esc_24_26</f>
        <v>0.32207880450187354</v>
      </c>
      <c r="V40" s="121">
        <f>INDEX(Risks!Z$7:Z$15,MATCH('Options Analysis'!$C40,Risks!$B$7:$B$15,0))*10^-6*esc_24_26</f>
        <v>0.32322164627169159</v>
      </c>
      <c r="W40" s="121">
        <f>INDEX(Risks!AA$7:AA$15,MATCH('Options Analysis'!$C40,Risks!$B$7:$B$15,0))*10^-6*esc_24_26</f>
        <v>0.32437591645920782</v>
      </c>
      <c r="X40" s="121">
        <f>INDEX(Risks!AB$7:AB$15,MATCH('Options Analysis'!$C40,Risks!$B$7:$B$15,0))*10^-6*esc_24_26</f>
        <v>0.32554172934859915</v>
      </c>
      <c r="Y40" s="121">
        <f>INDEX(Risks!AC$7:AC$15,MATCH('Options Analysis'!$C40,Risks!$B$7:$B$15,0))*10^-6*esc_24_26</f>
        <v>0.32671920036688445</v>
      </c>
      <c r="Z40" s="121">
        <f>INDEX(Risks!AD$7:AD$15,MATCH('Options Analysis'!$C40,Risks!$B$7:$B$15,0))*10^-6*esc_24_26</f>
        <v>0.32790844609535263</v>
      </c>
      <c r="AA40" s="121">
        <f>INDEX(Risks!AE$7:AE$15,MATCH('Options Analysis'!$C40,Risks!$B$7:$B$15,0))*10^-6*esc_24_26</f>
        <v>0.32910958428110543</v>
      </c>
      <c r="AB40" s="121">
        <f>INDEX(Risks!AF$7:AF$15,MATCH('Options Analysis'!$C40,Risks!$B$7:$B$15,0))*10^-6*esc_24_26</f>
        <v>0.33032273384871574</v>
      </c>
      <c r="AC40" s="121">
        <f>INDEX(Risks!AG$7:AG$15,MATCH('Options Analysis'!$C40,Risks!$B$7:$B$15,0))*10^-6*esc_24_26</f>
        <v>0.33154801491200225</v>
      </c>
    </row>
    <row r="41" spans="2:29" x14ac:dyDescent="0.3">
      <c r="B41" s="110" t="s">
        <v>44</v>
      </c>
      <c r="C41" s="63" t="s">
        <v>77</v>
      </c>
      <c r="E41" s="121">
        <f>INDEX(Risks!I$7:I$15,MATCH('Options Analysis'!$C41,Risks!$B$7:$B$15,0))*10^-6*esc_24_26</f>
        <v>0</v>
      </c>
      <c r="F41" s="121">
        <f>INDEX(Risks!J$7:J$15,MATCH('Options Analysis'!$C41,Risks!$B$7:$B$15,0))*10^-6*esc_24_26</f>
        <v>0</v>
      </c>
      <c r="G41" s="121">
        <f>INDEX(Risks!K$7:K$15,MATCH('Options Analysis'!$C41,Risks!$B$7:$B$15,0))*10^-6*esc_24_26</f>
        <v>0</v>
      </c>
      <c r="H41" s="121">
        <f>INDEX(Risks!L$7:L$15,MATCH('Options Analysis'!$C41,Risks!$B$7:$B$15,0))*10^-6*esc_24_26</f>
        <v>0.28203143560969368</v>
      </c>
      <c r="I41" s="121">
        <f>INDEX(Risks!M$7:M$15,MATCH('Options Analysis'!$C41,Risks!$B$7:$B$15,0))*10^-6*esc_24_26</f>
        <v>0.28203143560969368</v>
      </c>
      <c r="J41" s="121">
        <f>INDEX(Risks!N$7:N$15,MATCH('Options Analysis'!$C41,Risks!$B$7:$B$15,0))*10^-6*esc_24_26</f>
        <v>0.28203143560969368</v>
      </c>
      <c r="K41" s="121">
        <f>INDEX(Risks!O$7:O$15,MATCH('Options Analysis'!$C41,Risks!$B$7:$B$15,0))*10^-6*esc_24_26</f>
        <v>0.28203143560969368</v>
      </c>
      <c r="L41" s="121">
        <f>INDEX(Risks!P$7:P$15,MATCH('Options Analysis'!$C41,Risks!$B$7:$B$15,0))*10^-6*esc_24_26</f>
        <v>0.28203143560969368</v>
      </c>
      <c r="M41" s="121">
        <f>INDEX(Risks!Q$7:Q$15,MATCH('Options Analysis'!$C41,Risks!$B$7:$B$15,0))*10^-6*esc_24_26</f>
        <v>0.28203143560969368</v>
      </c>
      <c r="N41" s="121">
        <f>INDEX(Risks!R$7:R$15,MATCH('Options Analysis'!$C41,Risks!$B$7:$B$15,0))*10^-6*esc_24_26</f>
        <v>0.28203143560969368</v>
      </c>
      <c r="O41" s="121">
        <f>INDEX(Risks!S$7:S$15,MATCH('Options Analysis'!$C41,Risks!$B$7:$B$15,0))*10^-6*esc_24_26</f>
        <v>0.28203143560969368</v>
      </c>
      <c r="P41" s="121">
        <f>INDEX(Risks!T$7:T$15,MATCH('Options Analysis'!$C41,Risks!$B$7:$B$15,0))*10^-6*esc_24_26</f>
        <v>0.28203143560969368</v>
      </c>
      <c r="Q41" s="121">
        <f>INDEX(Risks!U$7:U$15,MATCH('Options Analysis'!$C41,Risks!$B$7:$B$15,0))*10^-6*esc_24_26</f>
        <v>0.28203143560969368</v>
      </c>
      <c r="R41" s="121">
        <f>INDEX(Risks!V$7:V$15,MATCH('Options Analysis'!$C41,Risks!$B$7:$B$15,0))*10^-6*esc_24_26</f>
        <v>0.28203143560969368</v>
      </c>
      <c r="S41" s="121">
        <f>INDEX(Risks!W$7:W$15,MATCH('Options Analysis'!$C41,Risks!$B$7:$B$15,0))*10^-6*esc_24_26</f>
        <v>0.28203143560969368</v>
      </c>
      <c r="T41" s="121">
        <f>INDEX(Risks!X$7:X$15,MATCH('Options Analysis'!$C41,Risks!$B$7:$B$15,0))*10^-6*esc_24_26</f>
        <v>0.28203143560969368</v>
      </c>
      <c r="U41" s="121">
        <f>INDEX(Risks!Y$7:Y$15,MATCH('Options Analysis'!$C41,Risks!$B$7:$B$15,0))*10^-6*esc_24_26</f>
        <v>0.28203143560969368</v>
      </c>
      <c r="V41" s="121">
        <f>INDEX(Risks!Z$7:Z$15,MATCH('Options Analysis'!$C41,Risks!$B$7:$B$15,0))*10^-6*esc_24_26</f>
        <v>0.28203143560969368</v>
      </c>
      <c r="W41" s="121">
        <f>INDEX(Risks!AA$7:AA$15,MATCH('Options Analysis'!$C41,Risks!$B$7:$B$15,0))*10^-6*esc_24_26</f>
        <v>0.28203143560969368</v>
      </c>
      <c r="X41" s="121">
        <f>INDEX(Risks!AB$7:AB$15,MATCH('Options Analysis'!$C41,Risks!$B$7:$B$15,0))*10^-6*esc_24_26</f>
        <v>0.28203143560969368</v>
      </c>
      <c r="Y41" s="121">
        <f>INDEX(Risks!AC$7:AC$15,MATCH('Options Analysis'!$C41,Risks!$B$7:$B$15,0))*10^-6*esc_24_26</f>
        <v>0.28203143560969368</v>
      </c>
      <c r="Z41" s="121">
        <f>INDEX(Risks!AD$7:AD$15,MATCH('Options Analysis'!$C41,Risks!$B$7:$B$15,0))*10^-6*esc_24_26</f>
        <v>0.28203143560969368</v>
      </c>
      <c r="AA41" s="121">
        <f>INDEX(Risks!AE$7:AE$15,MATCH('Options Analysis'!$C41,Risks!$B$7:$B$15,0))*10^-6*esc_24_26</f>
        <v>0.28203143560969368</v>
      </c>
      <c r="AB41" s="121">
        <f>INDEX(Risks!AF$7:AF$15,MATCH('Options Analysis'!$C41,Risks!$B$7:$B$15,0))*10^-6*esc_24_26</f>
        <v>0.28203143560969368</v>
      </c>
      <c r="AC41" s="121">
        <f>INDEX(Risks!AG$7:AG$15,MATCH('Options Analysis'!$C41,Risks!$B$7:$B$15,0))*10^-6*esc_24_26</f>
        <v>0.28203143560969368</v>
      </c>
    </row>
    <row r="42" spans="2:29" x14ac:dyDescent="0.3">
      <c r="B42" s="110" t="s">
        <v>44</v>
      </c>
      <c r="C42" s="63" t="s">
        <v>224</v>
      </c>
      <c r="E42" s="121">
        <f>INDEX(Risks!I$7:I$15,MATCH('Options Analysis'!$C42,Risks!$B$7:$B$15,0))*10^-6*esc_24_26</f>
        <v>0</v>
      </c>
      <c r="F42" s="121">
        <f>INDEX(Risks!J$7:J$15,MATCH('Options Analysis'!$C42,Risks!$B$7:$B$15,0))*10^-6*esc_24_26</f>
        <v>0</v>
      </c>
      <c r="G42" s="121">
        <f>INDEX(Risks!K$7:K$15,MATCH('Options Analysis'!$C42,Risks!$B$7:$B$15,0))*10^-6*esc_24_26</f>
        <v>0</v>
      </c>
      <c r="H42" s="121">
        <f>INDEX(Risks!L$7:L$15,MATCH('Options Analysis'!$C42,Risks!$B$7:$B$15,0))*10^-6*esc_24_26</f>
        <v>-0.15581466388161586</v>
      </c>
      <c r="I42" s="121">
        <f>INDEX(Risks!M$7:M$15,MATCH('Options Analysis'!$C42,Risks!$B$7:$B$15,0))*10^-6*esc_24_26</f>
        <v>-0.15893588690300983</v>
      </c>
      <c r="J42" s="121">
        <f>INDEX(Risks!N$7:N$15,MATCH('Options Analysis'!$C42,Risks!$B$7:$B$15,0))*10^-6*esc_24_26</f>
        <v>-0.16211963313567662</v>
      </c>
      <c r="K42" s="121">
        <f>INDEX(Risks!O$7:O$15,MATCH('Options Analysis'!$C42,Risks!$B$7:$B$15,0))*10^-6*esc_24_26</f>
        <v>-0.16536715502198299</v>
      </c>
      <c r="L42" s="121">
        <f>INDEX(Risks!P$7:P$15,MATCH('Options Analysis'!$C42,Risks!$B$7:$B$15,0))*10^-6*esc_24_26</f>
        <v>-0.16867973009276832</v>
      </c>
      <c r="M42" s="121">
        <f>INDEX(Risks!Q$7:Q$15,MATCH('Options Analysis'!$C42,Risks!$B$7:$B$15,0))*10^-6*esc_24_26</f>
        <v>-0.172058661469908</v>
      </c>
      <c r="N42" s="121">
        <f>INDEX(Risks!R$7:R$15,MATCH('Options Analysis'!$C42,Risks!$B$7:$B$15,0))*10^-6*esc_24_26</f>
        <v>-0.17550527837894378</v>
      </c>
      <c r="O42" s="121">
        <f>INDEX(Risks!S$7:S$15,MATCH('Options Analysis'!$C42,Risks!$B$7:$B$15,0))*10^-6*esc_24_26</f>
        <v>-0.17902093667198293</v>
      </c>
      <c r="P42" s="121">
        <f>INDEX(Risks!T$7:T$15,MATCH('Options Analysis'!$C42,Risks!$B$7:$B$15,0))*10^-6*esc_24_26</f>
        <v>-0.18260701936107207</v>
      </c>
      <c r="Q42" s="121">
        <f>INDEX(Risks!U$7:U$15,MATCH('Options Analysis'!$C42,Risks!$B$7:$B$15,0))*10^-6*esc_24_26</f>
        <v>-0.18626493716225509</v>
      </c>
      <c r="R42" s="121">
        <f>INDEX(Risks!V$7:V$15,MATCH('Options Analysis'!$C42,Risks!$B$7:$B$15,0))*10^-6*esc_24_26</f>
        <v>-0.18999612905052973</v>
      </c>
      <c r="S42" s="121">
        <f>INDEX(Risks!W$7:W$15,MATCH('Options Analysis'!$C42,Risks!$B$7:$B$15,0))*10^-6*esc_24_26</f>
        <v>-0.1938020628259208</v>
      </c>
      <c r="T42" s="121">
        <f>INDEX(Risks!X$7:X$15,MATCH('Options Analysis'!$C42,Risks!$B$7:$B$15,0))*10^-6*esc_24_26</f>
        <v>-0.19768423569089252</v>
      </c>
      <c r="U42" s="121">
        <f>INDEX(Risks!Y$7:Y$15,MATCH('Options Analysis'!$C42,Risks!$B$7:$B$15,0))*10^-6*esc_24_26</f>
        <v>-0.2016441748393277</v>
      </c>
      <c r="V42" s="121">
        <f>INDEX(Risks!Z$7:Z$15,MATCH('Options Analysis'!$C42,Risks!$B$7:$B$15,0))*10^-6*esc_24_26</f>
        <v>-0.20568343805730493</v>
      </c>
      <c r="W42" s="121">
        <f>INDEX(Risks!AA$7:AA$15,MATCH('Options Analysis'!$C42,Risks!$B$7:$B$15,0))*10^-6*esc_24_26</f>
        <v>-0.20980361433591041</v>
      </c>
      <c r="X42" s="121">
        <f>INDEX(Risks!AB$7:AB$15,MATCH('Options Analysis'!$C42,Risks!$B$7:$B$15,0))*10^-6*esc_24_26</f>
        <v>-0.21400632449632528</v>
      </c>
      <c r="Y42" s="121">
        <f>INDEX(Risks!AC$7:AC$15,MATCH('Options Analysis'!$C42,Risks!$B$7:$B$15,0))*10^-6*esc_24_26</f>
        <v>-0.21829322182743488</v>
      </c>
      <c r="Z42" s="121">
        <f>INDEX(Risks!AD$7:AD$15,MATCH('Options Analysis'!$C42,Risks!$B$7:$B$15,0))*10^-6*esc_24_26</f>
        <v>-0.22266599273620963</v>
      </c>
      <c r="AA42" s="121">
        <f>INDEX(Risks!AE$7:AE$15,MATCH('Options Analysis'!$C42,Risks!$B$7:$B$15,0))*10^-6*esc_24_26</f>
        <v>-0.22712635741111487</v>
      </c>
      <c r="AB42" s="121">
        <f>INDEX(Risks!AF$7:AF$15,MATCH('Options Analysis'!$C42,Risks!$B$7:$B$15,0))*10^-6*esc_24_26</f>
        <v>-0.23167607049880948</v>
      </c>
      <c r="AC42" s="121">
        <f>INDEX(Risks!AG$7:AG$15,MATCH('Options Analysis'!$C42,Risks!$B$7:$B$15,0))*10^-6*esc_24_26</f>
        <v>-0.23631692179439981</v>
      </c>
    </row>
    <row r="43" spans="2:29" x14ac:dyDescent="0.3">
      <c r="B43" s="122" t="s">
        <v>194</v>
      </c>
      <c r="C43" s="122"/>
      <c r="D43" s="122"/>
      <c r="E43" s="123">
        <f>SUM(E35:E42)</f>
        <v>0</v>
      </c>
      <c r="F43" s="123">
        <f t="shared" ref="F43:AC43" si="2">SUM(F35:F42)</f>
        <v>0</v>
      </c>
      <c r="G43" s="123">
        <f t="shared" si="2"/>
        <v>0</v>
      </c>
      <c r="H43" s="123">
        <f t="shared" si="2"/>
        <v>5.085382708172328</v>
      </c>
      <c r="I43" s="123">
        <f t="shared" si="2"/>
        <v>5.1292577081939417</v>
      </c>
      <c r="J43" s="123">
        <f t="shared" si="2"/>
        <v>5.1737089430841223</v>
      </c>
      <c r="K43" s="123">
        <f t="shared" si="2"/>
        <v>5.218744929238742</v>
      </c>
      <c r="L43" s="123">
        <f t="shared" si="2"/>
        <v>5.2643743233857023</v>
      </c>
      <c r="M43" s="123">
        <f t="shared" si="2"/>
        <v>5.3106059250933733</v>
      </c>
      <c r="N43" s="123">
        <f t="shared" si="2"/>
        <v>5.357448679326235</v>
      </c>
      <c r="O43" s="123">
        <f t="shared" si="2"/>
        <v>5.4049116790486709</v>
      </c>
      <c r="P43" s="123">
        <f t="shared" si="2"/>
        <v>5.4530041678778121</v>
      </c>
      <c r="Q43" s="123">
        <f t="shared" si="2"/>
        <v>5.5017355427864283</v>
      </c>
      <c r="R43" s="123">
        <f t="shared" si="2"/>
        <v>5.5511153568567932</v>
      </c>
      <c r="S43" s="123">
        <f t="shared" si="2"/>
        <v>5.6011533220865459</v>
      </c>
      <c r="T43" s="123">
        <f t="shared" si="2"/>
        <v>5.6518593122475389</v>
      </c>
      <c r="U43" s="123">
        <f t="shared" si="2"/>
        <v>5.7032433657987092</v>
      </c>
      <c r="V43" s="123">
        <f t="shared" si="2"/>
        <v>5.7553156888540276</v>
      </c>
      <c r="W43" s="123">
        <f t="shared" si="2"/>
        <v>5.8080866582065802</v>
      </c>
      <c r="X43" s="123">
        <f t="shared" si="2"/>
        <v>5.8615668244098922</v>
      </c>
      <c r="Y43" s="123">
        <f t="shared" si="2"/>
        <v>5.9157669149176</v>
      </c>
      <c r="Z43" s="123">
        <f t="shared" si="2"/>
        <v>5.9706978372825983</v>
      </c>
      <c r="AA43" s="123">
        <f t="shared" si="2"/>
        <v>6.0263706824168359</v>
      </c>
      <c r="AB43" s="123">
        <f t="shared" si="2"/>
        <v>6.082796727912922</v>
      </c>
      <c r="AC43" s="123">
        <f t="shared" si="2"/>
        <v>6.1399874414287652</v>
      </c>
    </row>
    <row r="45" spans="2:29" x14ac:dyDescent="0.3">
      <c r="B45" s="119" t="str">
        <f>"Total cost of "&amp;INDEX('Reg Assumptions '!$C$14:$C$16,MATCH(B27,'Reg Assumptions '!$B$14:$B$16,0))</f>
        <v>Total cost of Partial remediation</v>
      </c>
      <c r="C45" s="107"/>
      <c r="D45" s="107"/>
      <c r="E45" s="123">
        <f>E32+E43</f>
        <v>0</v>
      </c>
      <c r="F45" s="123">
        <f t="shared" ref="F45:AC45" si="3">F32+F43</f>
        <v>-19.543858983721854</v>
      </c>
      <c r="G45" s="123">
        <f t="shared" si="3"/>
        <v>-41.348674473598187</v>
      </c>
      <c r="H45" s="123">
        <f t="shared" si="3"/>
        <v>5.085382708172328</v>
      </c>
      <c r="I45" s="123">
        <f t="shared" si="3"/>
        <v>5.1292577081939417</v>
      </c>
      <c r="J45" s="123">
        <f t="shared" si="3"/>
        <v>5.1737089430841223</v>
      </c>
      <c r="K45" s="123">
        <f t="shared" si="3"/>
        <v>5.218744929238742</v>
      </c>
      <c r="L45" s="123">
        <f t="shared" si="3"/>
        <v>5.2643743233857023</v>
      </c>
      <c r="M45" s="123">
        <f t="shared" si="3"/>
        <v>5.3106059250933733</v>
      </c>
      <c r="N45" s="123">
        <f t="shared" si="3"/>
        <v>5.357448679326235</v>
      </c>
      <c r="O45" s="123">
        <f t="shared" si="3"/>
        <v>5.4049116790486709</v>
      </c>
      <c r="P45" s="123">
        <f t="shared" si="3"/>
        <v>5.4530041678778121</v>
      </c>
      <c r="Q45" s="123">
        <f t="shared" si="3"/>
        <v>5.5017355427864283</v>
      </c>
      <c r="R45" s="123">
        <f t="shared" si="3"/>
        <v>5.5511153568567932</v>
      </c>
      <c r="S45" s="123">
        <f t="shared" si="3"/>
        <v>5.6011533220865459</v>
      </c>
      <c r="T45" s="123">
        <f t="shared" si="3"/>
        <v>5.6518593122475389</v>
      </c>
      <c r="U45" s="123">
        <f t="shared" si="3"/>
        <v>5.7032433657987092</v>
      </c>
      <c r="V45" s="123">
        <f t="shared" si="3"/>
        <v>5.7553156888540276</v>
      </c>
      <c r="W45" s="123">
        <f t="shared" si="3"/>
        <v>5.8080866582065802</v>
      </c>
      <c r="X45" s="123">
        <f t="shared" si="3"/>
        <v>5.8615668244098922</v>
      </c>
      <c r="Y45" s="123">
        <f t="shared" si="3"/>
        <v>5.9157669149176</v>
      </c>
      <c r="Z45" s="123">
        <f t="shared" si="3"/>
        <v>5.9706978372825983</v>
      </c>
      <c r="AA45" s="123">
        <f t="shared" si="3"/>
        <v>6.0263706824168359</v>
      </c>
      <c r="AB45" s="123">
        <f t="shared" si="3"/>
        <v>6.082796727912922</v>
      </c>
      <c r="AC45" s="123">
        <f t="shared" si="3"/>
        <v>6.1399874414287652</v>
      </c>
    </row>
    <row r="47" spans="2:29" x14ac:dyDescent="0.3">
      <c r="B47" s="71" t="s">
        <v>190</v>
      </c>
      <c r="C47" s="88">
        <f>NPV(real_disc,E32:AC32)</f>
        <v>-55.538536818259843</v>
      </c>
    </row>
    <row r="48" spans="2:29" x14ac:dyDescent="0.3">
      <c r="B48" s="71" t="s">
        <v>191</v>
      </c>
      <c r="C48" s="88">
        <f>NPV(real_disc,E43:AC43)</f>
        <v>75.52483018152995</v>
      </c>
    </row>
    <row r="49" spans="2:29" ht="13.5" thickBot="1" x14ac:dyDescent="0.35">
      <c r="B49" s="124" t="s">
        <v>184</v>
      </c>
      <c r="C49" s="125">
        <f>NPV(real_disc,E45:AC45)</f>
        <v>19.986293363270118</v>
      </c>
    </row>
    <row r="50" spans="2:29" ht="13.5" thickTop="1" x14ac:dyDescent="0.3"/>
    <row r="52" spans="2:29" x14ac:dyDescent="0.3">
      <c r="B52" s="38" t="s">
        <v>38</v>
      </c>
      <c r="C52" s="38" t="str">
        <f>INDEX('Reg Assumptions '!$C$14:$C$16,MATCH(B52,'Reg Assumptions '!$B$14:$B$16,0))</f>
        <v>Full remediation</v>
      </c>
      <c r="D52" s="38"/>
      <c r="E52" s="40" t="s">
        <v>22</v>
      </c>
      <c r="F52" s="40" t="s">
        <v>23</v>
      </c>
      <c r="G52" s="40" t="s">
        <v>24</v>
      </c>
      <c r="H52" s="40" t="s">
        <v>25</v>
      </c>
      <c r="I52" s="40" t="s">
        <v>26</v>
      </c>
      <c r="J52" s="40" t="s">
        <v>52</v>
      </c>
      <c r="K52" s="40" t="s">
        <v>53</v>
      </c>
      <c r="L52" s="40" t="s">
        <v>54</v>
      </c>
      <c r="M52" s="40" t="s">
        <v>55</v>
      </c>
      <c r="N52" s="40" t="s">
        <v>56</v>
      </c>
      <c r="O52" s="40" t="s">
        <v>57</v>
      </c>
      <c r="P52" s="40" t="s">
        <v>58</v>
      </c>
      <c r="Q52" s="40" t="s">
        <v>59</v>
      </c>
      <c r="R52" s="40" t="s">
        <v>60</v>
      </c>
      <c r="S52" s="40" t="s">
        <v>61</v>
      </c>
      <c r="T52" s="40" t="s">
        <v>62</v>
      </c>
      <c r="U52" s="40" t="s">
        <v>63</v>
      </c>
      <c r="V52" s="40" t="s">
        <v>64</v>
      </c>
      <c r="W52" s="40" t="s">
        <v>65</v>
      </c>
      <c r="X52" s="40" t="s">
        <v>66</v>
      </c>
      <c r="Y52" s="40" t="s">
        <v>67</v>
      </c>
      <c r="Z52" s="40" t="s">
        <v>68</v>
      </c>
      <c r="AA52" s="40" t="s">
        <v>69</v>
      </c>
      <c r="AB52" s="40" t="s">
        <v>70</v>
      </c>
      <c r="AC52" s="40" t="s">
        <v>71</v>
      </c>
    </row>
    <row r="54" spans="2:29" x14ac:dyDescent="0.3">
      <c r="B54" s="63" t="s">
        <v>188</v>
      </c>
      <c r="E54" s="121">
        <f>-Costs!J62*10^-6*esc_24_26</f>
        <v>0</v>
      </c>
      <c r="F54" s="121">
        <f>-Costs!K62*10^-6*esc_24_26</f>
        <v>-22.2359946754036</v>
      </c>
      <c r="G54" s="121">
        <f>-Costs!L62*10^-6*esc_24_26</f>
        <v>-39.774048150196123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</row>
    <row r="55" spans="2:29" x14ac:dyDescent="0.3">
      <c r="B55" s="63" t="s">
        <v>192</v>
      </c>
    </row>
    <row r="56" spans="2:29" x14ac:dyDescent="0.3">
      <c r="B56" s="110" t="s">
        <v>44</v>
      </c>
      <c r="C56" s="63" t="s">
        <v>80</v>
      </c>
      <c r="E56" s="121">
        <f>-INDEX(Risks!I$7:I$15,MATCH('Options Analysis'!$C56,Risks!$B$7:$B$15,0))*10^-6*esc_24_26</f>
        <v>0</v>
      </c>
      <c r="F56" s="121">
        <f>-INDEX(Risks!J$7:J$15,MATCH('Options Analysis'!$C56,Risks!$B$7:$B$15,0))*10^-6*esc_24_26</f>
        <v>-2.9113794830258168</v>
      </c>
      <c r="G56" s="121">
        <f>-INDEX(Risks!K$7:K$15,MATCH('Options Analysis'!$C56,Risks!$B$7:$B$15,0))*10^-6*esc_24_26</f>
        <v>-2.9113794830258168</v>
      </c>
      <c r="H56" s="121">
        <f>-INDEX(Risks!L$7:L$15,MATCH('Options Analysis'!$C56,Risks!$B$7:$B$15,0))*10^-6*esc_24_26</f>
        <v>0</v>
      </c>
      <c r="I56" s="121">
        <f>-INDEX(Risks!M$7:M$15,MATCH('Options Analysis'!$C56,Risks!$B$7:$B$15,0))*10^-6*esc_24_26</f>
        <v>0</v>
      </c>
      <c r="J56" s="121">
        <f>-INDEX(Risks!N$7:N$15,MATCH('Options Analysis'!$C56,Risks!$B$7:$B$15,0))*10^-6*esc_24_26</f>
        <v>0</v>
      </c>
      <c r="K56" s="121">
        <f>-INDEX(Risks!O$7:O$15,MATCH('Options Analysis'!$C56,Risks!$B$7:$B$15,0))*10^-6*esc_24_26</f>
        <v>0</v>
      </c>
      <c r="L56" s="121">
        <f>-INDEX(Risks!P$7:P$15,MATCH('Options Analysis'!$C56,Risks!$B$7:$B$15,0))*10^-6*esc_24_26</f>
        <v>0</v>
      </c>
      <c r="M56" s="121">
        <f>-INDEX(Risks!Q$7:Q$15,MATCH('Options Analysis'!$C56,Risks!$B$7:$B$15,0))*10^-6*esc_24_26</f>
        <v>0</v>
      </c>
      <c r="N56" s="121">
        <f>-INDEX(Risks!R$7:R$15,MATCH('Options Analysis'!$C56,Risks!$B$7:$B$15,0))*10^-6*esc_24_26</f>
        <v>0</v>
      </c>
      <c r="O56" s="121">
        <f>-INDEX(Risks!S$7:S$15,MATCH('Options Analysis'!$C56,Risks!$B$7:$B$15,0))*10^-6*esc_24_26</f>
        <v>0</v>
      </c>
      <c r="P56" s="121">
        <f>-INDEX(Risks!T$7:T$15,MATCH('Options Analysis'!$C56,Risks!$B$7:$B$15,0))*10^-6*esc_24_26</f>
        <v>0</v>
      </c>
      <c r="Q56" s="121">
        <f>-INDEX(Risks!U$7:U$15,MATCH('Options Analysis'!$C56,Risks!$B$7:$B$15,0))*10^-6*esc_24_26</f>
        <v>0</v>
      </c>
      <c r="R56" s="121">
        <f>-INDEX(Risks!V$7:V$15,MATCH('Options Analysis'!$C56,Risks!$B$7:$B$15,0))*10^-6*esc_24_26</f>
        <v>0</v>
      </c>
      <c r="S56" s="121">
        <f>-INDEX(Risks!W$7:W$15,MATCH('Options Analysis'!$C56,Risks!$B$7:$B$15,0))*10^-6*esc_24_26</f>
        <v>0</v>
      </c>
      <c r="T56" s="121">
        <f>-INDEX(Risks!X$7:X$15,MATCH('Options Analysis'!$C56,Risks!$B$7:$B$15,0))*10^-6*esc_24_26</f>
        <v>0</v>
      </c>
      <c r="U56" s="121">
        <f>-INDEX(Risks!Y$7:Y$15,MATCH('Options Analysis'!$C56,Risks!$B$7:$B$15,0))*10^-6*esc_24_26</f>
        <v>0</v>
      </c>
      <c r="V56" s="121">
        <f>-INDEX(Risks!Z$7:Z$15,MATCH('Options Analysis'!$C56,Risks!$B$7:$B$15,0))*10^-6*esc_24_26</f>
        <v>0</v>
      </c>
      <c r="W56" s="121">
        <f>-INDEX(Risks!AA$7:AA$15,MATCH('Options Analysis'!$C56,Risks!$B$7:$B$15,0))*10^-6*esc_24_26</f>
        <v>0</v>
      </c>
      <c r="X56" s="121">
        <f>-INDEX(Risks!AB$7:AB$15,MATCH('Options Analysis'!$C56,Risks!$B$7:$B$15,0))*10^-6*esc_24_26</f>
        <v>0</v>
      </c>
      <c r="Y56" s="121">
        <f>-INDEX(Risks!AC$7:AC$15,MATCH('Options Analysis'!$C56,Risks!$B$7:$B$15,0))*10^-6*esc_24_26</f>
        <v>0</v>
      </c>
      <c r="Z56" s="121">
        <f>-INDEX(Risks!AD$7:AD$15,MATCH('Options Analysis'!$C56,Risks!$B$7:$B$15,0))*10^-6*esc_24_26</f>
        <v>0</v>
      </c>
      <c r="AA56" s="121">
        <f>-INDEX(Risks!AE$7:AE$15,MATCH('Options Analysis'!$C56,Risks!$B$7:$B$15,0))*10^-6*esc_24_26</f>
        <v>0</v>
      </c>
      <c r="AB56" s="121">
        <f>-INDEX(Risks!AF$7:AF$15,MATCH('Options Analysis'!$C56,Risks!$B$7:$B$15,0))*10^-6*esc_24_26</f>
        <v>0</v>
      </c>
      <c r="AC56" s="121">
        <f>-INDEX(Risks!AG$7:AG$15,MATCH('Options Analysis'!$C56,Risks!$B$7:$B$15,0))*10^-6*esc_24_26</f>
        <v>0</v>
      </c>
    </row>
    <row r="57" spans="2:29" x14ac:dyDescent="0.3">
      <c r="B57" s="122" t="s">
        <v>193</v>
      </c>
      <c r="C57" s="122"/>
      <c r="D57" s="122"/>
      <c r="E57" s="123">
        <f>E54+E56</f>
        <v>0</v>
      </c>
      <c r="F57" s="123">
        <f t="shared" ref="F57" si="4">F54+F56</f>
        <v>-25.147374158429415</v>
      </c>
      <c r="G57" s="123">
        <f t="shared" ref="G57" si="5">G54+G56</f>
        <v>-42.685427633221941</v>
      </c>
      <c r="H57" s="123">
        <f t="shared" ref="H57" si="6">H54+H56</f>
        <v>0</v>
      </c>
      <c r="I57" s="123">
        <f t="shared" ref="I57" si="7">I54+I56</f>
        <v>0</v>
      </c>
      <c r="J57" s="123">
        <f t="shared" ref="J57" si="8">J54+J56</f>
        <v>0</v>
      </c>
      <c r="K57" s="123">
        <f t="shared" ref="K57" si="9">K54+K56</f>
        <v>0</v>
      </c>
      <c r="L57" s="123">
        <f t="shared" ref="L57" si="10">L54+L56</f>
        <v>0</v>
      </c>
      <c r="M57" s="123">
        <f t="shared" ref="M57" si="11">M54+M56</f>
        <v>0</v>
      </c>
      <c r="N57" s="123">
        <f t="shared" ref="N57" si="12">N54+N56</f>
        <v>0</v>
      </c>
      <c r="O57" s="123">
        <f t="shared" ref="O57" si="13">O54+O56</f>
        <v>0</v>
      </c>
      <c r="P57" s="123">
        <f t="shared" ref="P57" si="14">P54+P56</f>
        <v>0</v>
      </c>
      <c r="Q57" s="123">
        <f t="shared" ref="Q57" si="15">Q54+Q56</f>
        <v>0</v>
      </c>
      <c r="R57" s="123">
        <f t="shared" ref="R57" si="16">R54+R56</f>
        <v>0</v>
      </c>
      <c r="S57" s="123">
        <f t="shared" ref="S57" si="17">S54+S56</f>
        <v>0</v>
      </c>
      <c r="T57" s="123">
        <f t="shared" ref="T57" si="18">T54+T56</f>
        <v>0</v>
      </c>
      <c r="U57" s="123">
        <f t="shared" ref="U57" si="19">U54+U56</f>
        <v>0</v>
      </c>
      <c r="V57" s="123">
        <f t="shared" ref="V57" si="20">V54+V56</f>
        <v>0</v>
      </c>
      <c r="W57" s="123">
        <f t="shared" ref="W57" si="21">W54+W56</f>
        <v>0</v>
      </c>
      <c r="X57" s="123">
        <f t="shared" ref="X57" si="22">X54+X56</f>
        <v>0</v>
      </c>
      <c r="Y57" s="123">
        <f t="shared" ref="Y57" si="23">Y54+Y56</f>
        <v>0</v>
      </c>
      <c r="Z57" s="123">
        <f t="shared" ref="Z57" si="24">Z54+Z56</f>
        <v>0</v>
      </c>
      <c r="AA57" s="123">
        <f t="shared" ref="AA57" si="25">AA54+AA56</f>
        <v>0</v>
      </c>
      <c r="AB57" s="123">
        <f t="shared" ref="AB57" si="26">AB54+AB56</f>
        <v>0</v>
      </c>
      <c r="AC57" s="123">
        <f t="shared" ref="AC57" si="27">AC54+AC56</f>
        <v>0</v>
      </c>
    </row>
    <row r="59" spans="2:29" x14ac:dyDescent="0.3">
      <c r="B59" s="63" t="s">
        <v>189</v>
      </c>
    </row>
    <row r="60" spans="2:29" x14ac:dyDescent="0.3">
      <c r="B60" s="110" t="s">
        <v>44</v>
      </c>
      <c r="C60" s="63" t="s">
        <v>74</v>
      </c>
      <c r="E60" s="121">
        <f>INDEX(Risks!I$7:I$15,MATCH('Options Analysis'!$C60,Risks!$B$7:$B$15,0))*10^-6*esc_24_26</f>
        <v>0</v>
      </c>
      <c r="F60" s="121">
        <f>INDEX(Risks!J$7:J$15,MATCH('Options Analysis'!$C60,Risks!$B$7:$B$15,0))*10^-6*esc_24_26</f>
        <v>0</v>
      </c>
      <c r="G60" s="121">
        <f>INDEX(Risks!K$7:K$15,MATCH('Options Analysis'!$C60,Risks!$B$7:$B$15,0))*10^-6*esc_24_26</f>
        <v>0</v>
      </c>
      <c r="H60" s="121">
        <f>INDEX(Risks!L$7:L$15,MATCH('Options Analysis'!$C60,Risks!$B$7:$B$15,0))*10^-6*esc_24_26</f>
        <v>1.7293169333855862</v>
      </c>
      <c r="I60" s="121">
        <f>INDEX(Risks!M$7:M$15,MATCH('Options Analysis'!$C60,Risks!$B$7:$B$15,0))*10^-6*esc_24_26</f>
        <v>1.7490582204439535</v>
      </c>
      <c r="J60" s="121">
        <f>INDEX(Risks!N$7:N$15,MATCH('Options Analysis'!$C60,Risks!$B$7:$B$15,0))*10^-6*esc_24_26</f>
        <v>1.7690571069141041</v>
      </c>
      <c r="K60" s="121">
        <f>INDEX(Risks!O$7:O$15,MATCH('Options Analysis'!$C60,Risks!$B$7:$B$15,0))*10^-6*esc_24_26</f>
        <v>1.7893173744251927</v>
      </c>
      <c r="L60" s="121">
        <f>INDEX(Risks!P$7:P$15,MATCH('Options Analysis'!$C60,Risks!$B$7:$B$15,0))*10^-6*esc_24_26</f>
        <v>1.80984286657351</v>
      </c>
      <c r="M60" s="121">
        <f>INDEX(Risks!Q$7:Q$15,MATCH('Options Analysis'!$C60,Risks!$B$7:$B$15,0))*10^-6*esc_24_26</f>
        <v>1.8306374900259357</v>
      </c>
      <c r="N60" s="121">
        <f>INDEX(Risks!R$7:R$15,MATCH('Options Analysis'!$C60,Risks!$B$7:$B$15,0))*10^-6*esc_24_26</f>
        <v>1.8517052156441174</v>
      </c>
      <c r="O60" s="121">
        <f>INDEX(Risks!S$7:S$15,MATCH('Options Analysis'!$C60,Risks!$B$7:$B$15,0))*10^-6*esc_24_26</f>
        <v>1.8730500796297747</v>
      </c>
      <c r="P60" s="121">
        <f>INDEX(Risks!T$7:T$15,MATCH('Options Analysis'!$C60,Risks!$B$7:$B$15,0))*10^-6*esc_24_26</f>
        <v>1.8946761846915374</v>
      </c>
      <c r="Q60" s="121">
        <f>INDEX(Risks!U$7:U$15,MATCH('Options Analysis'!$C60,Risks!$B$7:$B$15,0))*10^-6*esc_24_26</f>
        <v>1.916587701233744</v>
      </c>
      <c r="R60" s="121">
        <f>INDEX(Risks!V$7:V$15,MATCH('Options Analysis'!$C60,Risks!$B$7:$B$15,0))*10^-6*esc_24_26</f>
        <v>1.938788868567612</v>
      </c>
      <c r="S60" s="121">
        <f>INDEX(Risks!W$7:W$15,MATCH('Options Analysis'!$C60,Risks!$B$7:$B$15,0))*10^-6*esc_24_26</f>
        <v>1.9612839961452242</v>
      </c>
      <c r="T60" s="121">
        <f>INDEX(Risks!X$7:X$15,MATCH('Options Analysis'!$C60,Risks!$B$7:$B$15,0))*10^-6*esc_24_26</f>
        <v>1.9840774648167725</v>
      </c>
      <c r="U60" s="121">
        <f>INDEX(Risks!Y$7:Y$15,MATCH('Options Analysis'!$C60,Risks!$B$7:$B$15,0))*10^-6*esc_24_26</f>
        <v>2.0071737281115034</v>
      </c>
      <c r="V60" s="121">
        <f>INDEX(Risks!Z$7:Z$15,MATCH('Options Analysis'!$C60,Risks!$B$7:$B$15,0))*10^-6*esc_24_26</f>
        <v>2.0305773135428349</v>
      </c>
      <c r="W60" s="121">
        <f>INDEX(Risks!AA$7:AA$15,MATCH('Options Analysis'!$C60,Risks!$B$7:$B$15,0))*10^-6*esc_24_26</f>
        <v>2.0542928239381077</v>
      </c>
      <c r="X60" s="121">
        <f>INDEX(Risks!AB$7:AB$15,MATCH('Options Analysis'!$C60,Risks!$B$7:$B$15,0))*10^-6*esc_24_26</f>
        <v>2.0783249387934486</v>
      </c>
      <c r="Y60" s="121">
        <f>INDEX(Risks!AC$7:AC$15,MATCH('Options Analysis'!$C60,Risks!$B$7:$B$15,0))*10^-6*esc_24_26</f>
        <v>2.1026784156542395</v>
      </c>
      <c r="Z60" s="121">
        <f>INDEX(Risks!AD$7:AD$15,MATCH('Options Analysis'!$C60,Risks!$B$7:$B$15,0))*10^-6*esc_24_26</f>
        <v>2.1273580915216854</v>
      </c>
      <c r="AA60" s="121">
        <f>INDEX(Risks!AE$7:AE$15,MATCH('Options Analysis'!$C60,Risks!$B$7:$B$15,0))*10^-6*esc_24_26</f>
        <v>2.1523688842859863</v>
      </c>
      <c r="AB60" s="121">
        <f>INDEX(Risks!AF$7:AF$15,MATCH('Options Analysis'!$C60,Risks!$B$7:$B$15,0))*10^-6*esc_24_26</f>
        <v>2.1777157941866387</v>
      </c>
      <c r="AC60" s="121">
        <f>INDEX(Risks!AG$7:AG$15,MATCH('Options Analysis'!$C60,Risks!$B$7:$B$15,0))*10^-6*esc_24_26</f>
        <v>2.2034039053003833</v>
      </c>
    </row>
    <row r="61" spans="2:29" x14ac:dyDescent="0.3">
      <c r="B61" s="110" t="s">
        <v>44</v>
      </c>
      <c r="C61" s="63" t="s">
        <v>75</v>
      </c>
      <c r="E61" s="121">
        <f>INDEX(Risks!I$7:I$15,MATCH('Options Analysis'!$C61,Risks!$B$7:$B$15,0))*10^-6*esc_24_26</f>
        <v>0</v>
      </c>
      <c r="F61" s="121">
        <f>INDEX(Risks!J$7:J$15,MATCH('Options Analysis'!$C61,Risks!$B$7:$B$15,0))*10^-6*esc_24_26</f>
        <v>0</v>
      </c>
      <c r="G61" s="121">
        <f>INDEX(Risks!K$7:K$15,MATCH('Options Analysis'!$C61,Risks!$B$7:$B$15,0))*10^-6*esc_24_26</f>
        <v>0</v>
      </c>
      <c r="H61" s="121">
        <f>INDEX(Risks!L$7:L$15,MATCH('Options Analysis'!$C61,Risks!$B$7:$B$15,0))*10^-6*esc_24_26</f>
        <v>1.5424086835590416</v>
      </c>
      <c r="I61" s="121">
        <f>INDEX(Risks!M$7:M$15,MATCH('Options Analysis'!$C61,Risks!$B$7:$B$15,0))*10^-6*esc_24_26</f>
        <v>1.5578327703946317</v>
      </c>
      <c r="J61" s="121">
        <f>INDEX(Risks!N$7:N$15,MATCH('Options Analysis'!$C61,Risks!$B$7:$B$15,0))*10^-6*esc_24_26</f>
        <v>1.573411098098578</v>
      </c>
      <c r="K61" s="121">
        <f>INDEX(Risks!O$7:O$15,MATCH('Options Analysis'!$C61,Risks!$B$7:$B$15,0))*10^-6*esc_24_26</f>
        <v>1.5891452090795637</v>
      </c>
      <c r="L61" s="121">
        <f>INDEX(Risks!P$7:P$15,MATCH('Options Analysis'!$C61,Risks!$B$7:$B$15,0))*10^-6*esc_24_26</f>
        <v>1.6050366611703597</v>
      </c>
      <c r="M61" s="121">
        <f>INDEX(Risks!Q$7:Q$15,MATCH('Options Analysis'!$C61,Risks!$B$7:$B$15,0))*10^-6*esc_24_26</f>
        <v>1.6210870277820633</v>
      </c>
      <c r="N61" s="121">
        <f>INDEX(Risks!R$7:R$15,MATCH('Options Analysis'!$C61,Risks!$B$7:$B$15,0))*10^-6*esc_24_26</f>
        <v>1.637297898059884</v>
      </c>
      <c r="O61" s="121">
        <f>INDEX(Risks!S$7:S$15,MATCH('Options Analysis'!$C61,Risks!$B$7:$B$15,0))*10^-6*esc_24_26</f>
        <v>1.6536708770404827</v>
      </c>
      <c r="P61" s="121">
        <f>INDEX(Risks!T$7:T$15,MATCH('Options Analysis'!$C61,Risks!$B$7:$B$15,0))*10^-6*esc_24_26</f>
        <v>1.6702075858108876</v>
      </c>
      <c r="Q61" s="121">
        <f>INDEX(Risks!U$7:U$15,MATCH('Options Analysis'!$C61,Risks!$B$7:$B$15,0))*10^-6*esc_24_26</f>
        <v>1.6869096616689963</v>
      </c>
      <c r="R61" s="121">
        <f>INDEX(Risks!V$7:V$15,MATCH('Options Analysis'!$C61,Risks!$B$7:$B$15,0))*10^-6*esc_24_26</f>
        <v>1.7037787582856863</v>
      </c>
      <c r="S61" s="121">
        <f>INDEX(Risks!W$7:W$15,MATCH('Options Analysis'!$C61,Risks!$B$7:$B$15,0))*10^-6*esc_24_26</f>
        <v>1.7208165458685432</v>
      </c>
      <c r="T61" s="121">
        <f>INDEX(Risks!X$7:X$15,MATCH('Options Analysis'!$C61,Risks!$B$7:$B$15,0))*10^-6*esc_24_26</f>
        <v>1.7380247113272289</v>
      </c>
      <c r="U61" s="121">
        <f>INDEX(Risks!Y$7:Y$15,MATCH('Options Analysis'!$C61,Risks!$B$7:$B$15,0))*10^-6*esc_24_26</f>
        <v>1.7554049584405009</v>
      </c>
      <c r="V61" s="121">
        <f>INDEX(Risks!Z$7:Z$15,MATCH('Options Analysis'!$C61,Risks!$B$7:$B$15,0))*10^-6*esc_24_26</f>
        <v>1.772959008024906</v>
      </c>
      <c r="W61" s="121">
        <f>INDEX(Risks!AA$7:AA$15,MATCH('Options Analysis'!$C61,Risks!$B$7:$B$15,0))*10^-6*esc_24_26</f>
        <v>1.790688598105155</v>
      </c>
      <c r="X61" s="121">
        <f>INDEX(Risks!AB$7:AB$15,MATCH('Options Analysis'!$C61,Risks!$B$7:$B$15,0))*10^-6*esc_24_26</f>
        <v>1.8085954840862066</v>
      </c>
      <c r="Y61" s="121">
        <f>INDEX(Risks!AC$7:AC$15,MATCH('Options Analysis'!$C61,Risks!$B$7:$B$15,0))*10^-6*esc_24_26</f>
        <v>1.8266814389270689</v>
      </c>
      <c r="Z61" s="121">
        <f>INDEX(Risks!AD$7:AD$15,MATCH('Options Analysis'!$C61,Risks!$B$7:$B$15,0))*10^-6*esc_24_26</f>
        <v>1.8449482533163393</v>
      </c>
      <c r="AA61" s="121">
        <f>INDEX(Risks!AE$7:AE$15,MATCH('Options Analysis'!$C61,Risks!$B$7:$B$15,0))*10^-6*esc_24_26</f>
        <v>1.8633977358495029</v>
      </c>
      <c r="AB61" s="121">
        <f>INDEX(Risks!AF$7:AF$15,MATCH('Options Analysis'!$C61,Risks!$B$7:$B$15,0))*10^-6*esc_24_26</f>
        <v>1.882031713207998</v>
      </c>
      <c r="AC61" s="121">
        <f>INDEX(Risks!AG$7:AG$15,MATCH('Options Analysis'!$C61,Risks!$B$7:$B$15,0))*10^-6*esc_24_26</f>
        <v>1.900852030340078</v>
      </c>
    </row>
    <row r="62" spans="2:29" x14ac:dyDescent="0.3">
      <c r="B62" s="110" t="s">
        <v>44</v>
      </c>
      <c r="C62" s="63" t="s">
        <v>73</v>
      </c>
      <c r="E62" s="121">
        <f>INDEX(Risks!I$7:I$15,MATCH('Options Analysis'!$C62,Risks!$B$7:$B$15,0))*10^-6*esc_24_26</f>
        <v>0</v>
      </c>
      <c r="F62" s="121">
        <f>INDEX(Risks!J$7:J$15,MATCH('Options Analysis'!$C62,Risks!$B$7:$B$15,0))*10^-6*esc_24_26</f>
        <v>0</v>
      </c>
      <c r="G62" s="121">
        <f>INDEX(Risks!K$7:K$15,MATCH('Options Analysis'!$C62,Risks!$B$7:$B$15,0))*10^-6*esc_24_26</f>
        <v>0</v>
      </c>
      <c r="H62" s="121">
        <f>INDEX(Risks!L$7:L$15,MATCH('Options Analysis'!$C62,Risks!$B$7:$B$15,0))*10^-6*esc_24_26</f>
        <v>0.5404788441922963</v>
      </c>
      <c r="I62" s="121">
        <f>INDEX(Risks!M$7:M$15,MATCH('Options Analysis'!$C62,Risks!$B$7:$B$15,0))*10^-6*esc_24_26</f>
        <v>0.55130552102132113</v>
      </c>
      <c r="J62" s="121">
        <f>INDEX(Risks!N$7:N$15,MATCH('Options Analysis'!$C62,Risks!$B$7:$B$15,0))*10^-6*esc_24_26</f>
        <v>0.56234907392684697</v>
      </c>
      <c r="K62" s="121">
        <f>INDEX(Risks!O$7:O$15,MATCH('Options Analysis'!$C62,Risks!$B$7:$B$15,0))*10^-6*esc_24_26</f>
        <v>0.57361384729203924</v>
      </c>
      <c r="L62" s="121">
        <f>INDEX(Risks!P$7:P$15,MATCH('Options Analysis'!$C62,Risks!$B$7:$B$15,0))*10^-6*esc_24_26</f>
        <v>0.5851042725251776</v>
      </c>
      <c r="M62" s="121">
        <f>INDEX(Risks!Q$7:Q$15,MATCH('Options Analysis'!$C62,Risks!$B$7:$B$15,0))*10^-6*esc_24_26</f>
        <v>0.59682486980290916</v>
      </c>
      <c r="N62" s="121">
        <f>INDEX(Risks!R$7:R$15,MATCH('Options Analysis'!$C62,Risks!$B$7:$B$15,0))*10^-6*esc_24_26</f>
        <v>0.60878024984842671</v>
      </c>
      <c r="O62" s="121">
        <f>INDEX(Risks!S$7:S$15,MATCH('Options Analysis'!$C62,Risks!$B$7:$B$15,0))*10^-6*esc_24_26</f>
        <v>0.62097511574526265</v>
      </c>
      <c r="P62" s="121">
        <f>INDEX(Risks!T$7:T$15,MATCH('Options Analysis'!$C62,Risks!$B$7:$B$15,0))*10^-6*esc_24_26</f>
        <v>0.6334142647874188</v>
      </c>
      <c r="Q62" s="121">
        <f>INDEX(Risks!U$7:U$15,MATCH('Options Analysis'!$C62,Risks!$B$7:$B$15,0))*10^-6*esc_24_26</f>
        <v>0.64610259036655637</v>
      </c>
      <c r="R62" s="121">
        <f>INDEX(Risks!V$7:V$15,MATCH('Options Analysis'!$C62,Risks!$B$7:$B$15,0))*10^-6*esc_24_26</f>
        <v>0.65904508389698901</v>
      </c>
      <c r="S62" s="121">
        <f>INDEX(Risks!W$7:W$15,MATCH('Options Analysis'!$C62,Risks!$B$7:$B$15,0))*10^-6*esc_24_26</f>
        <v>0.67224683677923791</v>
      </c>
      <c r="T62" s="121">
        <f>INDEX(Risks!X$7:X$15,MATCH('Options Analysis'!$C62,Risks!$B$7:$B$15,0))*10^-6*esc_24_26</f>
        <v>0.6857130424029193</v>
      </c>
      <c r="U62" s="121">
        <f>INDEX(Risks!Y$7:Y$15,MATCH('Options Analysis'!$C62,Risks!$B$7:$B$15,0))*10^-6*esc_24_26</f>
        <v>0.69944899818975192</v>
      </c>
      <c r="V62" s="121">
        <f>INDEX(Risks!Z$7:Z$15,MATCH('Options Analysis'!$C62,Risks!$B$7:$B$15,0))*10^-6*esc_24_26</f>
        <v>0.71346010767749235</v>
      </c>
      <c r="W62" s="121">
        <f>INDEX(Risks!AA$7:AA$15,MATCH('Options Analysis'!$C62,Risks!$B$7:$B$15,0))*10^-6*esc_24_26</f>
        <v>0.72775188264561153</v>
      </c>
      <c r="X62" s="121">
        <f>INDEX(Risks!AB$7:AB$15,MATCH('Options Analysis'!$C62,Risks!$B$7:$B$15,0))*10^-6*esc_24_26</f>
        <v>0.74232994528355478</v>
      </c>
      <c r="Y62" s="121">
        <f>INDEX(Risks!AC$7:AC$15,MATCH('Options Analysis'!$C62,Risks!$B$7:$B$15,0))*10^-6*esc_24_26</f>
        <v>0.75720003040243378</v>
      </c>
      <c r="Z62" s="121">
        <f>INDEX(Risks!AD$7:AD$15,MATCH('Options Analysis'!$C62,Risks!$B$7:$B$15,0))*10^-6*esc_24_26</f>
        <v>0.77236798769102322</v>
      </c>
      <c r="AA62" s="121">
        <f>INDEX(Risks!AE$7:AE$15,MATCH('Options Analysis'!$C62,Risks!$B$7:$B$15,0))*10^-6*esc_24_26</f>
        <v>0.78783978401694899</v>
      </c>
      <c r="AB62" s="121">
        <f>INDEX(Risks!AF$7:AF$15,MATCH('Options Analysis'!$C62,Risks!$B$7:$B$15,0))*10^-6*esc_24_26</f>
        <v>0.80362150577397218</v>
      </c>
      <c r="AC62" s="121">
        <f>INDEX(Risks!AG$7:AG$15,MATCH('Options Analysis'!$C62,Risks!$B$7:$B$15,0))*10^-6*esc_24_26</f>
        <v>0.81971936127629341</v>
      </c>
    </row>
    <row r="63" spans="2:29" x14ac:dyDescent="0.3">
      <c r="B63" s="110" t="s">
        <v>44</v>
      </c>
      <c r="C63" s="63" t="s">
        <v>147</v>
      </c>
      <c r="E63" s="121">
        <f>INDEX(Risks!I$7:I$15,MATCH('Options Analysis'!$C63,Risks!$B$7:$B$15,0))*10^-6*esc_24_26</f>
        <v>0</v>
      </c>
      <c r="F63" s="121">
        <f>INDEX(Risks!J$7:J$15,MATCH('Options Analysis'!$C63,Risks!$B$7:$B$15,0))*10^-6*esc_24_26</f>
        <v>0</v>
      </c>
      <c r="G63" s="121">
        <f>INDEX(Risks!K$7:K$15,MATCH('Options Analysis'!$C63,Risks!$B$7:$B$15,0))*10^-6*esc_24_26</f>
        <v>0</v>
      </c>
      <c r="H63" s="121">
        <f>INDEX(Risks!L$7:L$15,MATCH('Options Analysis'!$C63,Risks!$B$7:$B$15,0))*10^-6*esc_24_26</f>
        <v>0.46947413055641352</v>
      </c>
      <c r="I63" s="121">
        <f>INDEX(Risks!M$7:M$15,MATCH('Options Analysis'!$C63,Risks!$B$7:$B$15,0))*10^-6*esc_24_26</f>
        <v>0.46947413055641352</v>
      </c>
      <c r="J63" s="121">
        <f>INDEX(Risks!N$7:N$15,MATCH('Options Analysis'!$C63,Risks!$B$7:$B$15,0))*10^-6*esc_24_26</f>
        <v>0.46947413055641352</v>
      </c>
      <c r="K63" s="121">
        <f>INDEX(Risks!O$7:O$15,MATCH('Options Analysis'!$C63,Risks!$B$7:$B$15,0))*10^-6*esc_24_26</f>
        <v>0.46947413055641352</v>
      </c>
      <c r="L63" s="121">
        <f>INDEX(Risks!P$7:P$15,MATCH('Options Analysis'!$C63,Risks!$B$7:$B$15,0))*10^-6*esc_24_26</f>
        <v>0.46947413055641352</v>
      </c>
      <c r="M63" s="121">
        <f>INDEX(Risks!Q$7:Q$15,MATCH('Options Analysis'!$C63,Risks!$B$7:$B$15,0))*10^-6*esc_24_26</f>
        <v>0.46947413055641352</v>
      </c>
      <c r="N63" s="121">
        <f>INDEX(Risks!R$7:R$15,MATCH('Options Analysis'!$C63,Risks!$B$7:$B$15,0))*10^-6*esc_24_26</f>
        <v>0.46947413055641352</v>
      </c>
      <c r="O63" s="121">
        <f>INDEX(Risks!S$7:S$15,MATCH('Options Analysis'!$C63,Risks!$B$7:$B$15,0))*10^-6*esc_24_26</f>
        <v>0.46947413055641352</v>
      </c>
      <c r="P63" s="121">
        <f>INDEX(Risks!T$7:T$15,MATCH('Options Analysis'!$C63,Risks!$B$7:$B$15,0))*10^-6*esc_24_26</f>
        <v>0.46947413055641352</v>
      </c>
      <c r="Q63" s="121">
        <f>INDEX(Risks!U$7:U$15,MATCH('Options Analysis'!$C63,Risks!$B$7:$B$15,0))*10^-6*esc_24_26</f>
        <v>0.46947413055641352</v>
      </c>
      <c r="R63" s="121">
        <f>INDEX(Risks!V$7:V$15,MATCH('Options Analysis'!$C63,Risks!$B$7:$B$15,0))*10^-6*esc_24_26</f>
        <v>0.46947413055641352</v>
      </c>
      <c r="S63" s="121">
        <f>INDEX(Risks!W$7:W$15,MATCH('Options Analysis'!$C63,Risks!$B$7:$B$15,0))*10^-6*esc_24_26</f>
        <v>0.46947413055641352</v>
      </c>
      <c r="T63" s="121">
        <f>INDEX(Risks!X$7:X$15,MATCH('Options Analysis'!$C63,Risks!$B$7:$B$15,0))*10^-6*esc_24_26</f>
        <v>0.46947413055641352</v>
      </c>
      <c r="U63" s="121">
        <f>INDEX(Risks!Y$7:Y$15,MATCH('Options Analysis'!$C63,Risks!$B$7:$B$15,0))*10^-6*esc_24_26</f>
        <v>0.46947413055641352</v>
      </c>
      <c r="V63" s="121">
        <f>INDEX(Risks!Z$7:Z$15,MATCH('Options Analysis'!$C63,Risks!$B$7:$B$15,0))*10^-6*esc_24_26</f>
        <v>0.46947413055641352</v>
      </c>
      <c r="W63" s="121">
        <f>INDEX(Risks!AA$7:AA$15,MATCH('Options Analysis'!$C63,Risks!$B$7:$B$15,0))*10^-6*esc_24_26</f>
        <v>0.46947413055641352</v>
      </c>
      <c r="X63" s="121">
        <f>INDEX(Risks!AB$7:AB$15,MATCH('Options Analysis'!$C63,Risks!$B$7:$B$15,0))*10^-6*esc_24_26</f>
        <v>0.46947413055641352</v>
      </c>
      <c r="Y63" s="121">
        <f>INDEX(Risks!AC$7:AC$15,MATCH('Options Analysis'!$C63,Risks!$B$7:$B$15,0))*10^-6*esc_24_26</f>
        <v>0.46947413055641352</v>
      </c>
      <c r="Z63" s="121">
        <f>INDEX(Risks!AD$7:AD$15,MATCH('Options Analysis'!$C63,Risks!$B$7:$B$15,0))*10^-6*esc_24_26</f>
        <v>0.46947413055641352</v>
      </c>
      <c r="AA63" s="121">
        <f>INDEX(Risks!AE$7:AE$15,MATCH('Options Analysis'!$C63,Risks!$B$7:$B$15,0))*10^-6*esc_24_26</f>
        <v>0.46947413055641352</v>
      </c>
      <c r="AB63" s="121">
        <f>INDEX(Risks!AF$7:AF$15,MATCH('Options Analysis'!$C63,Risks!$B$7:$B$15,0))*10^-6*esc_24_26</f>
        <v>0.46947413055641352</v>
      </c>
      <c r="AC63" s="121">
        <f>INDEX(Risks!AG$7:AG$15,MATCH('Options Analysis'!$C63,Risks!$B$7:$B$15,0))*10^-6*esc_24_26</f>
        <v>0.46947413055641352</v>
      </c>
    </row>
    <row r="64" spans="2:29" x14ac:dyDescent="0.3">
      <c r="B64" s="110" t="s">
        <v>44</v>
      </c>
      <c r="C64" s="63" t="s">
        <v>78</v>
      </c>
      <c r="E64" s="121">
        <f>INDEX(Risks!I$7:I$15,MATCH('Options Analysis'!$C64,Risks!$B$7:$B$15,0))*10^-6*esc_24_26</f>
        <v>0</v>
      </c>
      <c r="F64" s="121">
        <f>INDEX(Risks!J$7:J$15,MATCH('Options Analysis'!$C64,Risks!$B$7:$B$15,0))*10^-6*esc_24_26</f>
        <v>0</v>
      </c>
      <c r="G64" s="121">
        <f>INDEX(Risks!K$7:K$15,MATCH('Options Analysis'!$C64,Risks!$B$7:$B$15,0))*10^-6*esc_24_26</f>
        <v>0</v>
      </c>
      <c r="H64" s="121">
        <f>INDEX(Risks!L$7:L$15,MATCH('Options Analysis'!$C64,Risks!$B$7:$B$15,0))*10^-6*esc_24_26</f>
        <v>0.36927548522829989</v>
      </c>
      <c r="I64" s="121">
        <f>INDEX(Risks!M$7:M$15,MATCH('Options Analysis'!$C64,Risks!$B$7:$B$15,0))*10^-6*esc_24_26</f>
        <v>0.36927548522829989</v>
      </c>
      <c r="J64" s="121">
        <f>INDEX(Risks!N$7:N$15,MATCH('Options Analysis'!$C64,Risks!$B$7:$B$15,0))*10^-6*esc_24_26</f>
        <v>0.36927548522829989</v>
      </c>
      <c r="K64" s="121">
        <f>INDEX(Risks!O$7:O$15,MATCH('Options Analysis'!$C64,Risks!$B$7:$B$15,0))*10^-6*esc_24_26</f>
        <v>0.36927548522829989</v>
      </c>
      <c r="L64" s="121">
        <f>INDEX(Risks!P$7:P$15,MATCH('Options Analysis'!$C64,Risks!$B$7:$B$15,0))*10^-6*esc_24_26</f>
        <v>0.36927548522829989</v>
      </c>
      <c r="M64" s="121">
        <f>INDEX(Risks!Q$7:Q$15,MATCH('Options Analysis'!$C64,Risks!$B$7:$B$15,0))*10^-6*esc_24_26</f>
        <v>0.36927548522829989</v>
      </c>
      <c r="N64" s="121">
        <f>INDEX(Risks!R$7:R$15,MATCH('Options Analysis'!$C64,Risks!$B$7:$B$15,0))*10^-6*esc_24_26</f>
        <v>0.36927548522829989</v>
      </c>
      <c r="O64" s="121">
        <f>INDEX(Risks!S$7:S$15,MATCH('Options Analysis'!$C64,Risks!$B$7:$B$15,0))*10^-6*esc_24_26</f>
        <v>0.36927548522829989</v>
      </c>
      <c r="P64" s="121">
        <f>INDEX(Risks!T$7:T$15,MATCH('Options Analysis'!$C64,Risks!$B$7:$B$15,0))*10^-6*esc_24_26</f>
        <v>0.36927548522829989</v>
      </c>
      <c r="Q64" s="121">
        <f>INDEX(Risks!U$7:U$15,MATCH('Options Analysis'!$C64,Risks!$B$7:$B$15,0))*10^-6*esc_24_26</f>
        <v>0.36927548522829989</v>
      </c>
      <c r="R64" s="121">
        <f>INDEX(Risks!V$7:V$15,MATCH('Options Analysis'!$C64,Risks!$B$7:$B$15,0))*10^-6*esc_24_26</f>
        <v>0.36927548522829989</v>
      </c>
      <c r="S64" s="121">
        <f>INDEX(Risks!W$7:W$15,MATCH('Options Analysis'!$C64,Risks!$B$7:$B$15,0))*10^-6*esc_24_26</f>
        <v>0.36927548522829989</v>
      </c>
      <c r="T64" s="121">
        <f>INDEX(Risks!X$7:X$15,MATCH('Options Analysis'!$C64,Risks!$B$7:$B$15,0))*10^-6*esc_24_26</f>
        <v>0.36927548522829989</v>
      </c>
      <c r="U64" s="121">
        <f>INDEX(Risks!Y$7:Y$15,MATCH('Options Analysis'!$C64,Risks!$B$7:$B$15,0))*10^-6*esc_24_26</f>
        <v>0.36927548522829989</v>
      </c>
      <c r="V64" s="121">
        <f>INDEX(Risks!Z$7:Z$15,MATCH('Options Analysis'!$C64,Risks!$B$7:$B$15,0))*10^-6*esc_24_26</f>
        <v>0.36927548522829989</v>
      </c>
      <c r="W64" s="121">
        <f>INDEX(Risks!AA$7:AA$15,MATCH('Options Analysis'!$C64,Risks!$B$7:$B$15,0))*10^-6*esc_24_26</f>
        <v>0.36927548522829989</v>
      </c>
      <c r="X64" s="121">
        <f>INDEX(Risks!AB$7:AB$15,MATCH('Options Analysis'!$C64,Risks!$B$7:$B$15,0))*10^-6*esc_24_26</f>
        <v>0.36927548522829989</v>
      </c>
      <c r="Y64" s="121">
        <f>INDEX(Risks!AC$7:AC$15,MATCH('Options Analysis'!$C64,Risks!$B$7:$B$15,0))*10^-6*esc_24_26</f>
        <v>0.36927548522829989</v>
      </c>
      <c r="Z64" s="121">
        <f>INDEX(Risks!AD$7:AD$15,MATCH('Options Analysis'!$C64,Risks!$B$7:$B$15,0))*10^-6*esc_24_26</f>
        <v>0.36927548522829989</v>
      </c>
      <c r="AA64" s="121">
        <f>INDEX(Risks!AE$7:AE$15,MATCH('Options Analysis'!$C64,Risks!$B$7:$B$15,0))*10^-6*esc_24_26</f>
        <v>0.36927548522829989</v>
      </c>
      <c r="AB64" s="121">
        <f>INDEX(Risks!AF$7:AF$15,MATCH('Options Analysis'!$C64,Risks!$B$7:$B$15,0))*10^-6*esc_24_26</f>
        <v>0.36927548522829989</v>
      </c>
      <c r="AC64" s="121">
        <f>INDEX(Risks!AG$7:AG$15,MATCH('Options Analysis'!$C64,Risks!$B$7:$B$15,0))*10^-6*esc_24_26</f>
        <v>0.36927548522829989</v>
      </c>
    </row>
    <row r="65" spans="2:29" x14ac:dyDescent="0.3">
      <c r="B65" s="110" t="s">
        <v>44</v>
      </c>
      <c r="C65" s="63" t="s">
        <v>76</v>
      </c>
      <c r="E65" s="121">
        <f>INDEX(Risks!I$7:I$15,MATCH('Options Analysis'!$C65,Risks!$B$7:$B$15,0))*10^-6*esc_24_26</f>
        <v>0</v>
      </c>
      <c r="F65" s="121">
        <f>INDEX(Risks!J$7:J$15,MATCH('Options Analysis'!$C65,Risks!$B$7:$B$15,0))*10^-6*esc_24_26</f>
        <v>0</v>
      </c>
      <c r="G65" s="121">
        <f>INDEX(Risks!K$7:K$15,MATCH('Options Analysis'!$C65,Risks!$B$7:$B$15,0))*10^-6*esc_24_26</f>
        <v>0</v>
      </c>
      <c r="H65" s="121">
        <f>INDEX(Risks!L$7:L$15,MATCH('Options Analysis'!$C65,Risks!$B$7:$B$15,0))*10^-6*esc_24_26</f>
        <v>0.30821185952261182</v>
      </c>
      <c r="I65" s="121">
        <f>INDEX(Risks!M$7:M$15,MATCH('Options Analysis'!$C65,Risks!$B$7:$B$15,0))*10^-6*esc_24_26</f>
        <v>0.30921603184263724</v>
      </c>
      <c r="J65" s="121">
        <f>INDEX(Risks!N$7:N$15,MATCH('Options Analysis'!$C65,Risks!$B$7:$B$15,0))*10^-6*esc_24_26</f>
        <v>0.31023024588586295</v>
      </c>
      <c r="K65" s="121">
        <f>INDEX(Risks!O$7:O$15,MATCH('Options Analysis'!$C65,Risks!$B$7:$B$15,0))*10^-6*esc_24_26</f>
        <v>0.31125460206952088</v>
      </c>
      <c r="L65" s="121">
        <f>INDEX(Risks!P$7:P$15,MATCH('Options Analysis'!$C65,Risks!$B$7:$B$15,0))*10^-6*esc_24_26</f>
        <v>0.31228920181501535</v>
      </c>
      <c r="M65" s="121">
        <f>INDEX(Risks!Q$7:Q$15,MATCH('Options Analysis'!$C65,Risks!$B$7:$B$15,0))*10^-6*esc_24_26</f>
        <v>0.31333414755796479</v>
      </c>
      <c r="N65" s="121">
        <f>INDEX(Risks!R$7:R$15,MATCH('Options Analysis'!$C65,Risks!$B$7:$B$15,0))*10^-6*esc_24_26</f>
        <v>0.31438954275834374</v>
      </c>
      <c r="O65" s="121">
        <f>INDEX(Risks!S$7:S$15,MATCH('Options Analysis'!$C65,Risks!$B$7:$B$15,0))*10^-6*esc_24_26</f>
        <v>0.31545549191072647</v>
      </c>
      <c r="P65" s="121">
        <f>INDEX(Risks!T$7:T$15,MATCH('Options Analysis'!$C65,Risks!$B$7:$B$15,0))*10^-6*esc_24_26</f>
        <v>0.31653210055463304</v>
      </c>
      <c r="Q65" s="121">
        <f>INDEX(Risks!U$7:U$15,MATCH('Options Analysis'!$C65,Risks!$B$7:$B$15,0))*10^-6*esc_24_26</f>
        <v>0.31761947528497875</v>
      </c>
      <c r="R65" s="121">
        <f>INDEX(Risks!V$7:V$15,MATCH('Options Analysis'!$C65,Risks!$B$7:$B$15,0))*10^-6*esc_24_26</f>
        <v>0.3187177237626278</v>
      </c>
      <c r="S65" s="121">
        <f>INDEX(Risks!W$7:W$15,MATCH('Options Analysis'!$C65,Risks!$B$7:$B$15,0))*10^-6*esc_24_26</f>
        <v>0.31982695472505335</v>
      </c>
      <c r="T65" s="121">
        <f>INDEX(Risks!X$7:X$15,MATCH('Options Analysis'!$C65,Risks!$B$7:$B$15,0))*10^-6*esc_24_26</f>
        <v>0.32094727799710321</v>
      </c>
      <c r="U65" s="121">
        <f>INDEX(Risks!Y$7:Y$15,MATCH('Options Analysis'!$C65,Risks!$B$7:$B$15,0))*10^-6*esc_24_26</f>
        <v>0.32207880450187354</v>
      </c>
      <c r="V65" s="121">
        <f>INDEX(Risks!Z$7:Z$15,MATCH('Options Analysis'!$C65,Risks!$B$7:$B$15,0))*10^-6*esc_24_26</f>
        <v>0.32322164627169159</v>
      </c>
      <c r="W65" s="121">
        <f>INDEX(Risks!AA$7:AA$15,MATCH('Options Analysis'!$C65,Risks!$B$7:$B$15,0))*10^-6*esc_24_26</f>
        <v>0.32437591645920782</v>
      </c>
      <c r="X65" s="121">
        <f>INDEX(Risks!AB$7:AB$15,MATCH('Options Analysis'!$C65,Risks!$B$7:$B$15,0))*10^-6*esc_24_26</f>
        <v>0.32554172934859915</v>
      </c>
      <c r="Y65" s="121">
        <f>INDEX(Risks!AC$7:AC$15,MATCH('Options Analysis'!$C65,Risks!$B$7:$B$15,0))*10^-6*esc_24_26</f>
        <v>0.32671920036688445</v>
      </c>
      <c r="Z65" s="121">
        <f>INDEX(Risks!AD$7:AD$15,MATCH('Options Analysis'!$C65,Risks!$B$7:$B$15,0))*10^-6*esc_24_26</f>
        <v>0.32790844609535263</v>
      </c>
      <c r="AA65" s="121">
        <f>INDEX(Risks!AE$7:AE$15,MATCH('Options Analysis'!$C65,Risks!$B$7:$B$15,0))*10^-6*esc_24_26</f>
        <v>0.32910958428110543</v>
      </c>
      <c r="AB65" s="121">
        <f>INDEX(Risks!AF$7:AF$15,MATCH('Options Analysis'!$C65,Risks!$B$7:$B$15,0))*10^-6*esc_24_26</f>
        <v>0.33032273384871574</v>
      </c>
      <c r="AC65" s="121">
        <f>INDEX(Risks!AG$7:AG$15,MATCH('Options Analysis'!$C65,Risks!$B$7:$B$15,0))*10^-6*esc_24_26</f>
        <v>0.33154801491200225</v>
      </c>
    </row>
    <row r="66" spans="2:29" x14ac:dyDescent="0.3">
      <c r="B66" s="110" t="s">
        <v>44</v>
      </c>
      <c r="C66" s="63" t="s">
        <v>77</v>
      </c>
      <c r="E66" s="121">
        <f>INDEX(Risks!I$7:I$15,MATCH('Options Analysis'!$C66,Risks!$B$7:$B$15,0))*10^-6*esc_24_26</f>
        <v>0</v>
      </c>
      <c r="F66" s="121">
        <f>INDEX(Risks!J$7:J$15,MATCH('Options Analysis'!$C66,Risks!$B$7:$B$15,0))*10^-6*esc_24_26</f>
        <v>0</v>
      </c>
      <c r="G66" s="121">
        <f>INDEX(Risks!K$7:K$15,MATCH('Options Analysis'!$C66,Risks!$B$7:$B$15,0))*10^-6*esc_24_26</f>
        <v>0</v>
      </c>
      <c r="H66" s="121">
        <f>INDEX(Risks!L$7:L$15,MATCH('Options Analysis'!$C66,Risks!$B$7:$B$15,0))*10^-6*esc_24_26</f>
        <v>0.28203143560969368</v>
      </c>
      <c r="I66" s="121">
        <f>INDEX(Risks!M$7:M$15,MATCH('Options Analysis'!$C66,Risks!$B$7:$B$15,0))*10^-6*esc_24_26</f>
        <v>0.28203143560969368</v>
      </c>
      <c r="J66" s="121">
        <f>INDEX(Risks!N$7:N$15,MATCH('Options Analysis'!$C66,Risks!$B$7:$B$15,0))*10^-6*esc_24_26</f>
        <v>0.28203143560969368</v>
      </c>
      <c r="K66" s="121">
        <f>INDEX(Risks!O$7:O$15,MATCH('Options Analysis'!$C66,Risks!$B$7:$B$15,0))*10^-6*esc_24_26</f>
        <v>0.28203143560969368</v>
      </c>
      <c r="L66" s="121">
        <f>INDEX(Risks!P$7:P$15,MATCH('Options Analysis'!$C66,Risks!$B$7:$B$15,0))*10^-6*esc_24_26</f>
        <v>0.28203143560969368</v>
      </c>
      <c r="M66" s="121">
        <f>INDEX(Risks!Q$7:Q$15,MATCH('Options Analysis'!$C66,Risks!$B$7:$B$15,0))*10^-6*esc_24_26</f>
        <v>0.28203143560969368</v>
      </c>
      <c r="N66" s="121">
        <f>INDEX(Risks!R$7:R$15,MATCH('Options Analysis'!$C66,Risks!$B$7:$B$15,0))*10^-6*esc_24_26</f>
        <v>0.28203143560969368</v>
      </c>
      <c r="O66" s="121">
        <f>INDEX(Risks!S$7:S$15,MATCH('Options Analysis'!$C66,Risks!$B$7:$B$15,0))*10^-6*esc_24_26</f>
        <v>0.28203143560969368</v>
      </c>
      <c r="P66" s="121">
        <f>INDEX(Risks!T$7:T$15,MATCH('Options Analysis'!$C66,Risks!$B$7:$B$15,0))*10^-6*esc_24_26</f>
        <v>0.28203143560969368</v>
      </c>
      <c r="Q66" s="121">
        <f>INDEX(Risks!U$7:U$15,MATCH('Options Analysis'!$C66,Risks!$B$7:$B$15,0))*10^-6*esc_24_26</f>
        <v>0.28203143560969368</v>
      </c>
      <c r="R66" s="121">
        <f>INDEX(Risks!V$7:V$15,MATCH('Options Analysis'!$C66,Risks!$B$7:$B$15,0))*10^-6*esc_24_26</f>
        <v>0.28203143560969368</v>
      </c>
      <c r="S66" s="121">
        <f>INDEX(Risks!W$7:W$15,MATCH('Options Analysis'!$C66,Risks!$B$7:$B$15,0))*10^-6*esc_24_26</f>
        <v>0.28203143560969368</v>
      </c>
      <c r="T66" s="121">
        <f>INDEX(Risks!X$7:X$15,MATCH('Options Analysis'!$C66,Risks!$B$7:$B$15,0))*10^-6*esc_24_26</f>
        <v>0.28203143560969368</v>
      </c>
      <c r="U66" s="121">
        <f>INDEX(Risks!Y$7:Y$15,MATCH('Options Analysis'!$C66,Risks!$B$7:$B$15,0))*10^-6*esc_24_26</f>
        <v>0.28203143560969368</v>
      </c>
      <c r="V66" s="121">
        <f>INDEX(Risks!Z$7:Z$15,MATCH('Options Analysis'!$C66,Risks!$B$7:$B$15,0))*10^-6*esc_24_26</f>
        <v>0.28203143560969368</v>
      </c>
      <c r="W66" s="121">
        <f>INDEX(Risks!AA$7:AA$15,MATCH('Options Analysis'!$C66,Risks!$B$7:$B$15,0))*10^-6*esc_24_26</f>
        <v>0.28203143560969368</v>
      </c>
      <c r="X66" s="121">
        <f>INDEX(Risks!AB$7:AB$15,MATCH('Options Analysis'!$C66,Risks!$B$7:$B$15,0))*10^-6*esc_24_26</f>
        <v>0.28203143560969368</v>
      </c>
      <c r="Y66" s="121">
        <f>INDEX(Risks!AC$7:AC$15,MATCH('Options Analysis'!$C66,Risks!$B$7:$B$15,0))*10^-6*esc_24_26</f>
        <v>0.28203143560969368</v>
      </c>
      <c r="Z66" s="121">
        <f>INDEX(Risks!AD$7:AD$15,MATCH('Options Analysis'!$C66,Risks!$B$7:$B$15,0))*10^-6*esc_24_26</f>
        <v>0.28203143560969368</v>
      </c>
      <c r="AA66" s="121">
        <f>INDEX(Risks!AE$7:AE$15,MATCH('Options Analysis'!$C66,Risks!$B$7:$B$15,0))*10^-6*esc_24_26</f>
        <v>0.28203143560969368</v>
      </c>
      <c r="AB66" s="121">
        <f>INDEX(Risks!AF$7:AF$15,MATCH('Options Analysis'!$C66,Risks!$B$7:$B$15,0))*10^-6*esc_24_26</f>
        <v>0.28203143560969368</v>
      </c>
      <c r="AC66" s="121">
        <f>INDEX(Risks!AG$7:AG$15,MATCH('Options Analysis'!$C66,Risks!$B$7:$B$15,0))*10^-6*esc_24_26</f>
        <v>0.28203143560969368</v>
      </c>
    </row>
    <row r="67" spans="2:29" x14ac:dyDescent="0.3">
      <c r="B67" s="122" t="s">
        <v>194</v>
      </c>
      <c r="C67" s="122"/>
      <c r="D67" s="122"/>
      <c r="E67" s="123">
        <f>SUM(E60:E66)</f>
        <v>0</v>
      </c>
      <c r="F67" s="123">
        <f t="shared" ref="F67" si="28">SUM(F60:F66)</f>
        <v>0</v>
      </c>
      <c r="G67" s="123">
        <f t="shared" ref="G67" si="29">SUM(G60:G66)</f>
        <v>0</v>
      </c>
      <c r="H67" s="123">
        <f t="shared" ref="H67" si="30">SUM(H60:H66)</f>
        <v>5.2411973720539438</v>
      </c>
      <c r="I67" s="123">
        <f t="shared" ref="I67" si="31">SUM(I60:I66)</f>
        <v>5.2881935950969519</v>
      </c>
      <c r="J67" s="123">
        <f t="shared" ref="J67" si="32">SUM(J60:J66)</f>
        <v>5.3358285762197992</v>
      </c>
      <c r="K67" s="123">
        <f t="shared" ref="K67" si="33">SUM(K60:K66)</f>
        <v>5.3841120842607246</v>
      </c>
      <c r="L67" s="123">
        <f t="shared" ref="L67" si="34">SUM(L60:L66)</f>
        <v>5.4330540534784708</v>
      </c>
      <c r="M67" s="123">
        <f t="shared" ref="M67" si="35">SUM(M60:M66)</f>
        <v>5.4826645865632813</v>
      </c>
      <c r="N67" s="123">
        <f t="shared" ref="N67" si="36">SUM(N60:N66)</f>
        <v>5.5329539577051792</v>
      </c>
      <c r="O67" s="123">
        <f t="shared" ref="O67" si="37">SUM(O60:O66)</f>
        <v>5.5839326157206539</v>
      </c>
      <c r="P67" s="123">
        <f t="shared" ref="P67" si="38">SUM(P60:P66)</f>
        <v>5.6356111872388839</v>
      </c>
      <c r="Q67" s="123">
        <f t="shared" ref="Q67" si="39">SUM(Q60:Q66)</f>
        <v>5.6880004799486832</v>
      </c>
      <c r="R67" s="123">
        <f t="shared" ref="R67" si="40">SUM(R60:R66)</f>
        <v>5.7411114859073233</v>
      </c>
      <c r="S67" s="123">
        <f t="shared" ref="S67" si="41">SUM(S60:S66)</f>
        <v>5.7949553849124671</v>
      </c>
      <c r="T67" s="123">
        <f t="shared" ref="T67" si="42">SUM(T60:T66)</f>
        <v>5.8495435479384312</v>
      </c>
      <c r="U67" s="123">
        <f t="shared" ref="U67" si="43">SUM(U60:U66)</f>
        <v>5.904887540638037</v>
      </c>
      <c r="V67" s="123">
        <f t="shared" ref="V67" si="44">SUM(V60:V66)</f>
        <v>5.9609991269113323</v>
      </c>
      <c r="W67" s="123">
        <f t="shared" ref="W67" si="45">SUM(W60:W66)</f>
        <v>6.0178902725424903</v>
      </c>
      <c r="X67" s="123">
        <f t="shared" ref="X67" si="46">SUM(X60:X66)</f>
        <v>6.0755731489062175</v>
      </c>
      <c r="Y67" s="123">
        <f t="shared" ref="Y67" si="47">SUM(Y60:Y66)</f>
        <v>6.1340601367450347</v>
      </c>
      <c r="Z67" s="123">
        <f t="shared" ref="Z67" si="48">SUM(Z60:Z66)</f>
        <v>6.1933638300188081</v>
      </c>
      <c r="AA67" s="123">
        <f t="shared" ref="AA67" si="49">SUM(AA60:AA66)</f>
        <v>6.253497039827951</v>
      </c>
      <c r="AB67" s="123">
        <f t="shared" ref="AB67" si="50">SUM(AB60:AB66)</f>
        <v>6.3144727984117317</v>
      </c>
      <c r="AC67" s="123">
        <f t="shared" ref="AC67" si="51">SUM(AC60:AC66)</f>
        <v>6.3763043632231646</v>
      </c>
    </row>
    <row r="69" spans="2:29" x14ac:dyDescent="0.3">
      <c r="B69" s="119" t="str">
        <f>"Total cost of "&amp;INDEX('Reg Assumptions '!$C$14:$C$16,MATCH(B52,'Reg Assumptions '!$B$14:$B$16,0))</f>
        <v>Total cost of Full remediation</v>
      </c>
      <c r="C69" s="107"/>
      <c r="D69" s="107"/>
      <c r="E69" s="123">
        <f>E57+E67</f>
        <v>0</v>
      </c>
      <c r="F69" s="123">
        <f t="shared" ref="F69:AC69" si="52">F57+F67</f>
        <v>-25.147374158429415</v>
      </c>
      <c r="G69" s="123">
        <f t="shared" si="52"/>
        <v>-42.685427633221941</v>
      </c>
      <c r="H69" s="123">
        <f t="shared" si="52"/>
        <v>5.2411973720539438</v>
      </c>
      <c r="I69" s="123">
        <f t="shared" si="52"/>
        <v>5.2881935950969519</v>
      </c>
      <c r="J69" s="123">
        <f t="shared" si="52"/>
        <v>5.3358285762197992</v>
      </c>
      <c r="K69" s="123">
        <f t="shared" si="52"/>
        <v>5.3841120842607246</v>
      </c>
      <c r="L69" s="123">
        <f t="shared" si="52"/>
        <v>5.4330540534784708</v>
      </c>
      <c r="M69" s="123">
        <f t="shared" si="52"/>
        <v>5.4826645865632813</v>
      </c>
      <c r="N69" s="123">
        <f t="shared" si="52"/>
        <v>5.5329539577051792</v>
      </c>
      <c r="O69" s="123">
        <f t="shared" si="52"/>
        <v>5.5839326157206539</v>
      </c>
      <c r="P69" s="123">
        <f t="shared" si="52"/>
        <v>5.6356111872388839</v>
      </c>
      <c r="Q69" s="123">
        <f t="shared" si="52"/>
        <v>5.6880004799486832</v>
      </c>
      <c r="R69" s="123">
        <f t="shared" si="52"/>
        <v>5.7411114859073233</v>
      </c>
      <c r="S69" s="123">
        <f t="shared" si="52"/>
        <v>5.7949553849124671</v>
      </c>
      <c r="T69" s="123">
        <f t="shared" si="52"/>
        <v>5.8495435479384312</v>
      </c>
      <c r="U69" s="123">
        <f t="shared" si="52"/>
        <v>5.904887540638037</v>
      </c>
      <c r="V69" s="123">
        <f t="shared" si="52"/>
        <v>5.9609991269113323</v>
      </c>
      <c r="W69" s="123">
        <f t="shared" si="52"/>
        <v>6.0178902725424903</v>
      </c>
      <c r="X69" s="123">
        <f t="shared" si="52"/>
        <v>6.0755731489062175</v>
      </c>
      <c r="Y69" s="123">
        <f t="shared" si="52"/>
        <v>6.1340601367450347</v>
      </c>
      <c r="Z69" s="123">
        <f t="shared" si="52"/>
        <v>6.1933638300188081</v>
      </c>
      <c r="AA69" s="123">
        <f t="shared" si="52"/>
        <v>6.253497039827951</v>
      </c>
      <c r="AB69" s="123">
        <f t="shared" si="52"/>
        <v>6.3144727984117317</v>
      </c>
      <c r="AC69" s="123">
        <f t="shared" si="52"/>
        <v>6.3763043632231646</v>
      </c>
    </row>
    <row r="71" spans="2:29" x14ac:dyDescent="0.3">
      <c r="B71" s="71" t="s">
        <v>190</v>
      </c>
      <c r="C71" s="88">
        <f>NPV(real_disc,E57:AC57)</f>
        <v>-61.975152955116194</v>
      </c>
    </row>
    <row r="72" spans="2:29" x14ac:dyDescent="0.3">
      <c r="B72" s="71" t="s">
        <v>191</v>
      </c>
      <c r="C72" s="88">
        <f>NPV(real_disc,E67:AC67)</f>
        <v>78.099327460301438</v>
      </c>
    </row>
    <row r="73" spans="2:29" ht="13.5" thickBot="1" x14ac:dyDescent="0.35">
      <c r="B73" s="124" t="s">
        <v>184</v>
      </c>
      <c r="C73" s="125">
        <f>NPV(real_disc,E69:AC69)</f>
        <v>16.124174505185231</v>
      </c>
    </row>
    <row r="74" spans="2:29" ht="13.5" thickTop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7AE670-EA57-44F6-9A85-926AEDED683D}">
          <x14:formula1>
            <xm:f>Risks!$B$15</xm:f>
          </x14:formula1>
          <xm:sqref>C31 C56</xm:sqref>
        </x14:dataValidation>
        <x14:dataValidation type="list" allowBlank="1" showInputMessage="1" showErrorMessage="1" xr:uid="{4E0736E7-9792-466B-B381-8067868077ED}">
          <x14:formula1>
            <xm:f>Risks!$B$7:$B$14</xm:f>
          </x14:formula1>
          <xm:sqref>C35:C42 C60:C66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846-6229-4353-B298-8FEC50899DC5}">
  <sheetPr codeName="Sheet3"/>
  <dimension ref="A1:P66"/>
  <sheetViews>
    <sheetView showGridLines="0" workbookViewId="0">
      <selection activeCell="H8" sqref="H8"/>
    </sheetView>
  </sheetViews>
  <sheetFormatPr defaultColWidth="9" defaultRowHeight="13" x14ac:dyDescent="0.3"/>
  <cols>
    <col min="1" max="1" width="3.54296875" style="28" customWidth="1"/>
    <col min="2" max="2" width="30" style="28" customWidth="1"/>
    <col min="3" max="3" width="29" style="28" bestFit="1" customWidth="1"/>
    <col min="4" max="4" width="3.54296875" style="28" customWidth="1"/>
    <col min="5" max="5" width="2.26953125" style="28" customWidth="1"/>
    <col min="6" max="6" width="8.7265625" style="28" customWidth="1"/>
    <col min="7" max="8" width="10.453125" style="28" bestFit="1" customWidth="1"/>
    <col min="9" max="9" width="4.1796875" style="28" customWidth="1"/>
    <col min="10" max="12" width="12.453125" style="28" customWidth="1"/>
    <col min="13" max="14" width="10.26953125" style="28" customWidth="1"/>
    <col min="15" max="15" width="4.81640625" style="28" customWidth="1"/>
    <col min="16" max="16" width="11" style="28" customWidth="1"/>
    <col min="17" max="16384" width="9" style="28"/>
  </cols>
  <sheetData>
    <row r="1" spans="1:16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2"/>
      <c r="P1" s="2" t="s">
        <v>1</v>
      </c>
    </row>
    <row r="2" spans="1:16" ht="15.5" x14ac:dyDescent="0.35">
      <c r="A2" s="58" t="str">
        <f>model_name</f>
        <v>Burnley depot</v>
      </c>
      <c r="B2" s="8"/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32"/>
      <c r="P2" s="9" t="s">
        <v>4</v>
      </c>
    </row>
    <row r="3" spans="1:16" x14ac:dyDescent="0.3">
      <c r="A3" s="64" t="str">
        <f>"All dollar values are in "&amp;TEXT(input_dollars,"$ mmmm yyyy")&amp;" unless otherwise stated"</f>
        <v>All dollar values are in $ June 2024 unless otherwise stated</v>
      </c>
    </row>
    <row r="4" spans="1:16" x14ac:dyDescent="0.3">
      <c r="A4" s="64"/>
    </row>
    <row r="5" spans="1:16" ht="14.5" x14ac:dyDescent="0.35">
      <c r="A5" s="33" t="s">
        <v>47</v>
      </c>
      <c r="B5" s="33"/>
      <c r="C5" s="33"/>
      <c r="D5" s="33"/>
      <c r="E5" s="34"/>
      <c r="F5" s="33"/>
      <c r="G5" s="34"/>
      <c r="H5" s="34"/>
      <c r="I5" s="34"/>
      <c r="J5" s="35"/>
      <c r="K5" s="35"/>
      <c r="L5" s="35"/>
      <c r="M5" s="35"/>
      <c r="N5" s="35"/>
      <c r="O5" s="35"/>
      <c r="P5" s="35"/>
    </row>
    <row r="6" spans="1:16" x14ac:dyDescent="0.3">
      <c r="B6" s="36" t="s">
        <v>50</v>
      </c>
      <c r="C6" s="36"/>
      <c r="D6" s="36"/>
      <c r="E6" s="36"/>
      <c r="F6" s="36"/>
      <c r="G6" s="36" t="s">
        <v>184</v>
      </c>
      <c r="H6" s="36" t="s">
        <v>27</v>
      </c>
      <c r="I6" s="36"/>
      <c r="J6" s="40" t="s">
        <v>22</v>
      </c>
      <c r="K6" s="40" t="s">
        <v>23</v>
      </c>
      <c r="L6" s="40" t="s">
        <v>24</v>
      </c>
      <c r="M6" s="40" t="s">
        <v>25</v>
      </c>
      <c r="N6" s="40" t="s">
        <v>26</v>
      </c>
    </row>
    <row r="7" spans="1:16" x14ac:dyDescent="0.3">
      <c r="B7" s="28" t="s">
        <v>41</v>
      </c>
      <c r="G7" s="42">
        <f>NPV(real_disc,J7:N7)</f>
        <v>0</v>
      </c>
      <c r="H7" s="42">
        <f>SUM(J7:N7)</f>
        <v>0</v>
      </c>
      <c r="J7" s="42">
        <f>J24</f>
        <v>0</v>
      </c>
      <c r="K7" s="42">
        <f t="shared" ref="K7:N7" si="0">K24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6" x14ac:dyDescent="0.3">
      <c r="B8" s="28" t="s">
        <v>21</v>
      </c>
      <c r="G8" s="42">
        <f>NPV(real_disc,J8:N8)</f>
        <v>45102223.962950572</v>
      </c>
      <c r="H8" s="42">
        <f>SUM(J8:N8)</f>
        <v>49482566.909976631</v>
      </c>
      <c r="J8" s="42">
        <f>J43</f>
        <v>0</v>
      </c>
      <c r="K8" s="42">
        <f t="shared" ref="K8:N8" si="1">K43</f>
        <v>14945000</v>
      </c>
      <c r="L8" s="42">
        <f t="shared" si="1"/>
        <v>34537566.909976631</v>
      </c>
      <c r="M8" s="42">
        <f t="shared" si="1"/>
        <v>0</v>
      </c>
      <c r="N8" s="42">
        <f t="shared" si="1"/>
        <v>0</v>
      </c>
    </row>
    <row r="9" spans="1:16" x14ac:dyDescent="0.3">
      <c r="B9" s="28" t="s">
        <v>38</v>
      </c>
      <c r="G9" s="42">
        <f>NPV(real_disc,J9:N9)</f>
        <v>50885801.099558055</v>
      </c>
      <c r="H9" s="42">
        <f>SUM(J9:N9)</f>
        <v>55718697.262774661</v>
      </c>
      <c r="J9" s="42">
        <f>J62</f>
        <v>0</v>
      </c>
      <c r="K9" s="42">
        <f t="shared" ref="K9:N9" si="2">K62</f>
        <v>19980000</v>
      </c>
      <c r="L9" s="42">
        <f t="shared" si="2"/>
        <v>35738697.262774661</v>
      </c>
      <c r="M9" s="42">
        <f t="shared" si="2"/>
        <v>0</v>
      </c>
      <c r="N9" s="42">
        <f t="shared" si="2"/>
        <v>0</v>
      </c>
    </row>
    <row r="10" spans="1:16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2" spans="1:16" ht="14.5" x14ac:dyDescent="0.35">
      <c r="A12" s="33" t="s">
        <v>51</v>
      </c>
      <c r="B12" s="33"/>
      <c r="C12" s="33"/>
      <c r="D12" s="33"/>
      <c r="E12" s="34"/>
      <c r="F12" s="33"/>
      <c r="G12" s="34"/>
      <c r="H12" s="34"/>
      <c r="I12" s="34"/>
      <c r="J12" s="35"/>
      <c r="K12" s="35"/>
      <c r="L12" s="35"/>
      <c r="M12" s="35"/>
      <c r="N12" s="35"/>
      <c r="O12" s="35"/>
      <c r="P12" s="35"/>
    </row>
    <row r="13" spans="1:16" x14ac:dyDescent="0.3">
      <c r="B13" s="20"/>
    </row>
    <row r="14" spans="1:16" x14ac:dyDescent="0.3">
      <c r="B14" s="38" t="s">
        <v>41</v>
      </c>
      <c r="C14" s="38"/>
      <c r="D14" s="39"/>
      <c r="F14" s="40" t="s">
        <v>13</v>
      </c>
      <c r="G14" s="40" t="s">
        <v>14</v>
      </c>
      <c r="H14" s="40" t="s">
        <v>15</v>
      </c>
      <c r="J14" s="40" t="s">
        <v>22</v>
      </c>
      <c r="K14" s="40" t="s">
        <v>23</v>
      </c>
      <c r="L14" s="40" t="s">
        <v>24</v>
      </c>
      <c r="M14" s="40" t="s">
        <v>25</v>
      </c>
      <c r="N14" s="40" t="s">
        <v>26</v>
      </c>
      <c r="P14" s="40" t="s">
        <v>27</v>
      </c>
    </row>
    <row r="15" spans="1:16" ht="14.5" x14ac:dyDescent="0.35">
      <c r="B15" s="28" t="s">
        <v>28</v>
      </c>
      <c r="C15" s="41" t="str">
        <f t="shared" ref="C15:C23" si="3">$B$33&amp;" "&amp;B15</f>
        <v xml:space="preserve">Option 2 New Depot Design </v>
      </c>
      <c r="E15" s="42"/>
      <c r="F15" s="43">
        <v>0</v>
      </c>
      <c r="G15" s="44">
        <f>1-SUM(F15,H15)</f>
        <v>0</v>
      </c>
      <c r="H15" s="43">
        <v>1</v>
      </c>
      <c r="I15" s="42"/>
      <c r="J15" s="45">
        <v>0</v>
      </c>
      <c r="K15" s="45"/>
      <c r="L15" s="45">
        <v>0</v>
      </c>
      <c r="M15" s="45">
        <v>0</v>
      </c>
      <c r="N15" s="45">
        <v>0</v>
      </c>
      <c r="P15" s="46">
        <f t="shared" ref="P15:P23" si="4">SUM(J15:N15)</f>
        <v>0</v>
      </c>
    </row>
    <row r="16" spans="1:16" ht="14.5" x14ac:dyDescent="0.35">
      <c r="B16" s="28" t="s">
        <v>29</v>
      </c>
      <c r="C16" s="41" t="str">
        <f t="shared" si="3"/>
        <v>Option 2 Staff Relocation / Alternative Accom</v>
      </c>
      <c r="E16" s="42"/>
      <c r="F16" s="43">
        <v>0</v>
      </c>
      <c r="G16" s="44">
        <f>1-SUM(F16,H16)</f>
        <v>9.9999999999999978E-2</v>
      </c>
      <c r="H16" s="43">
        <v>0.9</v>
      </c>
      <c r="I16" s="42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P16" s="46">
        <f t="shared" si="4"/>
        <v>0</v>
      </c>
    </row>
    <row r="17" spans="2:16" ht="14.5" x14ac:dyDescent="0.35">
      <c r="B17" s="28" t="s">
        <v>30</v>
      </c>
      <c r="C17" s="41" t="str">
        <f t="shared" si="3"/>
        <v>Option 2 Land acquisition</v>
      </c>
      <c r="E17" s="42"/>
      <c r="F17" s="47"/>
      <c r="G17" s="43">
        <v>1</v>
      </c>
      <c r="H17" s="47"/>
      <c r="I17" s="42"/>
      <c r="J17" s="45">
        <v>0</v>
      </c>
      <c r="K17" s="45">
        <v>0</v>
      </c>
      <c r="L17" s="45">
        <v>0</v>
      </c>
      <c r="M17" s="45">
        <v>0</v>
      </c>
      <c r="N17" s="45">
        <v>0</v>
      </c>
      <c r="P17" s="46">
        <f t="shared" si="4"/>
        <v>0</v>
      </c>
    </row>
    <row r="18" spans="2:16" ht="14.5" x14ac:dyDescent="0.35">
      <c r="B18" s="28" t="s">
        <v>31</v>
      </c>
      <c r="C18" s="41" t="str">
        <f t="shared" si="3"/>
        <v>Option 2 Civil Works/Demolition works</v>
      </c>
      <c r="E18" s="42"/>
      <c r="F18" s="43">
        <v>0</v>
      </c>
      <c r="G18" s="44">
        <f t="shared" ref="G18:G23" si="5">1-SUM(F18,H18)</f>
        <v>0.5</v>
      </c>
      <c r="H18" s="43">
        <v>0.5</v>
      </c>
      <c r="I18" s="42"/>
      <c r="J18" s="45">
        <v>0</v>
      </c>
      <c r="K18" s="45">
        <v>0</v>
      </c>
      <c r="L18" s="45">
        <v>0</v>
      </c>
      <c r="M18" s="45">
        <v>0</v>
      </c>
      <c r="N18" s="45">
        <v>0</v>
      </c>
      <c r="P18" s="46">
        <f t="shared" si="4"/>
        <v>0</v>
      </c>
    </row>
    <row r="19" spans="2:16" ht="14.5" x14ac:dyDescent="0.35">
      <c r="B19" s="28" t="s">
        <v>32</v>
      </c>
      <c r="C19" s="41" t="str">
        <f t="shared" si="3"/>
        <v xml:space="preserve">Option 2 Building works </v>
      </c>
      <c r="E19" s="42"/>
      <c r="F19" s="43">
        <v>0</v>
      </c>
      <c r="G19" s="44">
        <f t="shared" si="5"/>
        <v>0.7</v>
      </c>
      <c r="H19" s="43">
        <v>0.3</v>
      </c>
      <c r="I19" s="42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P19" s="46">
        <f t="shared" si="4"/>
        <v>0</v>
      </c>
    </row>
    <row r="20" spans="2:16" ht="14.5" x14ac:dyDescent="0.35">
      <c r="B20" s="28" t="s">
        <v>33</v>
      </c>
      <c r="C20" s="41" t="str">
        <f t="shared" si="3"/>
        <v xml:space="preserve">Option 2 Services </v>
      </c>
      <c r="E20" s="42"/>
      <c r="F20" s="43">
        <v>0</v>
      </c>
      <c r="G20" s="44">
        <f t="shared" si="5"/>
        <v>0.19999999999999996</v>
      </c>
      <c r="H20" s="43">
        <v>0.8</v>
      </c>
      <c r="I20" s="42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P20" s="46">
        <f t="shared" si="4"/>
        <v>0</v>
      </c>
    </row>
    <row r="21" spans="2:16" ht="14.5" x14ac:dyDescent="0.35">
      <c r="B21" s="28" t="s">
        <v>34</v>
      </c>
      <c r="C21" s="41" t="str">
        <f t="shared" si="3"/>
        <v>Option 2 Fixtures, Furniture &amp; equipment</v>
      </c>
      <c r="E21" s="42"/>
      <c r="F21" s="43">
        <v>0</v>
      </c>
      <c r="G21" s="44">
        <f t="shared" si="5"/>
        <v>1</v>
      </c>
      <c r="H21" s="43">
        <v>0</v>
      </c>
      <c r="I21" s="42"/>
      <c r="J21" s="45">
        <v>0</v>
      </c>
      <c r="K21" s="45">
        <v>0</v>
      </c>
      <c r="L21" s="45">
        <v>0</v>
      </c>
      <c r="M21" s="45">
        <v>0</v>
      </c>
      <c r="N21" s="45">
        <v>0</v>
      </c>
      <c r="P21" s="46">
        <f t="shared" si="4"/>
        <v>0</v>
      </c>
    </row>
    <row r="22" spans="2:16" ht="14.5" x14ac:dyDescent="0.35">
      <c r="B22" s="28" t="s">
        <v>35</v>
      </c>
      <c r="C22" s="41" t="str">
        <f t="shared" si="3"/>
        <v>Option 2 Other</v>
      </c>
      <c r="E22" s="42"/>
      <c r="F22" s="43">
        <v>0</v>
      </c>
      <c r="G22" s="44">
        <f t="shared" si="5"/>
        <v>1</v>
      </c>
      <c r="H22" s="43">
        <v>0</v>
      </c>
      <c r="I22" s="42"/>
      <c r="J22" s="45">
        <v>0</v>
      </c>
      <c r="K22" s="45">
        <v>0</v>
      </c>
      <c r="L22" s="45">
        <v>0</v>
      </c>
      <c r="M22" s="45">
        <v>0</v>
      </c>
      <c r="N22" s="45">
        <v>0</v>
      </c>
      <c r="P22" s="46">
        <f t="shared" si="4"/>
        <v>0</v>
      </c>
    </row>
    <row r="23" spans="2:16" ht="14.5" x14ac:dyDescent="0.35">
      <c r="B23" s="37" t="s">
        <v>36</v>
      </c>
      <c r="C23" s="48" t="str">
        <f t="shared" si="3"/>
        <v>Option 2 Project Management</v>
      </c>
      <c r="D23" s="37"/>
      <c r="E23" s="42"/>
      <c r="F23" s="43">
        <v>0.5</v>
      </c>
      <c r="G23" s="44">
        <f t="shared" si="5"/>
        <v>0</v>
      </c>
      <c r="H23" s="43">
        <v>0.5</v>
      </c>
      <c r="I23" s="42"/>
      <c r="J23" s="45">
        <v>0</v>
      </c>
      <c r="K23" s="45">
        <v>0</v>
      </c>
      <c r="L23" s="45">
        <v>0</v>
      </c>
      <c r="M23" s="45">
        <v>0</v>
      </c>
      <c r="N23" s="45">
        <v>0</v>
      </c>
      <c r="P23" s="46">
        <f t="shared" si="4"/>
        <v>0</v>
      </c>
    </row>
    <row r="24" spans="2:16" x14ac:dyDescent="0.3">
      <c r="B24" s="20" t="s">
        <v>37</v>
      </c>
      <c r="C24" s="49"/>
      <c r="D24" s="20"/>
      <c r="F24" s="50"/>
      <c r="G24" s="50"/>
      <c r="H24" s="50"/>
      <c r="J24" s="51">
        <f>SUM(J15:J23)</f>
        <v>0</v>
      </c>
      <c r="K24" s="51">
        <f>SUM(K15:K23)</f>
        <v>0</v>
      </c>
      <c r="L24" s="51">
        <f>SUM(L15:L23)</f>
        <v>0</v>
      </c>
      <c r="M24" s="51">
        <f>SUM(M15:M23)</f>
        <v>0</v>
      </c>
      <c r="N24" s="51">
        <f>SUM(N15:N23)</f>
        <v>0</v>
      </c>
      <c r="P24" s="51">
        <f>SUM(P15:P23)</f>
        <v>0</v>
      </c>
    </row>
    <row r="25" spans="2:16" x14ac:dyDescent="0.3">
      <c r="B25" s="20"/>
      <c r="C25" s="49"/>
      <c r="D25" s="20"/>
      <c r="F25" s="129"/>
      <c r="G25" s="129"/>
      <c r="H25" s="129"/>
      <c r="J25" s="130"/>
      <c r="K25" s="130"/>
      <c r="L25" s="130"/>
      <c r="M25" s="130"/>
      <c r="N25" s="130"/>
      <c r="P25" s="130"/>
    </row>
    <row r="26" spans="2:16" x14ac:dyDescent="0.3">
      <c r="B26" s="131" t="s">
        <v>13</v>
      </c>
      <c r="C26" s="49"/>
      <c r="D26" s="132"/>
      <c r="E26" s="131"/>
      <c r="F26" s="133"/>
      <c r="G26" s="133"/>
      <c r="H26" s="133"/>
      <c r="I26" s="131"/>
      <c r="J26" s="134">
        <f>SUMPRODUCT($F15:$F23,J$15:J$23)</f>
        <v>0</v>
      </c>
      <c r="K26" s="134">
        <f t="shared" ref="K26:N26" si="6">SUMPRODUCT($F15:$F23,K$15:K$23)</f>
        <v>0</v>
      </c>
      <c r="L26" s="134">
        <f t="shared" si="6"/>
        <v>0</v>
      </c>
      <c r="M26" s="134">
        <f t="shared" si="6"/>
        <v>0</v>
      </c>
      <c r="N26" s="134">
        <f t="shared" si="6"/>
        <v>0</v>
      </c>
      <c r="O26" s="131"/>
      <c r="P26" s="46">
        <f t="shared" ref="P26:P28" si="7">SUM(J26:N26)</f>
        <v>0</v>
      </c>
    </row>
    <row r="27" spans="2:16" x14ac:dyDescent="0.3">
      <c r="B27" s="131" t="s">
        <v>39</v>
      </c>
      <c r="C27" s="49"/>
      <c r="D27" s="132"/>
      <c r="E27" s="131"/>
      <c r="F27" s="133"/>
      <c r="G27" s="133"/>
      <c r="H27" s="133"/>
      <c r="I27" s="131"/>
      <c r="J27" s="134">
        <f>SUMPRODUCT($G15:$G23,J$15:J$23)</f>
        <v>0</v>
      </c>
      <c r="K27" s="134">
        <f t="shared" ref="K27:N27" si="8">SUMPRODUCT($G15:$G23,K$15:K$23)</f>
        <v>0</v>
      </c>
      <c r="L27" s="134">
        <f t="shared" si="8"/>
        <v>0</v>
      </c>
      <c r="M27" s="134">
        <f t="shared" si="8"/>
        <v>0</v>
      </c>
      <c r="N27" s="134">
        <f t="shared" si="8"/>
        <v>0</v>
      </c>
      <c r="O27" s="131"/>
      <c r="P27" s="46">
        <f t="shared" si="7"/>
        <v>0</v>
      </c>
    </row>
    <row r="28" spans="2:16" x14ac:dyDescent="0.3">
      <c r="B28" s="131" t="s">
        <v>15</v>
      </c>
      <c r="C28" s="49"/>
      <c r="D28" s="132"/>
      <c r="E28" s="131"/>
      <c r="F28" s="133"/>
      <c r="G28" s="133"/>
      <c r="H28" s="133"/>
      <c r="I28" s="131"/>
      <c r="J28" s="134">
        <f>SUMPRODUCT($H15:$H23,J$15:J$23)</f>
        <v>0</v>
      </c>
      <c r="K28" s="134">
        <f t="shared" ref="K28:N28" si="9">SUMPRODUCT($H15:$H23,K$15:K$23)</f>
        <v>0</v>
      </c>
      <c r="L28" s="134">
        <f t="shared" si="9"/>
        <v>0</v>
      </c>
      <c r="M28" s="134">
        <f t="shared" si="9"/>
        <v>0</v>
      </c>
      <c r="N28" s="134">
        <f t="shared" si="9"/>
        <v>0</v>
      </c>
      <c r="O28" s="131"/>
      <c r="P28" s="46">
        <f t="shared" si="7"/>
        <v>0</v>
      </c>
    </row>
    <row r="29" spans="2:16" x14ac:dyDescent="0.3">
      <c r="B29" s="131"/>
      <c r="C29" s="49"/>
      <c r="D29" s="132"/>
      <c r="E29" s="131"/>
      <c r="F29" s="133"/>
      <c r="G29" s="133"/>
      <c r="H29" s="133"/>
      <c r="I29" s="131"/>
      <c r="J29" s="134"/>
      <c r="K29" s="134"/>
      <c r="L29" s="134"/>
      <c r="M29" s="134"/>
      <c r="N29" s="134"/>
      <c r="O29" s="131"/>
      <c r="P29" s="46"/>
    </row>
    <row r="30" spans="2:16" x14ac:dyDescent="0.3">
      <c r="B30" s="131"/>
      <c r="C30" s="49"/>
      <c r="D30" s="132"/>
      <c r="E30" s="131"/>
      <c r="F30" s="133"/>
      <c r="G30" s="133"/>
      <c r="H30" s="133"/>
      <c r="I30" s="131"/>
      <c r="J30" s="134"/>
      <c r="K30" s="134"/>
      <c r="L30" s="134"/>
      <c r="M30" s="134"/>
      <c r="N30" s="134"/>
      <c r="O30" s="131"/>
      <c r="P30" s="46"/>
    </row>
    <row r="31" spans="2:16" x14ac:dyDescent="0.3">
      <c r="B31" s="20"/>
      <c r="C31" s="49"/>
      <c r="D31" s="20"/>
      <c r="F31" s="52"/>
      <c r="G31" s="52"/>
      <c r="H31" s="52"/>
      <c r="J31" s="53"/>
      <c r="K31" s="53"/>
      <c r="L31" s="53"/>
      <c r="M31" s="53"/>
      <c r="N31" s="53"/>
      <c r="P31" s="53"/>
    </row>
    <row r="32" spans="2:16" ht="14.5" x14ac:dyDescent="0.35">
      <c r="B32" s="20"/>
      <c r="C32" s="49"/>
      <c r="J32" s="54"/>
      <c r="K32" s="54"/>
      <c r="L32" s="54"/>
      <c r="M32" s="54"/>
    </row>
    <row r="33" spans="2:16" x14ac:dyDescent="0.3">
      <c r="B33" s="38" t="s">
        <v>21</v>
      </c>
      <c r="C33" s="38"/>
      <c r="D33" s="39"/>
      <c r="F33" s="40" t="s">
        <v>13</v>
      </c>
      <c r="G33" s="40" t="s">
        <v>14</v>
      </c>
      <c r="H33" s="40" t="s">
        <v>15</v>
      </c>
      <c r="J33" s="40" t="s">
        <v>22</v>
      </c>
      <c r="K33" s="40" t="s">
        <v>23</v>
      </c>
      <c r="L33" s="40" t="s">
        <v>24</v>
      </c>
      <c r="M33" s="40" t="s">
        <v>25</v>
      </c>
      <c r="N33" s="40" t="s">
        <v>26</v>
      </c>
      <c r="P33" s="40" t="s">
        <v>27</v>
      </c>
    </row>
    <row r="34" spans="2:16" ht="14.5" x14ac:dyDescent="0.35">
      <c r="B34" s="28" t="s">
        <v>28</v>
      </c>
      <c r="C34" s="41" t="str">
        <f t="shared" ref="C34:C42" si="10">$B$33&amp;" "&amp;B34</f>
        <v xml:space="preserve">Option 2 New Depot Design </v>
      </c>
      <c r="E34" s="42"/>
      <c r="F34" s="43">
        <v>0</v>
      </c>
      <c r="G34" s="44">
        <v>0</v>
      </c>
      <c r="H34" s="43">
        <v>1</v>
      </c>
      <c r="I34" s="42"/>
      <c r="J34" s="45"/>
      <c r="K34" s="45">
        <v>815000</v>
      </c>
      <c r="L34" s="45"/>
      <c r="M34" s="45"/>
      <c r="N34" s="45"/>
      <c r="P34" s="46">
        <f t="shared" ref="P34:P42" si="11">SUM(J34:N34)</f>
        <v>815000</v>
      </c>
    </row>
    <row r="35" spans="2:16" ht="14.5" x14ac:dyDescent="0.35">
      <c r="B35" s="28" t="s">
        <v>29</v>
      </c>
      <c r="C35" s="41" t="str">
        <f t="shared" si="10"/>
        <v>Option 2 Staff Relocation / Alternative Accom</v>
      </c>
      <c r="E35" s="42"/>
      <c r="F35" s="43">
        <v>0</v>
      </c>
      <c r="G35" s="44">
        <v>9.9999999999999978E-2</v>
      </c>
      <c r="H35" s="43">
        <v>0.9</v>
      </c>
      <c r="I35" s="42"/>
      <c r="J35" s="45">
        <v>0</v>
      </c>
      <c r="K35" s="45">
        <v>330000</v>
      </c>
      <c r="L35" s="45">
        <v>340000</v>
      </c>
      <c r="M35" s="45"/>
      <c r="N35" s="45"/>
      <c r="P35" s="46">
        <f t="shared" si="11"/>
        <v>670000</v>
      </c>
    </row>
    <row r="36" spans="2:16" ht="14.5" x14ac:dyDescent="0.35">
      <c r="B36" s="28" t="s">
        <v>30</v>
      </c>
      <c r="C36" s="41" t="str">
        <f t="shared" si="10"/>
        <v>Option 2 Land acquisition</v>
      </c>
      <c r="E36" s="42"/>
      <c r="F36" s="47"/>
      <c r="G36" s="43">
        <v>1</v>
      </c>
      <c r="H36" s="47"/>
      <c r="I36" s="42"/>
      <c r="J36" s="45">
        <v>0</v>
      </c>
      <c r="K36" s="45">
        <v>9000000</v>
      </c>
      <c r="L36" s="45">
        <v>0</v>
      </c>
      <c r="M36" s="45">
        <v>0</v>
      </c>
      <c r="N36" s="45">
        <v>0</v>
      </c>
      <c r="P36" s="46">
        <f t="shared" si="11"/>
        <v>9000000</v>
      </c>
    </row>
    <row r="37" spans="2:16" ht="14.5" x14ac:dyDescent="0.35">
      <c r="B37" s="28" t="s">
        <v>31</v>
      </c>
      <c r="C37" s="41" t="str">
        <f t="shared" si="10"/>
        <v>Option 2 Civil Works/Demolition works</v>
      </c>
      <c r="E37" s="42"/>
      <c r="F37" s="43">
        <v>0</v>
      </c>
      <c r="G37" s="44">
        <v>0.5</v>
      </c>
      <c r="H37" s="43">
        <v>0.5</v>
      </c>
      <c r="I37" s="42"/>
      <c r="J37" s="45"/>
      <c r="K37" s="45"/>
      <c r="L37" s="45">
        <v>9846715.3284671493</v>
      </c>
      <c r="M37" s="45"/>
      <c r="N37" s="45"/>
      <c r="P37" s="46">
        <f t="shared" si="11"/>
        <v>9846715.3284671493</v>
      </c>
    </row>
    <row r="38" spans="2:16" ht="14.5" x14ac:dyDescent="0.35">
      <c r="B38" s="28" t="s">
        <v>32</v>
      </c>
      <c r="C38" s="41" t="str">
        <f t="shared" si="10"/>
        <v xml:space="preserve">Option 2 Building works </v>
      </c>
      <c r="E38" s="42"/>
      <c r="F38" s="43">
        <v>0</v>
      </c>
      <c r="G38" s="44">
        <v>0.7</v>
      </c>
      <c r="H38" s="43">
        <v>0.3</v>
      </c>
      <c r="I38" s="42"/>
      <c r="J38" s="45"/>
      <c r="K38" s="45"/>
      <c r="L38" s="45">
        <v>19722627.7372263</v>
      </c>
      <c r="M38" s="45"/>
      <c r="N38" s="45"/>
      <c r="P38" s="46">
        <f t="shared" si="11"/>
        <v>19722627.7372263</v>
      </c>
    </row>
    <row r="39" spans="2:16" ht="14.5" x14ac:dyDescent="0.35">
      <c r="B39" s="28" t="s">
        <v>33</v>
      </c>
      <c r="C39" s="41" t="str">
        <f t="shared" si="10"/>
        <v xml:space="preserve">Option 2 Services </v>
      </c>
      <c r="E39" s="42"/>
      <c r="F39" s="43">
        <v>0</v>
      </c>
      <c r="G39" s="44">
        <v>0.19999999999999996</v>
      </c>
      <c r="H39" s="43">
        <v>0.8</v>
      </c>
      <c r="I39" s="42"/>
      <c r="J39" s="45"/>
      <c r="K39" s="45"/>
      <c r="L39" s="45">
        <v>3217518.2481751801</v>
      </c>
      <c r="M39" s="45"/>
      <c r="N39" s="45"/>
      <c r="P39" s="46">
        <f t="shared" si="11"/>
        <v>3217518.2481751801</v>
      </c>
    </row>
    <row r="40" spans="2:16" ht="14.5" x14ac:dyDescent="0.35">
      <c r="B40" s="28" t="s">
        <v>34</v>
      </c>
      <c r="C40" s="41" t="str">
        <f t="shared" si="10"/>
        <v>Option 2 Fixtures, Furniture &amp; equipment</v>
      </c>
      <c r="E40" s="42"/>
      <c r="F40" s="43">
        <v>0</v>
      </c>
      <c r="G40" s="44">
        <v>1</v>
      </c>
      <c r="H40" s="43">
        <v>0</v>
      </c>
      <c r="I40" s="42"/>
      <c r="J40" s="45"/>
      <c r="K40" s="45"/>
      <c r="L40" s="45">
        <v>1410705.596108</v>
      </c>
      <c r="M40" s="45">
        <v>0</v>
      </c>
      <c r="N40" s="45"/>
      <c r="P40" s="46">
        <f t="shared" si="11"/>
        <v>1410705.596108</v>
      </c>
    </row>
    <row r="41" spans="2:16" ht="14.5" x14ac:dyDescent="0.35">
      <c r="B41" s="28" t="s">
        <v>35</v>
      </c>
      <c r="C41" s="41" t="str">
        <f t="shared" si="10"/>
        <v>Option 2 Other</v>
      </c>
      <c r="E41" s="42"/>
      <c r="F41" s="43">
        <v>0</v>
      </c>
      <c r="G41" s="44">
        <v>1</v>
      </c>
      <c r="H41" s="43">
        <v>0</v>
      </c>
      <c r="I41" s="42"/>
      <c r="J41" s="45"/>
      <c r="K41" s="45">
        <v>4800000</v>
      </c>
      <c r="L41" s="45">
        <v>0</v>
      </c>
      <c r="M41" s="45"/>
      <c r="N41" s="45"/>
      <c r="P41" s="46">
        <f t="shared" si="11"/>
        <v>4800000</v>
      </c>
    </row>
    <row r="42" spans="2:16" ht="14.5" x14ac:dyDescent="0.35">
      <c r="B42" s="37" t="s">
        <v>36</v>
      </c>
      <c r="C42" s="48" t="str">
        <f t="shared" si="10"/>
        <v>Option 2 Project Management</v>
      </c>
      <c r="D42" s="37"/>
      <c r="E42" s="42"/>
      <c r="F42" s="43">
        <v>0.5</v>
      </c>
      <c r="G42" s="44">
        <v>0</v>
      </c>
      <c r="H42" s="43">
        <v>0.5</v>
      </c>
      <c r="I42" s="42"/>
      <c r="J42" s="45"/>
      <c r="K42" s="45"/>
      <c r="L42" s="45">
        <v>0</v>
      </c>
      <c r="M42" s="45"/>
      <c r="N42" s="45"/>
      <c r="P42" s="46">
        <f t="shared" si="11"/>
        <v>0</v>
      </c>
    </row>
    <row r="43" spans="2:16" x14ac:dyDescent="0.3">
      <c r="B43" s="20" t="s">
        <v>37</v>
      </c>
      <c r="C43" s="49"/>
      <c r="D43" s="20"/>
      <c r="F43" s="50"/>
      <c r="G43" s="50"/>
      <c r="H43" s="50"/>
      <c r="J43" s="51">
        <f>SUM(J34:J42)</f>
        <v>0</v>
      </c>
      <c r="K43" s="51">
        <f>SUM(K34:K42)</f>
        <v>14945000</v>
      </c>
      <c r="L43" s="51">
        <f>SUM(L34:L42)</f>
        <v>34537566.909976631</v>
      </c>
      <c r="M43" s="51">
        <f>SUM(M34:M42)</f>
        <v>0</v>
      </c>
      <c r="N43" s="51">
        <f>SUM(N34:N42)</f>
        <v>0</v>
      </c>
      <c r="P43" s="51">
        <f>SUM(P34:P42)</f>
        <v>49482566.909976631</v>
      </c>
    </row>
    <row r="44" spans="2:16" x14ac:dyDescent="0.3">
      <c r="B44" s="20"/>
      <c r="C44" s="49"/>
      <c r="D44" s="20"/>
      <c r="F44" s="129"/>
      <c r="G44" s="129"/>
      <c r="H44" s="129"/>
      <c r="J44" s="130"/>
      <c r="K44" s="130"/>
      <c r="L44" s="130"/>
      <c r="M44" s="130"/>
      <c r="N44" s="130"/>
      <c r="P44" s="130"/>
    </row>
    <row r="45" spans="2:16" x14ac:dyDescent="0.3">
      <c r="B45" s="131" t="s">
        <v>13</v>
      </c>
      <c r="C45" s="49"/>
      <c r="D45" s="132"/>
      <c r="E45" s="131"/>
      <c r="F45" s="133"/>
      <c r="G45" s="133"/>
      <c r="H45" s="133"/>
      <c r="I45" s="131"/>
      <c r="J45" s="134">
        <f>SUMPRODUCT($F34:$F42,J$34:J$42)</f>
        <v>0</v>
      </c>
      <c r="K45" s="134">
        <f t="shared" ref="K45:N45" si="12">SUMPRODUCT($F34:$F42,K$34:K$42)</f>
        <v>0</v>
      </c>
      <c r="L45" s="134">
        <f t="shared" si="12"/>
        <v>0</v>
      </c>
      <c r="M45" s="134">
        <f t="shared" si="12"/>
        <v>0</v>
      </c>
      <c r="N45" s="134">
        <f t="shared" si="12"/>
        <v>0</v>
      </c>
      <c r="O45" s="131"/>
      <c r="P45" s="46">
        <f t="shared" ref="P45:P47" si="13">SUM(J45:N45)</f>
        <v>0</v>
      </c>
    </row>
    <row r="46" spans="2:16" x14ac:dyDescent="0.3">
      <c r="B46" s="131" t="s">
        <v>39</v>
      </c>
      <c r="C46" s="49"/>
      <c r="D46" s="132"/>
      <c r="E46" s="131"/>
      <c r="F46" s="133"/>
      <c r="G46" s="133"/>
      <c r="H46" s="133"/>
      <c r="I46" s="131"/>
      <c r="J46" s="134">
        <f>SUMPRODUCT($G34:$G42,J$34:J$42)</f>
        <v>0</v>
      </c>
      <c r="K46" s="134">
        <f t="shared" ref="K46:N46" si="14">SUMPRODUCT($G34:$G42,K$34:K$42)</f>
        <v>13833000</v>
      </c>
      <c r="L46" s="134">
        <f t="shared" si="14"/>
        <v>20817406.326035023</v>
      </c>
      <c r="M46" s="134">
        <f t="shared" si="14"/>
        <v>0</v>
      </c>
      <c r="N46" s="134">
        <f t="shared" si="14"/>
        <v>0</v>
      </c>
      <c r="O46" s="131"/>
      <c r="P46" s="46">
        <f t="shared" si="13"/>
        <v>34650406.326035023</v>
      </c>
    </row>
    <row r="47" spans="2:16" x14ac:dyDescent="0.3">
      <c r="B47" s="131" t="s">
        <v>15</v>
      </c>
      <c r="C47" s="49"/>
      <c r="D47" s="132"/>
      <c r="E47" s="131"/>
      <c r="F47" s="133"/>
      <c r="G47" s="133"/>
      <c r="H47" s="133"/>
      <c r="I47" s="131"/>
      <c r="J47" s="134">
        <f>SUMPRODUCT($H34:$H42,J$34:J$42)</f>
        <v>0</v>
      </c>
      <c r="K47" s="134">
        <f t="shared" ref="K47:N47" si="15">SUMPRODUCT($H34:$H42,K$34:K$42)</f>
        <v>1112000</v>
      </c>
      <c r="L47" s="134">
        <f t="shared" si="15"/>
        <v>13720160.583941609</v>
      </c>
      <c r="M47" s="134">
        <f t="shared" si="15"/>
        <v>0</v>
      </c>
      <c r="N47" s="134">
        <f t="shared" si="15"/>
        <v>0</v>
      </c>
      <c r="O47" s="131"/>
      <c r="P47" s="46">
        <f t="shared" si="13"/>
        <v>14832160.583941609</v>
      </c>
    </row>
    <row r="48" spans="2:16" x14ac:dyDescent="0.3">
      <c r="B48" s="131"/>
      <c r="C48" s="49"/>
      <c r="D48" s="132"/>
      <c r="E48" s="131"/>
      <c r="F48" s="133"/>
      <c r="G48" s="133"/>
      <c r="H48" s="133"/>
      <c r="I48" s="131"/>
      <c r="J48" s="134"/>
      <c r="K48" s="134"/>
      <c r="L48" s="134"/>
      <c r="M48" s="134"/>
      <c r="N48" s="134"/>
      <c r="O48" s="131"/>
      <c r="P48" s="46"/>
    </row>
    <row r="49" spans="2:16" x14ac:dyDescent="0.3">
      <c r="B49" s="131"/>
      <c r="C49" s="49"/>
      <c r="D49" s="132"/>
      <c r="E49" s="131"/>
      <c r="F49" s="133"/>
      <c r="G49" s="133"/>
      <c r="H49" s="133"/>
      <c r="I49" s="131"/>
      <c r="J49" s="134"/>
      <c r="K49" s="134"/>
      <c r="L49" s="134"/>
      <c r="M49" s="134"/>
      <c r="N49" s="134"/>
      <c r="O49" s="131"/>
      <c r="P49" s="46"/>
    </row>
    <row r="50" spans="2:16" x14ac:dyDescent="0.3">
      <c r="B50" s="20"/>
      <c r="C50" s="49"/>
      <c r="D50" s="20"/>
      <c r="F50" s="52"/>
      <c r="G50" s="52"/>
      <c r="H50" s="52"/>
      <c r="J50" s="53"/>
      <c r="K50" s="53"/>
      <c r="L50" s="53"/>
      <c r="M50" s="53"/>
      <c r="N50" s="53"/>
    </row>
    <row r="51" spans="2:16" ht="14.5" x14ac:dyDescent="0.35">
      <c r="B51" s="20"/>
      <c r="C51" s="49"/>
      <c r="J51" s="54"/>
      <c r="K51" s="54"/>
      <c r="L51" s="54"/>
      <c r="M51" s="54"/>
    </row>
    <row r="52" spans="2:16" x14ac:dyDescent="0.3">
      <c r="B52" s="38" t="s">
        <v>38</v>
      </c>
      <c r="C52" s="38"/>
      <c r="D52" s="39"/>
      <c r="F52" s="40" t="s">
        <v>13</v>
      </c>
      <c r="G52" s="40" t="s">
        <v>14</v>
      </c>
      <c r="H52" s="40" t="s">
        <v>15</v>
      </c>
      <c r="J52" s="40" t="s">
        <v>22</v>
      </c>
      <c r="K52" s="40" t="s">
        <v>23</v>
      </c>
      <c r="L52" s="40" t="s">
        <v>24</v>
      </c>
      <c r="M52" s="40" t="s">
        <v>25</v>
      </c>
      <c r="N52" s="40" t="s">
        <v>26</v>
      </c>
      <c r="P52" s="40" t="s">
        <v>27</v>
      </c>
    </row>
    <row r="53" spans="2:16" ht="14.5" x14ac:dyDescent="0.35">
      <c r="B53" s="28" t="s">
        <v>28</v>
      </c>
      <c r="C53" s="41" t="str">
        <f t="shared" ref="C53:C61" si="16">$B$52&amp;" "&amp;B53</f>
        <v xml:space="preserve">Option 3 New Depot Design </v>
      </c>
      <c r="E53" s="42"/>
      <c r="F53" s="43">
        <v>0</v>
      </c>
      <c r="G53" s="44">
        <v>0</v>
      </c>
      <c r="H53" s="43">
        <v>1</v>
      </c>
      <c r="I53" s="42"/>
      <c r="J53" s="45"/>
      <c r="K53" s="45">
        <v>725000</v>
      </c>
      <c r="L53" s="45"/>
      <c r="M53" s="45"/>
      <c r="N53" s="45"/>
      <c r="P53" s="46">
        <f t="shared" ref="P53:P61" si="17">SUM(J53:N53)</f>
        <v>725000</v>
      </c>
    </row>
    <row r="54" spans="2:16" ht="14.5" x14ac:dyDescent="0.35">
      <c r="B54" s="28" t="s">
        <v>29</v>
      </c>
      <c r="C54" s="41" t="str">
        <f t="shared" si="16"/>
        <v>Option 3 Staff Relocation / Alternative Accom</v>
      </c>
      <c r="E54" s="42"/>
      <c r="F54" s="43">
        <v>0</v>
      </c>
      <c r="G54" s="44">
        <v>9.9999999999999978E-2</v>
      </c>
      <c r="H54" s="43">
        <v>0.9</v>
      </c>
      <c r="I54" s="42"/>
      <c r="J54" s="45">
        <v>0</v>
      </c>
      <c r="K54" s="45">
        <v>495000</v>
      </c>
      <c r="L54" s="45">
        <v>652433.090024331</v>
      </c>
      <c r="M54" s="45"/>
      <c r="N54" s="45"/>
      <c r="P54" s="46">
        <f t="shared" si="17"/>
        <v>1147433.0900243311</v>
      </c>
    </row>
    <row r="55" spans="2:16" ht="14.5" x14ac:dyDescent="0.35">
      <c r="B55" s="28" t="s">
        <v>30</v>
      </c>
      <c r="C55" s="41" t="str">
        <f t="shared" si="16"/>
        <v>Option 3 Land acquisition</v>
      </c>
      <c r="E55" s="42"/>
      <c r="F55" s="47"/>
      <c r="G55" s="43">
        <v>1</v>
      </c>
      <c r="H55" s="47"/>
      <c r="I55" s="42"/>
      <c r="J55" s="45">
        <v>0</v>
      </c>
      <c r="K55" s="45">
        <v>0</v>
      </c>
      <c r="L55" s="45">
        <v>0</v>
      </c>
      <c r="M55" s="45">
        <v>0</v>
      </c>
      <c r="N55" s="45">
        <v>0</v>
      </c>
      <c r="P55" s="46">
        <f t="shared" si="17"/>
        <v>0</v>
      </c>
    </row>
    <row r="56" spans="2:16" ht="14.5" x14ac:dyDescent="0.35">
      <c r="B56" s="28" t="s">
        <v>31</v>
      </c>
      <c r="C56" s="41" t="str">
        <f t="shared" si="16"/>
        <v>Option 3 Civil Works/Demolition works</v>
      </c>
      <c r="E56" s="42"/>
      <c r="F56" s="43">
        <v>0</v>
      </c>
      <c r="G56" s="44">
        <v>0.5</v>
      </c>
      <c r="H56" s="43">
        <v>0.5</v>
      </c>
      <c r="I56" s="42"/>
      <c r="J56" s="45"/>
      <c r="K56" s="45"/>
      <c r="L56" s="45">
        <v>9846715.3284671493</v>
      </c>
      <c r="M56" s="45"/>
      <c r="N56" s="45"/>
      <c r="P56" s="46">
        <f t="shared" si="17"/>
        <v>9846715.3284671493</v>
      </c>
    </row>
    <row r="57" spans="2:16" ht="14.5" x14ac:dyDescent="0.35">
      <c r="B57" s="28" t="s">
        <v>32</v>
      </c>
      <c r="C57" s="41" t="str">
        <f t="shared" si="16"/>
        <v xml:space="preserve">Option 3 Building works </v>
      </c>
      <c r="E57" s="42"/>
      <c r="F57" s="43">
        <v>0</v>
      </c>
      <c r="G57" s="44">
        <v>0.7</v>
      </c>
      <c r="H57" s="43">
        <v>0.3</v>
      </c>
      <c r="I57" s="42"/>
      <c r="J57" s="45"/>
      <c r="K57" s="45"/>
      <c r="L57" s="45">
        <v>20611325</v>
      </c>
      <c r="M57" s="45"/>
      <c r="N57" s="45"/>
      <c r="P57" s="46">
        <f t="shared" si="17"/>
        <v>20611325</v>
      </c>
    </row>
    <row r="58" spans="2:16" ht="14.5" x14ac:dyDescent="0.35">
      <c r="B58" s="28" t="s">
        <v>33</v>
      </c>
      <c r="C58" s="41" t="str">
        <f t="shared" si="16"/>
        <v xml:space="preserve">Option 3 Services </v>
      </c>
      <c r="E58" s="42"/>
      <c r="F58" s="43">
        <v>0</v>
      </c>
      <c r="G58" s="44">
        <v>0.19999999999999996</v>
      </c>
      <c r="H58" s="43">
        <v>0.8</v>
      </c>
      <c r="I58" s="42"/>
      <c r="J58" s="45"/>
      <c r="K58" s="45"/>
      <c r="L58" s="45">
        <v>3217518.2481751801</v>
      </c>
      <c r="M58" s="45"/>
      <c r="N58" s="45"/>
      <c r="P58" s="46">
        <f t="shared" si="17"/>
        <v>3217518.2481751801</v>
      </c>
    </row>
    <row r="59" spans="2:16" ht="14.5" x14ac:dyDescent="0.35">
      <c r="B59" s="28" t="s">
        <v>34</v>
      </c>
      <c r="C59" s="41" t="str">
        <f t="shared" si="16"/>
        <v>Option 3 Fixtures, Furniture &amp; equipment</v>
      </c>
      <c r="E59" s="42"/>
      <c r="F59" s="43">
        <v>0</v>
      </c>
      <c r="G59" s="44">
        <v>1</v>
      </c>
      <c r="H59" s="43">
        <v>0</v>
      </c>
      <c r="I59" s="42"/>
      <c r="J59" s="45"/>
      <c r="K59" s="45"/>
      <c r="L59" s="45">
        <v>1410705.596108</v>
      </c>
      <c r="M59" s="45">
        <v>0</v>
      </c>
      <c r="N59" s="45"/>
      <c r="P59" s="46">
        <f t="shared" si="17"/>
        <v>1410705.596108</v>
      </c>
    </row>
    <row r="60" spans="2:16" ht="14.5" x14ac:dyDescent="0.35">
      <c r="B60" s="28" t="s">
        <v>35</v>
      </c>
      <c r="C60" s="41" t="str">
        <f t="shared" si="16"/>
        <v>Option 3 Other</v>
      </c>
      <c r="E60" s="42"/>
      <c r="F60" s="43">
        <v>0</v>
      </c>
      <c r="G60" s="44">
        <v>1</v>
      </c>
      <c r="H60" s="43">
        <v>0</v>
      </c>
      <c r="I60" s="42"/>
      <c r="J60" s="45"/>
      <c r="K60" s="45">
        <v>18760000</v>
      </c>
      <c r="L60" s="45">
        <v>0</v>
      </c>
      <c r="M60" s="45"/>
      <c r="N60" s="45"/>
      <c r="P60" s="46">
        <f t="shared" si="17"/>
        <v>18760000</v>
      </c>
    </row>
    <row r="61" spans="2:16" ht="14.5" x14ac:dyDescent="0.35">
      <c r="B61" s="37" t="s">
        <v>36</v>
      </c>
      <c r="C61" s="48" t="str">
        <f t="shared" si="16"/>
        <v>Option 3 Project Management</v>
      </c>
      <c r="D61" s="37"/>
      <c r="E61" s="42"/>
      <c r="F61" s="43">
        <v>0.5</v>
      </c>
      <c r="G61" s="44">
        <v>0</v>
      </c>
      <c r="H61" s="43">
        <v>0.5</v>
      </c>
      <c r="I61" s="42"/>
      <c r="J61" s="45"/>
      <c r="K61" s="45"/>
      <c r="L61" s="45">
        <v>0</v>
      </c>
      <c r="M61" s="45"/>
      <c r="N61" s="45"/>
      <c r="P61" s="46">
        <f t="shared" si="17"/>
        <v>0</v>
      </c>
    </row>
    <row r="62" spans="2:16" x14ac:dyDescent="0.3">
      <c r="B62" s="20" t="s">
        <v>37</v>
      </c>
      <c r="C62" s="49"/>
      <c r="D62" s="20"/>
      <c r="F62" s="50"/>
      <c r="G62" s="50"/>
      <c r="H62" s="50"/>
      <c r="J62" s="51">
        <f>SUM(J53:J61)</f>
        <v>0</v>
      </c>
      <c r="K62" s="51">
        <f>SUM(K53:K61)</f>
        <v>19980000</v>
      </c>
      <c r="L62" s="51">
        <f>SUM(L53:L61)</f>
        <v>35738697.262774661</v>
      </c>
      <c r="M62" s="51">
        <f>SUM(M53:M61)</f>
        <v>0</v>
      </c>
      <c r="N62" s="51">
        <f>SUM(N53:N61)</f>
        <v>0</v>
      </c>
      <c r="P62" s="51">
        <f>SUM(P53:P61)</f>
        <v>55718697.262774661</v>
      </c>
    </row>
    <row r="63" spans="2:16" ht="14.5" x14ac:dyDescent="0.35">
      <c r="C63" s="55"/>
      <c r="J63" s="54"/>
      <c r="K63" s="54"/>
      <c r="L63" s="54"/>
      <c r="M63" s="54"/>
    </row>
    <row r="64" spans="2:16" x14ac:dyDescent="0.3">
      <c r="B64" s="131" t="s">
        <v>13</v>
      </c>
      <c r="C64" s="49"/>
      <c r="D64" s="132"/>
      <c r="E64" s="131"/>
      <c r="F64" s="133"/>
      <c r="G64" s="133"/>
      <c r="H64" s="133"/>
      <c r="I64" s="131"/>
      <c r="J64" s="134">
        <f>SUMPRODUCT($F53:$F61,J$53:J$61)</f>
        <v>0</v>
      </c>
      <c r="K64" s="134">
        <f t="shared" ref="K64:N64" si="18">SUMPRODUCT($F53:$F61,K$53:K$61)</f>
        <v>0</v>
      </c>
      <c r="L64" s="134">
        <f t="shared" si="18"/>
        <v>0</v>
      </c>
      <c r="M64" s="134">
        <f t="shared" si="18"/>
        <v>0</v>
      </c>
      <c r="N64" s="134">
        <f t="shared" si="18"/>
        <v>0</v>
      </c>
      <c r="O64" s="131"/>
      <c r="P64" s="46">
        <f t="shared" ref="P64:P66" si="19">SUM(J64:N64)</f>
        <v>0</v>
      </c>
    </row>
    <row r="65" spans="2:16" x14ac:dyDescent="0.3">
      <c r="B65" s="131" t="s">
        <v>39</v>
      </c>
      <c r="C65" s="49"/>
      <c r="D65" s="132"/>
      <c r="E65" s="131"/>
      <c r="F65" s="133"/>
      <c r="G65" s="133"/>
      <c r="H65" s="133"/>
      <c r="I65" s="131"/>
      <c r="J65" s="134">
        <f>SUMPRODUCT($G53:$G61,J$53:J$61)</f>
        <v>0</v>
      </c>
      <c r="K65" s="134">
        <f t="shared" ref="K65:N65" si="20">SUMPRODUCT($G53:$G61,K$53:K$61)</f>
        <v>18809500</v>
      </c>
      <c r="L65" s="134">
        <f t="shared" si="20"/>
        <v>21470737.718979046</v>
      </c>
      <c r="M65" s="134">
        <f t="shared" si="20"/>
        <v>0</v>
      </c>
      <c r="N65" s="134">
        <f t="shared" si="20"/>
        <v>0</v>
      </c>
      <c r="O65" s="131"/>
      <c r="P65" s="46">
        <f t="shared" si="19"/>
        <v>40280237.718979046</v>
      </c>
    </row>
    <row r="66" spans="2:16" x14ac:dyDescent="0.3">
      <c r="B66" s="131" t="s">
        <v>15</v>
      </c>
      <c r="C66" s="49"/>
      <c r="D66" s="132"/>
      <c r="E66" s="131"/>
      <c r="F66" s="133"/>
      <c r="G66" s="133"/>
      <c r="H66" s="133"/>
      <c r="I66" s="131"/>
      <c r="J66" s="134">
        <f>SUMPRODUCT($H53:$H61,J$53:J$61)</f>
        <v>0</v>
      </c>
      <c r="K66" s="134">
        <f t="shared" ref="K66:N66" si="21">SUMPRODUCT($H53:$H61,K$53:K$61)</f>
        <v>1170500</v>
      </c>
      <c r="L66" s="134">
        <f t="shared" si="21"/>
        <v>14267959.543795617</v>
      </c>
      <c r="M66" s="134">
        <f t="shared" si="21"/>
        <v>0</v>
      </c>
      <c r="N66" s="134">
        <f t="shared" si="21"/>
        <v>0</v>
      </c>
      <c r="O66" s="131"/>
      <c r="P66" s="46">
        <f t="shared" si="19"/>
        <v>15438459.543795617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2768-9BA9-47B1-B8C9-1CA2DD7D8BDE}">
  <sheetPr codeName="Sheet7"/>
  <dimension ref="A1:BB255"/>
  <sheetViews>
    <sheetView showGridLines="0" zoomScaleNormal="100" workbookViewId="0">
      <selection activeCell="A3" sqref="A3"/>
    </sheetView>
  </sheetViews>
  <sheetFormatPr defaultRowHeight="14.5" outlineLevelRow="1" x14ac:dyDescent="0.35"/>
  <cols>
    <col min="2" max="2" width="37.453125" bestFit="1" customWidth="1"/>
    <col min="3" max="3" width="9.81640625" bestFit="1" customWidth="1"/>
    <col min="4" max="4" width="12.08984375" bestFit="1" customWidth="1"/>
    <col min="5" max="5" width="12.81640625" bestFit="1" customWidth="1"/>
    <col min="6" max="6" width="12.54296875" customWidth="1"/>
    <col min="7" max="7" width="9.81640625" bestFit="1" customWidth="1"/>
    <col min="8" max="8" width="9.90625" bestFit="1" customWidth="1"/>
    <col min="9" max="21" width="8.81640625" bestFit="1" customWidth="1"/>
    <col min="22" max="33" width="10.1796875" bestFit="1" customWidth="1"/>
  </cols>
  <sheetData>
    <row r="1" spans="1:54" x14ac:dyDescent="0.35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61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67" t="str">
        <f>model_name</f>
        <v>Burnley depot</v>
      </c>
      <c r="B2" s="68"/>
      <c r="C2" s="68"/>
      <c r="D2" s="68"/>
      <c r="E2" s="68"/>
      <c r="F2" s="68"/>
      <c r="G2" s="32"/>
      <c r="H2" s="32"/>
      <c r="I2" s="32"/>
      <c r="J2" s="32"/>
      <c r="K2" s="32"/>
      <c r="L2" s="32"/>
      <c r="M2" s="68"/>
      <c r="N2" s="68"/>
      <c r="O2" s="68"/>
      <c r="P2" s="68"/>
      <c r="Q2" s="68"/>
      <c r="R2" s="32"/>
      <c r="S2" s="32"/>
      <c r="T2" s="32"/>
      <c r="U2" s="32"/>
      <c r="V2" s="32"/>
      <c r="W2" s="32"/>
      <c r="X2" s="68"/>
      <c r="Y2" s="32"/>
      <c r="Z2" s="32"/>
      <c r="AA2" s="32"/>
      <c r="AB2" s="32"/>
      <c r="AC2" s="32"/>
      <c r="AD2" s="32"/>
      <c r="AE2" s="32"/>
      <c r="AF2" s="32"/>
      <c r="AG2" s="32"/>
      <c r="AH2" s="62" t="s">
        <v>4</v>
      </c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x14ac:dyDescent="0.35">
      <c r="A3" s="63" t="str">
        <f>"All dollar values are in "&amp;TEXT(input_dollars,"$ mmmm yyyy")&amp;" unless otherwise stated"</f>
        <v>All dollar values are in $ June 2024 unless otherwise stated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54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54" x14ac:dyDescent="0.35">
      <c r="A5" s="33" t="s">
        <v>49</v>
      </c>
      <c r="B5" s="33"/>
      <c r="C5" s="33"/>
      <c r="D5" s="33"/>
      <c r="E5" s="114"/>
      <c r="F5" s="33"/>
      <c r="G5" s="114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54" x14ac:dyDescent="0.35">
      <c r="A6" s="63"/>
      <c r="B6" s="36" t="s">
        <v>72</v>
      </c>
      <c r="C6" s="36"/>
      <c r="D6" s="36"/>
      <c r="E6" s="36"/>
      <c r="F6" s="36" t="s">
        <v>184</v>
      </c>
      <c r="G6" s="36" t="s">
        <v>27</v>
      </c>
      <c r="H6" s="40"/>
      <c r="I6" s="40" t="s">
        <v>22</v>
      </c>
      <c r="J6" s="40" t="s">
        <v>23</v>
      </c>
      <c r="K6" s="40" t="s">
        <v>24</v>
      </c>
      <c r="L6" s="40" t="s">
        <v>25</v>
      </c>
      <c r="M6" s="40" t="s">
        <v>26</v>
      </c>
      <c r="N6" s="40" t="s">
        <v>52</v>
      </c>
      <c r="O6" s="40" t="s">
        <v>53</v>
      </c>
      <c r="P6" s="40" t="s">
        <v>54</v>
      </c>
      <c r="Q6" s="40" t="s">
        <v>55</v>
      </c>
      <c r="R6" s="40" t="s">
        <v>56</v>
      </c>
      <c r="S6" s="40" t="s">
        <v>57</v>
      </c>
      <c r="T6" s="40" t="s">
        <v>58</v>
      </c>
      <c r="U6" s="40" t="s">
        <v>59</v>
      </c>
      <c r="V6" s="40" t="s">
        <v>60</v>
      </c>
      <c r="W6" s="40" t="s">
        <v>61</v>
      </c>
      <c r="X6" s="40" t="s">
        <v>62</v>
      </c>
      <c r="Y6" s="40" t="s">
        <v>63</v>
      </c>
      <c r="Z6" s="40" t="s">
        <v>64</v>
      </c>
      <c r="AA6" s="40" t="s">
        <v>65</v>
      </c>
      <c r="AB6" s="40" t="s">
        <v>66</v>
      </c>
      <c r="AC6" s="40" t="s">
        <v>67</v>
      </c>
      <c r="AD6" s="40" t="s">
        <v>68</v>
      </c>
      <c r="AE6" s="40" t="s">
        <v>69</v>
      </c>
      <c r="AF6" s="40" t="s">
        <v>70</v>
      </c>
      <c r="AG6" s="40" t="s">
        <v>71</v>
      </c>
      <c r="AH6" s="63"/>
    </row>
    <row r="7" spans="1:54" x14ac:dyDescent="0.35">
      <c r="A7" s="63"/>
      <c r="B7" s="63" t="s">
        <v>73</v>
      </c>
      <c r="C7" s="63"/>
      <c r="D7" s="63"/>
      <c r="E7" s="101"/>
      <c r="F7" s="101">
        <f t="shared" ref="F7:F15" si="0">NPV(real_disc,I7:AG7)</f>
        <v>8024199.7572101438</v>
      </c>
      <c r="G7" s="101">
        <f>SUM(I7:AG7)</f>
        <v>13262220.77093685</v>
      </c>
      <c r="H7" s="63"/>
      <c r="I7" s="101">
        <v>0</v>
      </c>
      <c r="J7" s="101">
        <v>0</v>
      </c>
      <c r="K7" s="101">
        <v>0</v>
      </c>
      <c r="L7" s="101">
        <f t="shared" ref="J7:AG7" si="1">L42</f>
        <v>485643.54617817764</v>
      </c>
      <c r="M7" s="101">
        <f t="shared" si="1"/>
        <v>495371.78213980951</v>
      </c>
      <c r="N7" s="101">
        <f t="shared" si="1"/>
        <v>505294.89060756238</v>
      </c>
      <c r="O7" s="101">
        <f t="shared" si="1"/>
        <v>515416.77519703418</v>
      </c>
      <c r="P7" s="101">
        <f t="shared" si="1"/>
        <v>525741.41771963972</v>
      </c>
      <c r="Q7" s="101">
        <f t="shared" si="1"/>
        <v>536272.87974900031</v>
      </c>
      <c r="R7" s="101">
        <f t="shared" si="1"/>
        <v>547015.30421871226</v>
      </c>
      <c r="S7" s="101">
        <f t="shared" si="1"/>
        <v>557972.91705211974</v>
      </c>
      <c r="T7" s="101">
        <f t="shared" si="1"/>
        <v>569150.02882473567</v>
      </c>
      <c r="U7" s="101">
        <f t="shared" si="1"/>
        <v>580551.03645996377</v>
      </c>
      <c r="V7" s="101">
        <f t="shared" si="1"/>
        <v>592180.42495878751</v>
      </c>
      <c r="W7" s="101">
        <f t="shared" si="1"/>
        <v>604042.76916410902</v>
      </c>
      <c r="X7" s="101">
        <f t="shared" si="1"/>
        <v>616142.73556042986</v>
      </c>
      <c r="Y7" s="101">
        <f t="shared" si="1"/>
        <v>628485.08410958177</v>
      </c>
      <c r="Z7" s="101">
        <f t="shared" si="1"/>
        <v>641074.6701232316</v>
      </c>
      <c r="AA7" s="101">
        <f t="shared" si="1"/>
        <v>653916.44617289421</v>
      </c>
      <c r="AB7" s="101">
        <f t="shared" si="1"/>
        <v>667015.46403820673</v>
      </c>
      <c r="AC7" s="101">
        <f t="shared" si="1"/>
        <v>680376.8766942299</v>
      </c>
      <c r="AD7" s="101">
        <f t="shared" si="1"/>
        <v>694005.94033855805</v>
      </c>
      <c r="AE7" s="101">
        <f t="shared" si="1"/>
        <v>707908.01645903569</v>
      </c>
      <c r="AF7" s="101">
        <f t="shared" si="1"/>
        <v>722088.57394289377</v>
      </c>
      <c r="AG7" s="101">
        <f t="shared" si="1"/>
        <v>736553.19122813514</v>
      </c>
      <c r="AH7" s="63"/>
    </row>
    <row r="8" spans="1:54" x14ac:dyDescent="0.35">
      <c r="A8" s="63"/>
      <c r="B8" s="63" t="s">
        <v>74</v>
      </c>
      <c r="C8" s="63"/>
      <c r="D8" s="63"/>
      <c r="E8" s="101"/>
      <c r="F8" s="101">
        <f t="shared" si="0"/>
        <v>23663903.162313342</v>
      </c>
      <c r="G8" s="101">
        <f t="shared" ref="G8:G15" si="2">SUM(I8:AG8)</f>
        <v>38665472.565511659</v>
      </c>
      <c r="H8" s="63"/>
      <c r="I8" s="101">
        <v>0</v>
      </c>
      <c r="J8" s="101">
        <v>0</v>
      </c>
      <c r="K8" s="101">
        <v>0</v>
      </c>
      <c r="L8" s="101">
        <f t="shared" ref="J8:AG8" si="3">L79</f>
        <v>1553865.8303090674</v>
      </c>
      <c r="M8" s="101">
        <f t="shared" si="3"/>
        <v>1571604.2279469511</v>
      </c>
      <c r="N8" s="101">
        <f t="shared" si="3"/>
        <v>1589574.089763639</v>
      </c>
      <c r="O8" s="101">
        <f t="shared" si="3"/>
        <v>1607778.8137159846</v>
      </c>
      <c r="P8" s="101">
        <f t="shared" si="3"/>
        <v>1626221.8534409855</v>
      </c>
      <c r="Q8" s="101">
        <f t="shared" si="3"/>
        <v>1644906.7192472834</v>
      </c>
      <c r="R8" s="101">
        <f t="shared" si="3"/>
        <v>1663836.979125286</v>
      </c>
      <c r="S8" s="101">
        <f t="shared" si="3"/>
        <v>1683016.2597762735</v>
      </c>
      <c r="T8" s="101">
        <f t="shared" si="3"/>
        <v>1702448.2476608532</v>
      </c>
      <c r="U8" s="101">
        <f t="shared" si="3"/>
        <v>1722136.6900671446</v>
      </c>
      <c r="V8" s="101">
        <f t="shared" si="3"/>
        <v>1742085.3961990699</v>
      </c>
      <c r="W8" s="101">
        <f t="shared" si="3"/>
        <v>1762298.2382851429</v>
      </c>
      <c r="X8" s="101">
        <f t="shared" si="3"/>
        <v>1782779.1527081567</v>
      </c>
      <c r="Y8" s="101">
        <f t="shared" si="3"/>
        <v>1803532.1411561694</v>
      </c>
      <c r="Z8" s="101">
        <f t="shared" si="3"/>
        <v>1824561.2717952069</v>
      </c>
      <c r="AA8" s="101">
        <f t="shared" si="3"/>
        <v>1845870.680464102</v>
      </c>
      <c r="AB8" s="101">
        <f t="shared" si="3"/>
        <v>1867464.5718918978</v>
      </c>
      <c r="AC8" s="101">
        <f t="shared" si="3"/>
        <v>1889347.2209382586</v>
      </c>
      <c r="AD8" s="101">
        <f t="shared" si="3"/>
        <v>1911522.9738573313</v>
      </c>
      <c r="AE8" s="101">
        <f t="shared" si="3"/>
        <v>1933996.2495855135</v>
      </c>
      <c r="AF8" s="101">
        <f t="shared" si="3"/>
        <v>1956771.5410535955</v>
      </c>
      <c r="AG8" s="101">
        <f t="shared" si="3"/>
        <v>1979853.4165237469</v>
      </c>
      <c r="AH8" s="63"/>
    </row>
    <row r="9" spans="1:54" x14ac:dyDescent="0.35">
      <c r="A9" s="63"/>
      <c r="B9" s="63" t="s">
        <v>75</v>
      </c>
      <c r="C9" s="63"/>
      <c r="D9" s="63"/>
      <c r="E9" s="101"/>
      <c r="F9" s="101">
        <f t="shared" si="0"/>
        <v>20802389.166325659</v>
      </c>
      <c r="G9" s="101">
        <f t="shared" si="2"/>
        <v>33915677.77576907</v>
      </c>
      <c r="H9" s="63"/>
      <c r="I9" s="101">
        <v>0</v>
      </c>
      <c r="J9" s="101">
        <v>0</v>
      </c>
      <c r="K9" s="101">
        <v>0</v>
      </c>
      <c r="L9" s="101">
        <f t="shared" ref="J9:AG9" si="4">L104</f>
        <v>1385920.7086246656</v>
      </c>
      <c r="M9" s="101">
        <f t="shared" si="4"/>
        <v>1399779.9157109121</v>
      </c>
      <c r="N9" s="101">
        <f t="shared" si="4"/>
        <v>1413777.7148680214</v>
      </c>
      <c r="O9" s="101">
        <f t="shared" si="4"/>
        <v>1427915.4920167015</v>
      </c>
      <c r="P9" s="101">
        <f t="shared" si="4"/>
        <v>1442194.6469368688</v>
      </c>
      <c r="Q9" s="101">
        <f t="shared" si="4"/>
        <v>1456616.5934062374</v>
      </c>
      <c r="R9" s="101">
        <f t="shared" si="4"/>
        <v>1471182.7593402998</v>
      </c>
      <c r="S9" s="101">
        <f t="shared" si="4"/>
        <v>1485894.5869337027</v>
      </c>
      <c r="T9" s="101">
        <f t="shared" si="4"/>
        <v>1500753.5328030398</v>
      </c>
      <c r="U9" s="101">
        <f t="shared" si="4"/>
        <v>1515761.0681310701</v>
      </c>
      <c r="V9" s="101">
        <f t="shared" si="4"/>
        <v>1530918.6788123809</v>
      </c>
      <c r="W9" s="101">
        <f t="shared" si="4"/>
        <v>1546227.8656005047</v>
      </c>
      <c r="X9" s="101">
        <f t="shared" si="4"/>
        <v>1561690.1442565098</v>
      </c>
      <c r="Y9" s="101">
        <f t="shared" si="4"/>
        <v>1577307.0456990749</v>
      </c>
      <c r="Z9" s="101">
        <f t="shared" si="4"/>
        <v>1593080.1161560656</v>
      </c>
      <c r="AA9" s="101">
        <f t="shared" si="4"/>
        <v>1609010.9173176263</v>
      </c>
      <c r="AB9" s="101">
        <f t="shared" si="4"/>
        <v>1625101.0264908026</v>
      </c>
      <c r="AC9" s="101">
        <f t="shared" si="4"/>
        <v>1641352.0367557106</v>
      </c>
      <c r="AD9" s="101">
        <f t="shared" si="4"/>
        <v>1657765.5571232676</v>
      </c>
      <c r="AE9" s="101">
        <f t="shared" si="4"/>
        <v>1674343.2126945003</v>
      </c>
      <c r="AF9" s="101">
        <f t="shared" si="4"/>
        <v>1691086.6448214455</v>
      </c>
      <c r="AG9" s="101">
        <f t="shared" si="4"/>
        <v>1707997.51126966</v>
      </c>
      <c r="AH9" s="63"/>
    </row>
    <row r="10" spans="1:54" x14ac:dyDescent="0.35">
      <c r="A10" s="63"/>
      <c r="B10" s="63" t="s">
        <v>76</v>
      </c>
      <c r="C10" s="63"/>
      <c r="D10" s="63"/>
      <c r="E10" s="101"/>
      <c r="F10" s="101">
        <f t="shared" si="0"/>
        <v>3908525.4382854383</v>
      </c>
      <c r="G10" s="101">
        <f t="shared" si="2"/>
        <v>6315725.456444676</v>
      </c>
      <c r="H10" s="63"/>
      <c r="I10" s="101">
        <v>0</v>
      </c>
      <c r="J10" s="101">
        <v>0</v>
      </c>
      <c r="K10" s="101">
        <v>0</v>
      </c>
      <c r="L10" s="101">
        <f t="shared" ref="J10:AG10" si="5">L125</f>
        <v>276941.64543372334</v>
      </c>
      <c r="M10" s="101">
        <f t="shared" si="5"/>
        <v>277843.93756173423</v>
      </c>
      <c r="N10" s="101">
        <f t="shared" si="5"/>
        <v>278755.25261102518</v>
      </c>
      <c r="O10" s="101">
        <f t="shared" si="5"/>
        <v>279675.68081080908</v>
      </c>
      <c r="P10" s="101">
        <f t="shared" si="5"/>
        <v>280605.31329259078</v>
      </c>
      <c r="Q10" s="101">
        <f t="shared" si="5"/>
        <v>281544.24209919031</v>
      </c>
      <c r="R10" s="101">
        <f t="shared" si="5"/>
        <v>282492.56019385578</v>
      </c>
      <c r="S10" s="101">
        <f t="shared" si="5"/>
        <v>283450.36146946799</v>
      </c>
      <c r="T10" s="101">
        <f t="shared" si="5"/>
        <v>284417.74075783626</v>
      </c>
      <c r="U10" s="101">
        <f t="shared" si="5"/>
        <v>285394.79383908829</v>
      </c>
      <c r="V10" s="101">
        <f t="shared" si="5"/>
        <v>286381.61745115276</v>
      </c>
      <c r="W10" s="101">
        <f t="shared" si="5"/>
        <v>287378.30929933791</v>
      </c>
      <c r="X10" s="101">
        <f t="shared" si="5"/>
        <v>288384.96806600492</v>
      </c>
      <c r="Y10" s="101">
        <f t="shared" si="5"/>
        <v>289401.69342033856</v>
      </c>
      <c r="Z10" s="101">
        <f t="shared" si="5"/>
        <v>290428.58602821559</v>
      </c>
      <c r="AA10" s="101">
        <f t="shared" si="5"/>
        <v>291465.74756217137</v>
      </c>
      <c r="AB10" s="101">
        <f t="shared" si="5"/>
        <v>292513.28071146668</v>
      </c>
      <c r="AC10" s="101">
        <f t="shared" si="5"/>
        <v>293571.28919225495</v>
      </c>
      <c r="AD10" s="101">
        <f t="shared" si="5"/>
        <v>294639.87775785115</v>
      </c>
      <c r="AE10" s="101">
        <f t="shared" si="5"/>
        <v>295719.15220910322</v>
      </c>
      <c r="AF10" s="101">
        <f t="shared" si="5"/>
        <v>296809.21940486791</v>
      </c>
      <c r="AG10" s="101">
        <f t="shared" si="5"/>
        <v>297910.18727259024</v>
      </c>
      <c r="AH10" s="63"/>
    </row>
    <row r="11" spans="1:54" x14ac:dyDescent="0.35">
      <c r="A11" s="63"/>
      <c r="B11" s="63" t="s">
        <v>77</v>
      </c>
      <c r="C11" s="63"/>
      <c r="D11" s="63"/>
      <c r="E11" s="101"/>
      <c r="F11" s="101">
        <f t="shared" si="0"/>
        <v>3466719.094371804</v>
      </c>
      <c r="G11" s="101">
        <f t="shared" si="2"/>
        <v>5575182.9250852652</v>
      </c>
      <c r="H11" s="63"/>
      <c r="I11" s="101">
        <v>0</v>
      </c>
      <c r="J11" s="101">
        <v>0</v>
      </c>
      <c r="K11" s="101">
        <v>0</v>
      </c>
      <c r="L11" s="101">
        <f t="shared" ref="J11:AG11" si="6">L154</f>
        <v>253417.40568569372</v>
      </c>
      <c r="M11" s="101">
        <f t="shared" si="6"/>
        <v>253417.40568569372</v>
      </c>
      <c r="N11" s="101">
        <f t="shared" si="6"/>
        <v>253417.40568569372</v>
      </c>
      <c r="O11" s="101">
        <f t="shared" si="6"/>
        <v>253417.40568569372</v>
      </c>
      <c r="P11" s="101">
        <f t="shared" si="6"/>
        <v>253417.40568569372</v>
      </c>
      <c r="Q11" s="101">
        <f t="shared" si="6"/>
        <v>253417.40568569372</v>
      </c>
      <c r="R11" s="101">
        <f t="shared" si="6"/>
        <v>253417.40568569372</v>
      </c>
      <c r="S11" s="101">
        <f t="shared" si="6"/>
        <v>253417.40568569372</v>
      </c>
      <c r="T11" s="101">
        <f t="shared" si="6"/>
        <v>253417.40568569372</v>
      </c>
      <c r="U11" s="101">
        <f t="shared" si="6"/>
        <v>253417.40568569372</v>
      </c>
      <c r="V11" s="101">
        <f t="shared" si="6"/>
        <v>253417.40568569372</v>
      </c>
      <c r="W11" s="101">
        <f t="shared" si="6"/>
        <v>253417.40568569372</v>
      </c>
      <c r="X11" s="101">
        <f t="shared" si="6"/>
        <v>253417.40568569372</v>
      </c>
      <c r="Y11" s="101">
        <f t="shared" si="6"/>
        <v>253417.40568569372</v>
      </c>
      <c r="Z11" s="101">
        <f t="shared" si="6"/>
        <v>253417.40568569372</v>
      </c>
      <c r="AA11" s="101">
        <f t="shared" si="6"/>
        <v>253417.40568569372</v>
      </c>
      <c r="AB11" s="101">
        <f t="shared" si="6"/>
        <v>253417.40568569372</v>
      </c>
      <c r="AC11" s="101">
        <f t="shared" si="6"/>
        <v>253417.40568569372</v>
      </c>
      <c r="AD11" s="101">
        <f t="shared" si="6"/>
        <v>253417.40568569372</v>
      </c>
      <c r="AE11" s="101">
        <f t="shared" si="6"/>
        <v>253417.40568569372</v>
      </c>
      <c r="AF11" s="101">
        <f t="shared" si="6"/>
        <v>253417.40568569372</v>
      </c>
      <c r="AG11" s="101">
        <f t="shared" si="6"/>
        <v>253417.40568569372</v>
      </c>
      <c r="AH11" s="63"/>
    </row>
    <row r="12" spans="1:54" x14ac:dyDescent="0.35">
      <c r="A12" s="63"/>
      <c r="B12" s="63" t="s">
        <v>147</v>
      </c>
      <c r="C12" s="63"/>
      <c r="D12" s="63"/>
      <c r="E12" s="101"/>
      <c r="F12" s="101">
        <f t="shared" si="0"/>
        <v>5770757.1824223269</v>
      </c>
      <c r="G12" s="101">
        <f t="shared" si="2"/>
        <v>9280540.4858117271</v>
      </c>
      <c r="H12" s="63"/>
      <c r="I12" s="101">
        <v>0</v>
      </c>
      <c r="J12" s="101">
        <v>0</v>
      </c>
      <c r="K12" s="101">
        <v>0</v>
      </c>
      <c r="L12" s="101">
        <f t="shared" ref="J12:AG12" si="7">L182</f>
        <v>421842.74935507856</v>
      </c>
      <c r="M12" s="101">
        <f t="shared" si="7"/>
        <v>421842.74935507856</v>
      </c>
      <c r="N12" s="101">
        <f t="shared" si="7"/>
        <v>421842.74935507856</v>
      </c>
      <c r="O12" s="101">
        <f t="shared" si="7"/>
        <v>421842.74935507856</v>
      </c>
      <c r="P12" s="101">
        <f t="shared" si="7"/>
        <v>421842.74935507856</v>
      </c>
      <c r="Q12" s="101">
        <f t="shared" si="7"/>
        <v>421842.74935507856</v>
      </c>
      <c r="R12" s="101">
        <f t="shared" si="7"/>
        <v>421842.74935507856</v>
      </c>
      <c r="S12" s="101">
        <f t="shared" si="7"/>
        <v>421842.74935507856</v>
      </c>
      <c r="T12" s="101">
        <f t="shared" si="7"/>
        <v>421842.74935507856</v>
      </c>
      <c r="U12" s="101">
        <f t="shared" si="7"/>
        <v>421842.74935507856</v>
      </c>
      <c r="V12" s="101">
        <f t="shared" si="7"/>
        <v>421842.74935507856</v>
      </c>
      <c r="W12" s="101">
        <f t="shared" si="7"/>
        <v>421842.74935507856</v>
      </c>
      <c r="X12" s="101">
        <f t="shared" si="7"/>
        <v>421842.74935507856</v>
      </c>
      <c r="Y12" s="101">
        <f t="shared" si="7"/>
        <v>421842.74935507856</v>
      </c>
      <c r="Z12" s="101">
        <f t="shared" si="7"/>
        <v>421842.74935507856</v>
      </c>
      <c r="AA12" s="101">
        <f t="shared" si="7"/>
        <v>421842.74935507856</v>
      </c>
      <c r="AB12" s="101">
        <f t="shared" si="7"/>
        <v>421842.74935507856</v>
      </c>
      <c r="AC12" s="101">
        <f t="shared" si="7"/>
        <v>421842.74935507856</v>
      </c>
      <c r="AD12" s="101">
        <f t="shared" si="7"/>
        <v>421842.74935507856</v>
      </c>
      <c r="AE12" s="101">
        <f t="shared" si="7"/>
        <v>421842.74935507856</v>
      </c>
      <c r="AF12" s="101">
        <f t="shared" si="7"/>
        <v>421842.74935507856</v>
      </c>
      <c r="AG12" s="101">
        <f t="shared" si="7"/>
        <v>421842.74935507856</v>
      </c>
      <c r="AH12" s="63"/>
    </row>
    <row r="13" spans="1:54" x14ac:dyDescent="0.35">
      <c r="A13" s="63"/>
      <c r="B13" s="63" t="s">
        <v>78</v>
      </c>
      <c r="C13" s="63"/>
      <c r="D13" s="63"/>
      <c r="E13" s="101"/>
      <c r="F13" s="101">
        <f t="shared" si="0"/>
        <v>4539119.4529676726</v>
      </c>
      <c r="G13" s="101">
        <f t="shared" si="2"/>
        <v>7299818.8143344345</v>
      </c>
      <c r="H13" s="63"/>
      <c r="I13" s="101">
        <v>0</v>
      </c>
      <c r="J13" s="101">
        <v>0</v>
      </c>
      <c r="K13" s="101">
        <v>0</v>
      </c>
      <c r="L13" s="101">
        <f t="shared" ref="J13:AG13" si="8">L216</f>
        <v>331809.94610611064</v>
      </c>
      <c r="M13" s="101">
        <f t="shared" si="8"/>
        <v>331809.94610611064</v>
      </c>
      <c r="N13" s="101">
        <f t="shared" si="8"/>
        <v>331809.94610611064</v>
      </c>
      <c r="O13" s="101">
        <f t="shared" si="8"/>
        <v>331809.94610611064</v>
      </c>
      <c r="P13" s="101">
        <f t="shared" si="8"/>
        <v>331809.94610611064</v>
      </c>
      <c r="Q13" s="101">
        <f t="shared" si="8"/>
        <v>331809.94610611064</v>
      </c>
      <c r="R13" s="101">
        <f t="shared" si="8"/>
        <v>331809.94610611064</v>
      </c>
      <c r="S13" s="101">
        <f t="shared" si="8"/>
        <v>331809.94610611064</v>
      </c>
      <c r="T13" s="101">
        <f t="shared" si="8"/>
        <v>331809.94610611064</v>
      </c>
      <c r="U13" s="101">
        <f t="shared" si="8"/>
        <v>331809.94610611064</v>
      </c>
      <c r="V13" s="101">
        <f t="shared" si="8"/>
        <v>331809.94610611064</v>
      </c>
      <c r="W13" s="101">
        <f t="shared" si="8"/>
        <v>331809.94610611064</v>
      </c>
      <c r="X13" s="101">
        <f t="shared" si="8"/>
        <v>331809.94610611064</v>
      </c>
      <c r="Y13" s="101">
        <f t="shared" si="8"/>
        <v>331809.94610611064</v>
      </c>
      <c r="Z13" s="101">
        <f t="shared" si="8"/>
        <v>331809.94610611064</v>
      </c>
      <c r="AA13" s="101">
        <f t="shared" si="8"/>
        <v>331809.94610611064</v>
      </c>
      <c r="AB13" s="101">
        <f t="shared" si="8"/>
        <v>331809.94610611064</v>
      </c>
      <c r="AC13" s="101">
        <f t="shared" si="8"/>
        <v>331809.94610611064</v>
      </c>
      <c r="AD13" s="101">
        <f t="shared" si="8"/>
        <v>331809.94610611064</v>
      </c>
      <c r="AE13" s="101">
        <f t="shared" si="8"/>
        <v>331809.94610611064</v>
      </c>
      <c r="AF13" s="101">
        <f t="shared" si="8"/>
        <v>331809.94610611064</v>
      </c>
      <c r="AG13" s="101">
        <f t="shared" si="8"/>
        <v>331809.94610611064</v>
      </c>
      <c r="AH13" s="63"/>
    </row>
    <row r="14" spans="1:54" x14ac:dyDescent="0.35">
      <c r="A14" s="63"/>
      <c r="B14" s="63" t="s">
        <v>224</v>
      </c>
      <c r="C14" s="63"/>
      <c r="D14" s="63"/>
      <c r="E14" s="101"/>
      <c r="F14" s="101">
        <f t="shared" ref="F14" si="9">NPV(real_disc,I14:AG14)</f>
        <v>-2313296.8136007255</v>
      </c>
      <c r="G14" s="101">
        <f t="shared" ref="G14" si="10">SUM(I14:AG14)</f>
        <v>-3823366.0650223168</v>
      </c>
      <c r="H14" s="63"/>
      <c r="I14" s="101">
        <f>I232</f>
        <v>0</v>
      </c>
      <c r="J14" s="101">
        <f t="shared" ref="J14:AG14" si="11">J232</f>
        <v>0</v>
      </c>
      <c r="K14" s="101">
        <f t="shared" si="11"/>
        <v>0</v>
      </c>
      <c r="L14" s="101">
        <f t="shared" si="11"/>
        <v>-140006.19400212096</v>
      </c>
      <c r="M14" s="101">
        <f t="shared" si="11"/>
        <v>-142810.74746949668</v>
      </c>
      <c r="N14" s="101">
        <f t="shared" si="11"/>
        <v>-145671.48073811212</v>
      </c>
      <c r="O14" s="101">
        <f t="shared" si="11"/>
        <v>-148589.51918143727</v>
      </c>
      <c r="P14" s="101">
        <f t="shared" si="11"/>
        <v>-151566.01071601664</v>
      </c>
      <c r="Q14" s="101">
        <f t="shared" si="11"/>
        <v>-154602.12625304403</v>
      </c>
      <c r="R14" s="101">
        <f t="shared" si="11"/>
        <v>-157699.06015898296</v>
      </c>
      <c r="S14" s="101">
        <f t="shared" si="11"/>
        <v>-160858.03072541422</v>
      </c>
      <c r="T14" s="101">
        <f t="shared" si="11"/>
        <v>-164080.28064829519</v>
      </c>
      <c r="U14" s="101">
        <f t="shared" si="11"/>
        <v>-167367.07751681935</v>
      </c>
      <c r="V14" s="101">
        <f t="shared" si="11"/>
        <v>-170719.71431206874</v>
      </c>
      <c r="W14" s="101">
        <f t="shared" si="11"/>
        <v>-174139.50991565504</v>
      </c>
      <c r="X14" s="101">
        <f t="shared" si="11"/>
        <v>-177627.80962854958</v>
      </c>
      <c r="Y14" s="101">
        <f t="shared" si="11"/>
        <v>-181185.98570030648</v>
      </c>
      <c r="Z14" s="101">
        <f t="shared" si="11"/>
        <v>-184815.43786888686</v>
      </c>
      <c r="AA14" s="101">
        <f t="shared" si="11"/>
        <v>-188517.59391129663</v>
      </c>
      <c r="AB14" s="101">
        <f t="shared" si="11"/>
        <v>-192293.91020525462</v>
      </c>
      <c r="AC14" s="101">
        <f t="shared" si="11"/>
        <v>-196145.87230211165</v>
      </c>
      <c r="AD14" s="101">
        <f t="shared" si="11"/>
        <v>-200074.99551124615</v>
      </c>
      <c r="AE14" s="101">
        <f t="shared" si="11"/>
        <v>-204082.82549616628</v>
      </c>
      <c r="AF14" s="101">
        <f t="shared" si="11"/>
        <v>-208170.93888255284</v>
      </c>
      <c r="AG14" s="101">
        <f t="shared" si="11"/>
        <v>-212340.94387848236</v>
      </c>
      <c r="AH14" s="63"/>
    </row>
    <row r="15" spans="1:54" x14ac:dyDescent="0.35">
      <c r="A15" s="63"/>
      <c r="B15" s="63" t="s">
        <v>80</v>
      </c>
      <c r="C15" s="63"/>
      <c r="D15" s="63"/>
      <c r="E15" s="101"/>
      <c r="F15" s="101">
        <f t="shared" si="0"/>
        <v>4801546.1101860572</v>
      </c>
      <c r="G15" s="101">
        <f t="shared" si="2"/>
        <v>5232000</v>
      </c>
      <c r="H15" s="63"/>
      <c r="I15" s="101">
        <f>I255</f>
        <v>0</v>
      </c>
      <c r="J15" s="101">
        <f t="shared" ref="J15:AG15" si="12">J255</f>
        <v>2616000</v>
      </c>
      <c r="K15" s="101">
        <f t="shared" si="12"/>
        <v>2616000</v>
      </c>
      <c r="L15" s="101">
        <f t="shared" si="12"/>
        <v>0</v>
      </c>
      <c r="M15" s="101">
        <f t="shared" si="12"/>
        <v>0</v>
      </c>
      <c r="N15" s="101">
        <f t="shared" si="12"/>
        <v>0</v>
      </c>
      <c r="O15" s="101">
        <f t="shared" si="12"/>
        <v>0</v>
      </c>
      <c r="P15" s="101">
        <f t="shared" si="12"/>
        <v>0</v>
      </c>
      <c r="Q15" s="101">
        <f t="shared" si="12"/>
        <v>0</v>
      </c>
      <c r="R15" s="101">
        <f t="shared" si="12"/>
        <v>0</v>
      </c>
      <c r="S15" s="101">
        <f t="shared" si="12"/>
        <v>0</v>
      </c>
      <c r="T15" s="101">
        <f t="shared" si="12"/>
        <v>0</v>
      </c>
      <c r="U15" s="101">
        <f t="shared" si="12"/>
        <v>0</v>
      </c>
      <c r="V15" s="101">
        <f t="shared" si="12"/>
        <v>0</v>
      </c>
      <c r="W15" s="101">
        <f t="shared" si="12"/>
        <v>0</v>
      </c>
      <c r="X15" s="101">
        <f t="shared" si="12"/>
        <v>0</v>
      </c>
      <c r="Y15" s="101">
        <f t="shared" si="12"/>
        <v>0</v>
      </c>
      <c r="Z15" s="101">
        <f t="shared" si="12"/>
        <v>0</v>
      </c>
      <c r="AA15" s="101">
        <f t="shared" si="12"/>
        <v>0</v>
      </c>
      <c r="AB15" s="101">
        <f t="shared" si="12"/>
        <v>0</v>
      </c>
      <c r="AC15" s="101">
        <f t="shared" si="12"/>
        <v>0</v>
      </c>
      <c r="AD15" s="101">
        <f t="shared" si="12"/>
        <v>0</v>
      </c>
      <c r="AE15" s="101">
        <f t="shared" si="12"/>
        <v>0</v>
      </c>
      <c r="AF15" s="101">
        <f t="shared" si="12"/>
        <v>0</v>
      </c>
      <c r="AG15" s="101">
        <f t="shared" si="12"/>
        <v>0</v>
      </c>
      <c r="AH15" s="63"/>
    </row>
    <row r="16" spans="1:54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</row>
    <row r="17" spans="1:3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x14ac:dyDescent="0.35">
      <c r="A18" s="33" t="s">
        <v>79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x14ac:dyDescent="0.35">
      <c r="A20" s="80"/>
      <c r="B20" s="78" t="s">
        <v>73</v>
      </c>
      <c r="C20" s="78"/>
      <c r="D20" s="78"/>
      <c r="E20" s="78"/>
      <c r="F20" s="78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</row>
    <row r="21" spans="1:34" x14ac:dyDescent="0.3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idden="1" outlineLevel="1" x14ac:dyDescent="0.35">
      <c r="A22" s="63"/>
      <c r="B22" s="82" t="s">
        <v>93</v>
      </c>
      <c r="C22" s="82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63"/>
    </row>
    <row r="23" spans="1:34" hidden="1" outlineLevel="1" x14ac:dyDescent="0.35">
      <c r="A23" s="63"/>
      <c r="B23" s="63" t="s">
        <v>183</v>
      </c>
      <c r="C23" s="98" t="str">
        <f>'Risk Assumptions'!F9</f>
        <v>#</v>
      </c>
      <c r="D23" s="83">
        <f>'Risk Assumptions'!G9</f>
        <v>6794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idden="1" outlineLevel="1" x14ac:dyDescent="0.35">
      <c r="A24" s="63"/>
      <c r="B24" s="63" t="s">
        <v>95</v>
      </c>
      <c r="C24" s="99" t="str">
        <f>'Risk Assumptions'!F11</f>
        <v>%</v>
      </c>
      <c r="D24" s="84">
        <f>'Risk Assumptions'!G11</f>
        <v>0.1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4" hidden="1" outlineLevel="1" x14ac:dyDescent="0.35">
      <c r="A25" s="63"/>
      <c r="B25" s="63" t="s">
        <v>96</v>
      </c>
      <c r="C25" s="100" t="str">
        <f>'Risk Assumptions'!F12</f>
        <v>$ June 2024</v>
      </c>
      <c r="D25" s="85">
        <f>'Risk Assumptions'!G12</f>
        <v>107.10104529616724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4" hidden="1" outlineLevel="1" x14ac:dyDescent="0.35">
      <c r="A26" s="63"/>
      <c r="B26" s="63" t="s">
        <v>94</v>
      </c>
      <c r="C26" s="99" t="str">
        <f>'Risk Assumptions'!F10</f>
        <v>%</v>
      </c>
      <c r="D26" s="84">
        <f>'Risk Assumptions'!G10</f>
        <v>2.0031638509745067E-2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hidden="1" outlineLevel="1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hidden="1" outlineLevel="1" x14ac:dyDescent="0.35">
      <c r="A28" s="63"/>
      <c r="B28" s="86"/>
      <c r="C28" s="86"/>
      <c r="D28" s="86"/>
      <c r="E28" s="86"/>
      <c r="F28" s="86"/>
      <c r="G28" s="86"/>
      <c r="H28" s="102" t="s">
        <v>19</v>
      </c>
      <c r="I28" s="69" t="s">
        <v>22</v>
      </c>
      <c r="J28" s="69" t="s">
        <v>23</v>
      </c>
      <c r="K28" s="69" t="s">
        <v>24</v>
      </c>
      <c r="L28" s="69" t="s">
        <v>25</v>
      </c>
      <c r="M28" s="69" t="s">
        <v>26</v>
      </c>
      <c r="N28" s="69" t="s">
        <v>52</v>
      </c>
      <c r="O28" s="69" t="s">
        <v>53</v>
      </c>
      <c r="P28" s="69" t="s">
        <v>54</v>
      </c>
      <c r="Q28" s="69" t="s">
        <v>55</v>
      </c>
      <c r="R28" s="69" t="s">
        <v>56</v>
      </c>
      <c r="S28" s="69" t="s">
        <v>57</v>
      </c>
      <c r="T28" s="69" t="s">
        <v>58</v>
      </c>
      <c r="U28" s="69" t="s">
        <v>59</v>
      </c>
      <c r="V28" s="69" t="s">
        <v>60</v>
      </c>
      <c r="W28" s="69" t="s">
        <v>61</v>
      </c>
      <c r="X28" s="69" t="s">
        <v>62</v>
      </c>
      <c r="Y28" s="69" t="s">
        <v>63</v>
      </c>
      <c r="Z28" s="69" t="s">
        <v>64</v>
      </c>
      <c r="AA28" s="69" t="s">
        <v>65</v>
      </c>
      <c r="AB28" s="69" t="s">
        <v>66</v>
      </c>
      <c r="AC28" s="69" t="s">
        <v>67</v>
      </c>
      <c r="AD28" s="69" t="s">
        <v>68</v>
      </c>
      <c r="AE28" s="69" t="s">
        <v>69</v>
      </c>
      <c r="AF28" s="69" t="s">
        <v>70</v>
      </c>
      <c r="AG28" s="69" t="s">
        <v>71</v>
      </c>
      <c r="AH28" s="63"/>
    </row>
    <row r="29" spans="1:34" hidden="1" outlineLevel="1" x14ac:dyDescent="0.35">
      <c r="A29" s="63"/>
      <c r="B29" s="63" t="str">
        <f>B22</f>
        <v>Cost to customer of delays in new connections</v>
      </c>
      <c r="C29" s="63"/>
      <c r="D29" s="63"/>
      <c r="E29" s="63"/>
      <c r="F29" s="63"/>
      <c r="G29" s="63"/>
      <c r="H29" s="103">
        <f>D23*D24*D25*(1+D26)^2</f>
        <v>75708.830437973724</v>
      </c>
      <c r="I29" s="101">
        <f t="shared" ref="I29:AG29" si="13">H29*(1+$D$26)</f>
        <v>77225.402361302797</v>
      </c>
      <c r="J29" s="101">
        <f t="shared" si="13"/>
        <v>78772.353705174028</v>
      </c>
      <c r="K29" s="101">
        <f t="shared" si="13"/>
        <v>80350.293019157849</v>
      </c>
      <c r="L29" s="101">
        <f t="shared" si="13"/>
        <v>81959.841043069711</v>
      </c>
      <c r="M29" s="101">
        <f t="shared" si="13"/>
        <v>83601.630951160638</v>
      </c>
      <c r="N29" s="101">
        <f t="shared" si="13"/>
        <v>85276.308601199402</v>
      </c>
      <c r="O29" s="101">
        <f t="shared" si="13"/>
        <v>86984.532788544078</v>
      </c>
      <c r="P29" s="101">
        <f t="shared" si="13"/>
        <v>88726.975505303257</v>
      </c>
      <c r="Q29" s="101">
        <f t="shared" si="13"/>
        <v>90504.322204688491</v>
      </c>
      <c r="R29" s="101">
        <f t="shared" si="13"/>
        <v>92317.272070662293</v>
      </c>
      <c r="S29" s="101">
        <f t="shared" si="13"/>
        <v>94166.538292987578</v>
      </c>
      <c r="T29" s="101">
        <f t="shared" si="13"/>
        <v>96052.84834778677</v>
      </c>
      <c r="U29" s="101">
        <f t="shared" si="13"/>
        <v>97976.944283720994</v>
      </c>
      <c r="V29" s="101">
        <f t="shared" si="13"/>
        <v>99939.583013901924</v>
      </c>
      <c r="W29" s="101">
        <f t="shared" si="13"/>
        <v>101941.53661365106</v>
      </c>
      <c r="X29" s="101">
        <f t="shared" si="13"/>
        <v>103983.59262422365</v>
      </c>
      <c r="Y29" s="101">
        <f t="shared" si="13"/>
        <v>106066.55436261668</v>
      </c>
      <c r="Z29" s="101">
        <f t="shared" si="13"/>
        <v>108191.24123758283</v>
      </c>
      <c r="AA29" s="101">
        <f t="shared" si="13"/>
        <v>110358.48907197471</v>
      </c>
      <c r="AB29" s="101">
        <f t="shared" si="13"/>
        <v>112569.15043154615</v>
      </c>
      <c r="AC29" s="101">
        <f t="shared" si="13"/>
        <v>114824.09496033999</v>
      </c>
      <c r="AD29" s="101">
        <f t="shared" si="13"/>
        <v>117124.20972279416</v>
      </c>
      <c r="AE29" s="101">
        <f t="shared" si="13"/>
        <v>119470.39955270072</v>
      </c>
      <c r="AF29" s="101">
        <f t="shared" si="13"/>
        <v>121863.58740915523</v>
      </c>
      <c r="AG29" s="101">
        <f t="shared" si="13"/>
        <v>124304.71473963614</v>
      </c>
      <c r="AH29" s="63"/>
    </row>
    <row r="30" spans="1:34" hidden="1" outlineLevel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1:34" hidden="1" outlineLevel="1" x14ac:dyDescent="0.35">
      <c r="A31" s="63"/>
      <c r="B31" s="82" t="s">
        <v>182</v>
      </c>
      <c r="C31" s="8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63"/>
    </row>
    <row r="32" spans="1:34" hidden="1" outlineLevel="1" x14ac:dyDescent="0.35">
      <c r="A32" s="63"/>
      <c r="B32" s="63" t="s">
        <v>103</v>
      </c>
      <c r="C32" s="98" t="str">
        <f>'Risk Assumptions'!F14</f>
        <v>$ June 2024</v>
      </c>
      <c r="D32" s="83">
        <f>'Risk Assumptions'!G14</f>
        <v>36.645859753385643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</row>
    <row r="33" spans="1:34" hidden="1" outlineLevel="1" x14ac:dyDescent="0.35">
      <c r="A33" s="63"/>
      <c r="B33" s="63" t="s">
        <v>104</v>
      </c>
      <c r="C33" s="98" t="str">
        <f>'Risk Assumptions'!C8</f>
        <v>#</v>
      </c>
      <c r="D33" s="83">
        <f>'Risk Assumptions'!D8</f>
        <v>339188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idden="1" outlineLevel="1" x14ac:dyDescent="0.35">
      <c r="A34" s="63"/>
      <c r="B34" s="63" t="s">
        <v>108</v>
      </c>
      <c r="C34" s="99" t="str">
        <f>'Risk Assumptions'!C15</f>
        <v>%</v>
      </c>
      <c r="D34" s="84">
        <f>'Risk Assumptions'!G15</f>
        <v>0.03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</row>
    <row r="35" spans="1:34" hidden="1" outlineLevel="1" x14ac:dyDescent="0.35">
      <c r="A35" s="63"/>
      <c r="B35" s="63" t="s">
        <v>94</v>
      </c>
      <c r="C35" s="99" t="str">
        <f>'Risk Assumptions'!C10</f>
        <v>%</v>
      </c>
      <c r="D35" s="84">
        <f>'Risk Assumptions'!D10</f>
        <v>2.0031638509745067E-2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idden="1" outlineLevel="1" x14ac:dyDescent="0.3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idden="1" outlineLevel="1" x14ac:dyDescent="0.35">
      <c r="A37" s="63"/>
      <c r="B37" s="86"/>
      <c r="C37" s="86"/>
      <c r="D37" s="86"/>
      <c r="E37" s="86"/>
      <c r="F37" s="86"/>
      <c r="G37" s="86"/>
      <c r="H37" s="102" t="s">
        <v>19</v>
      </c>
      <c r="I37" s="69" t="s">
        <v>22</v>
      </c>
      <c r="J37" s="69" t="s">
        <v>23</v>
      </c>
      <c r="K37" s="69" t="s">
        <v>24</v>
      </c>
      <c r="L37" s="69" t="s">
        <v>25</v>
      </c>
      <c r="M37" s="69" t="s">
        <v>26</v>
      </c>
      <c r="N37" s="69" t="s">
        <v>52</v>
      </c>
      <c r="O37" s="69" t="s">
        <v>53</v>
      </c>
      <c r="P37" s="69" t="s">
        <v>54</v>
      </c>
      <c r="Q37" s="69" t="s">
        <v>55</v>
      </c>
      <c r="R37" s="69" t="s">
        <v>56</v>
      </c>
      <c r="S37" s="69" t="s">
        <v>57</v>
      </c>
      <c r="T37" s="69" t="s">
        <v>58</v>
      </c>
      <c r="U37" s="69" t="s">
        <v>59</v>
      </c>
      <c r="V37" s="69" t="s">
        <v>60</v>
      </c>
      <c r="W37" s="69" t="s">
        <v>61</v>
      </c>
      <c r="X37" s="69" t="s">
        <v>62</v>
      </c>
      <c r="Y37" s="69" t="s">
        <v>63</v>
      </c>
      <c r="Z37" s="69" t="s">
        <v>64</v>
      </c>
      <c r="AA37" s="69" t="s">
        <v>65</v>
      </c>
      <c r="AB37" s="69" t="s">
        <v>66</v>
      </c>
      <c r="AC37" s="69" t="s">
        <v>67</v>
      </c>
      <c r="AD37" s="69" t="s">
        <v>68</v>
      </c>
      <c r="AE37" s="69" t="s">
        <v>69</v>
      </c>
      <c r="AF37" s="69" t="s">
        <v>70</v>
      </c>
      <c r="AG37" s="69" t="s">
        <v>71</v>
      </c>
      <c r="AH37" s="63"/>
    </row>
    <row r="38" spans="1:34" hidden="1" outlineLevel="1" x14ac:dyDescent="0.35">
      <c r="A38" s="63"/>
      <c r="B38" s="63" t="str">
        <f>B31</f>
        <v>Cost to customer of delays in restoring supply after forced outage</v>
      </c>
      <c r="C38" s="63"/>
      <c r="D38" s="63"/>
      <c r="E38" s="63"/>
      <c r="F38" s="63"/>
      <c r="G38" s="63"/>
      <c r="H38" s="103">
        <f>D32*D34*D33</f>
        <v>372895.07634094107</v>
      </c>
      <c r="I38" s="101">
        <f>H38*(1+$D$35)</f>
        <v>380364.77571226656</v>
      </c>
      <c r="J38" s="101">
        <f t="shared" ref="J38:AG38" si="14">I38*(1+$D$35)</f>
        <v>387984.10540117492</v>
      </c>
      <c r="K38" s="101">
        <f t="shared" si="14"/>
        <v>395756.06274809805</v>
      </c>
      <c r="L38" s="101">
        <f t="shared" si="14"/>
        <v>403683.70513510791</v>
      </c>
      <c r="M38" s="101">
        <f t="shared" si="14"/>
        <v>411770.15118864889</v>
      </c>
      <c r="N38" s="101">
        <f t="shared" si="14"/>
        <v>420018.58200636297</v>
      </c>
      <c r="O38" s="101">
        <f t="shared" si="14"/>
        <v>428432.2424084901</v>
      </c>
      <c r="P38" s="101">
        <f t="shared" si="14"/>
        <v>437014.44221433642</v>
      </c>
      <c r="Q38" s="101">
        <f t="shared" si="14"/>
        <v>445768.55754431186</v>
      </c>
      <c r="R38" s="101">
        <f t="shared" si="14"/>
        <v>454698.03214804997</v>
      </c>
      <c r="S38" s="101">
        <f t="shared" si="14"/>
        <v>463806.37875913212</v>
      </c>
      <c r="T38" s="101">
        <f t="shared" si="14"/>
        <v>473097.18047694891</v>
      </c>
      <c r="U38" s="101">
        <f t="shared" si="14"/>
        <v>482574.09217624273</v>
      </c>
      <c r="V38" s="101">
        <f t="shared" si="14"/>
        <v>492240.84194488556</v>
      </c>
      <c r="W38" s="101">
        <f t="shared" si="14"/>
        <v>502101.23255045799</v>
      </c>
      <c r="X38" s="101">
        <f t="shared" si="14"/>
        <v>512159.14293620619</v>
      </c>
      <c r="Y38" s="101">
        <f t="shared" si="14"/>
        <v>522418.5297469651</v>
      </c>
      <c r="Z38" s="101">
        <f t="shared" si="14"/>
        <v>532883.42888564873</v>
      </c>
      <c r="AA38" s="101">
        <f t="shared" si="14"/>
        <v>543557.95710091945</v>
      </c>
      <c r="AB38" s="101">
        <f t="shared" si="14"/>
        <v>554446.31360666058</v>
      </c>
      <c r="AC38" s="101">
        <f t="shared" si="14"/>
        <v>565552.78173388995</v>
      </c>
      <c r="AD38" s="101">
        <f t="shared" si="14"/>
        <v>576881.73061576393</v>
      </c>
      <c r="AE38" s="101">
        <f t="shared" si="14"/>
        <v>588437.616906335</v>
      </c>
      <c r="AF38" s="101">
        <f t="shared" si="14"/>
        <v>600224.98653373856</v>
      </c>
      <c r="AG38" s="101">
        <f t="shared" si="14"/>
        <v>612248.47648849897</v>
      </c>
      <c r="AH38" s="63"/>
    </row>
    <row r="39" spans="1:34" hidden="1" outlineLevel="1" x14ac:dyDescent="0.35"/>
    <row r="40" spans="1:34" hidden="1" outlineLevel="1" x14ac:dyDescent="0.35"/>
    <row r="41" spans="1:34" collapsed="1" x14ac:dyDescent="0.35">
      <c r="A41" s="63"/>
      <c r="B41" s="86"/>
      <c r="C41" s="86"/>
      <c r="D41" s="86"/>
      <c r="E41" s="86"/>
      <c r="F41" s="86"/>
      <c r="G41" s="86"/>
      <c r="H41" s="69"/>
      <c r="I41" s="69" t="s">
        <v>22</v>
      </c>
      <c r="J41" s="69" t="s">
        <v>23</v>
      </c>
      <c r="K41" s="69" t="s">
        <v>24</v>
      </c>
      <c r="L41" s="69" t="s">
        <v>25</v>
      </c>
      <c r="M41" s="69" t="s">
        <v>26</v>
      </c>
      <c r="N41" s="69" t="s">
        <v>52</v>
      </c>
      <c r="O41" s="69" t="s">
        <v>53</v>
      </c>
      <c r="P41" s="69" t="s">
        <v>54</v>
      </c>
      <c r="Q41" s="69" t="s">
        <v>55</v>
      </c>
      <c r="R41" s="69" t="s">
        <v>56</v>
      </c>
      <c r="S41" s="69" t="s">
        <v>57</v>
      </c>
      <c r="T41" s="69" t="s">
        <v>58</v>
      </c>
      <c r="U41" s="69" t="s">
        <v>59</v>
      </c>
      <c r="V41" s="69" t="s">
        <v>60</v>
      </c>
      <c r="W41" s="69" t="s">
        <v>61</v>
      </c>
      <c r="X41" s="69" t="s">
        <v>62</v>
      </c>
      <c r="Y41" s="69" t="s">
        <v>63</v>
      </c>
      <c r="Z41" s="69" t="s">
        <v>64</v>
      </c>
      <c r="AA41" s="69" t="s">
        <v>65</v>
      </c>
      <c r="AB41" s="69" t="s">
        <v>66</v>
      </c>
      <c r="AC41" s="69" t="s">
        <v>67</v>
      </c>
      <c r="AD41" s="69" t="s">
        <v>68</v>
      </c>
      <c r="AE41" s="69" t="s">
        <v>69</v>
      </c>
      <c r="AF41" s="69" t="s">
        <v>70</v>
      </c>
      <c r="AG41" s="69" t="s">
        <v>71</v>
      </c>
      <c r="AH41" s="63"/>
    </row>
    <row r="42" spans="1:34" x14ac:dyDescent="0.35">
      <c r="A42" s="63"/>
      <c r="B42" s="71" t="str">
        <f>"Total risk due to "&amp;B20</f>
        <v>Total risk due to Suboptimal layout</v>
      </c>
      <c r="C42" s="63"/>
      <c r="D42" s="63"/>
      <c r="E42" s="63"/>
      <c r="F42" s="63"/>
      <c r="G42" s="63"/>
      <c r="H42" s="101"/>
      <c r="I42" s="101">
        <f t="shared" ref="I42:AG42" si="15">I29+I38</f>
        <v>457590.17807356938</v>
      </c>
      <c r="J42" s="101">
        <f t="shared" si="15"/>
        <v>466756.45910634892</v>
      </c>
      <c r="K42" s="101">
        <f t="shared" si="15"/>
        <v>476106.35576725588</v>
      </c>
      <c r="L42" s="101">
        <f t="shared" si="15"/>
        <v>485643.54617817764</v>
      </c>
      <c r="M42" s="101">
        <f t="shared" si="15"/>
        <v>495371.78213980951</v>
      </c>
      <c r="N42" s="101">
        <f t="shared" si="15"/>
        <v>505294.89060756238</v>
      </c>
      <c r="O42" s="101">
        <f t="shared" si="15"/>
        <v>515416.77519703418</v>
      </c>
      <c r="P42" s="101">
        <f t="shared" si="15"/>
        <v>525741.41771963972</v>
      </c>
      <c r="Q42" s="101">
        <f t="shared" si="15"/>
        <v>536272.87974900031</v>
      </c>
      <c r="R42" s="101">
        <f t="shared" si="15"/>
        <v>547015.30421871226</v>
      </c>
      <c r="S42" s="101">
        <f t="shared" si="15"/>
        <v>557972.91705211974</v>
      </c>
      <c r="T42" s="101">
        <f t="shared" si="15"/>
        <v>569150.02882473567</v>
      </c>
      <c r="U42" s="101">
        <f t="shared" si="15"/>
        <v>580551.03645996377</v>
      </c>
      <c r="V42" s="101">
        <f t="shared" si="15"/>
        <v>592180.42495878751</v>
      </c>
      <c r="W42" s="101">
        <f t="shared" si="15"/>
        <v>604042.76916410902</v>
      </c>
      <c r="X42" s="101">
        <f t="shared" si="15"/>
        <v>616142.73556042986</v>
      </c>
      <c r="Y42" s="101">
        <f t="shared" si="15"/>
        <v>628485.08410958177</v>
      </c>
      <c r="Z42" s="101">
        <f t="shared" si="15"/>
        <v>641074.6701232316</v>
      </c>
      <c r="AA42" s="101">
        <f t="shared" si="15"/>
        <v>653916.44617289421</v>
      </c>
      <c r="AB42" s="101">
        <f t="shared" si="15"/>
        <v>667015.46403820673</v>
      </c>
      <c r="AC42" s="101">
        <f t="shared" si="15"/>
        <v>680376.8766942299</v>
      </c>
      <c r="AD42" s="101">
        <f t="shared" si="15"/>
        <v>694005.94033855805</v>
      </c>
      <c r="AE42" s="101">
        <f t="shared" si="15"/>
        <v>707908.01645903569</v>
      </c>
      <c r="AF42" s="101">
        <f t="shared" si="15"/>
        <v>722088.57394289377</v>
      </c>
      <c r="AG42" s="101">
        <f t="shared" si="15"/>
        <v>736553.19122813514</v>
      </c>
      <c r="AH42" s="63"/>
    </row>
    <row r="45" spans="1:34" x14ac:dyDescent="0.35">
      <c r="A45" s="80"/>
      <c r="B45" s="78" t="s">
        <v>74</v>
      </c>
      <c r="C45" s="78"/>
      <c r="D45" s="78"/>
      <c r="E45" s="78"/>
      <c r="F45" s="78"/>
      <c r="G45" s="78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</row>
    <row r="46" spans="1:34" x14ac:dyDescent="0.3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idden="1" outlineLevel="1" x14ac:dyDescent="0.35">
      <c r="A47" s="63"/>
      <c r="B47" s="82" t="s">
        <v>109</v>
      </c>
      <c r="C47" s="82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63"/>
    </row>
    <row r="48" spans="1:34" hidden="1" outlineLevel="1" x14ac:dyDescent="0.35">
      <c r="A48" s="63"/>
      <c r="B48" s="63" t="s">
        <v>112</v>
      </c>
      <c r="C48" s="98" t="str">
        <f>'Risk Assumptions'!F26</f>
        <v>#</v>
      </c>
      <c r="D48" s="83">
        <f>'Risk Assumptions'!G26</f>
        <v>81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1:34" hidden="1" outlineLevel="1" x14ac:dyDescent="0.35">
      <c r="A49" s="63"/>
      <c r="B49" s="63" t="s">
        <v>115</v>
      </c>
      <c r="C49" s="98" t="str">
        <f>'Risk Assumptions'!F28</f>
        <v>$ June 2024</v>
      </c>
      <c r="D49" s="83">
        <f>'Risk Assumptions'!G28</f>
        <v>160000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1:34" hidden="1" outlineLevel="1" x14ac:dyDescent="0.35">
      <c r="A50" s="63"/>
      <c r="B50" s="63" t="s">
        <v>119</v>
      </c>
      <c r="C50" s="99" t="str">
        <f>'Risk Assumptions'!F20</f>
        <v>%</v>
      </c>
      <c r="D50" s="84">
        <f>'Risk Assumptions'!G20</f>
        <v>0.05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idden="1" outlineLevel="1" x14ac:dyDescent="0.35">
      <c r="A51" s="63"/>
      <c r="B51" s="63" t="s">
        <v>117</v>
      </c>
      <c r="C51" s="99" t="str">
        <f>'Risk Assumptions'!F19</f>
        <v>%</v>
      </c>
      <c r="D51" s="84">
        <f>'Risk Assumptions'!G19</f>
        <v>0.01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</row>
    <row r="52" spans="1:34" hidden="1" outlineLevel="1" x14ac:dyDescent="0.35">
      <c r="A52" s="63"/>
      <c r="B52" s="63" t="s">
        <v>120</v>
      </c>
      <c r="C52" s="83" t="str">
        <f>'Risk Assumptions'!F31</f>
        <v>$ June 2024</v>
      </c>
      <c r="D52" s="83">
        <f>'Risk Assumptions'!G31</f>
        <v>50000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idden="1" outlineLevel="1" x14ac:dyDescent="0.3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idden="1" outlineLevel="1" x14ac:dyDescent="0.35">
      <c r="A54" s="63"/>
      <c r="B54" s="86"/>
      <c r="C54" s="86"/>
      <c r="D54" s="86"/>
      <c r="E54" s="86"/>
      <c r="F54" s="86"/>
      <c r="G54" s="86"/>
      <c r="H54" s="102" t="s">
        <v>19</v>
      </c>
      <c r="I54" s="69" t="s">
        <v>22</v>
      </c>
      <c r="J54" s="69" t="s">
        <v>23</v>
      </c>
      <c r="K54" s="69" t="s">
        <v>24</v>
      </c>
      <c r="L54" s="69" t="s">
        <v>25</v>
      </c>
      <c r="M54" s="69" t="s">
        <v>26</v>
      </c>
      <c r="N54" s="69" t="s">
        <v>52</v>
      </c>
      <c r="O54" s="69" t="s">
        <v>53</v>
      </c>
      <c r="P54" s="69" t="s">
        <v>54</v>
      </c>
      <c r="Q54" s="69" t="s">
        <v>55</v>
      </c>
      <c r="R54" s="69" t="s">
        <v>56</v>
      </c>
      <c r="S54" s="69" t="s">
        <v>57</v>
      </c>
      <c r="T54" s="69" t="s">
        <v>58</v>
      </c>
      <c r="U54" s="69" t="s">
        <v>59</v>
      </c>
      <c r="V54" s="69" t="s">
        <v>60</v>
      </c>
      <c r="W54" s="69" t="s">
        <v>61</v>
      </c>
      <c r="X54" s="69" t="s">
        <v>62</v>
      </c>
      <c r="Y54" s="69" t="s">
        <v>63</v>
      </c>
      <c r="Z54" s="69" t="s">
        <v>64</v>
      </c>
      <c r="AA54" s="69" t="s">
        <v>65</v>
      </c>
      <c r="AB54" s="69" t="s">
        <v>66</v>
      </c>
      <c r="AC54" s="69" t="s">
        <v>67</v>
      </c>
      <c r="AD54" s="69" t="s">
        <v>68</v>
      </c>
      <c r="AE54" s="69" t="s">
        <v>69</v>
      </c>
      <c r="AF54" s="69" t="s">
        <v>70</v>
      </c>
      <c r="AG54" s="69" t="s">
        <v>71</v>
      </c>
      <c r="AH54" s="63"/>
    </row>
    <row r="55" spans="1:34" hidden="1" outlineLevel="1" x14ac:dyDescent="0.35">
      <c r="A55" s="63"/>
      <c r="B55" s="63" t="s">
        <v>116</v>
      </c>
      <c r="C55" s="63"/>
      <c r="D55" s="63"/>
      <c r="E55" s="63"/>
      <c r="F55" s="63"/>
      <c r="G55" s="63"/>
      <c r="H55" s="103">
        <f>D48*D49*D50*(1+D51)^1.5</f>
        <v>657744.25965111994</v>
      </c>
      <c r="I55" s="101">
        <f>H55*(1+$D$51)</f>
        <v>664321.70224763115</v>
      </c>
      <c r="J55" s="101">
        <f t="shared" ref="J55:AG55" si="16">I55*(1+$D$51)</f>
        <v>670964.91927010752</v>
      </c>
      <c r="K55" s="101">
        <f t="shared" si="16"/>
        <v>677674.56846280862</v>
      </c>
      <c r="L55" s="101">
        <f t="shared" si="16"/>
        <v>684451.31414743676</v>
      </c>
      <c r="M55" s="101">
        <f t="shared" si="16"/>
        <v>691295.8272889111</v>
      </c>
      <c r="N55" s="101">
        <f t="shared" si="16"/>
        <v>698208.78556180024</v>
      </c>
      <c r="O55" s="101">
        <f t="shared" si="16"/>
        <v>705190.87341741822</v>
      </c>
      <c r="P55" s="101">
        <f t="shared" si="16"/>
        <v>712242.78215159243</v>
      </c>
      <c r="Q55" s="101">
        <f t="shared" si="16"/>
        <v>719365.20997310837</v>
      </c>
      <c r="R55" s="101">
        <f t="shared" si="16"/>
        <v>726558.86207283952</v>
      </c>
      <c r="S55" s="101">
        <f t="shared" si="16"/>
        <v>733824.45069356787</v>
      </c>
      <c r="T55" s="101">
        <f t="shared" si="16"/>
        <v>741162.69520050357</v>
      </c>
      <c r="U55" s="101">
        <f t="shared" si="16"/>
        <v>748574.32215250866</v>
      </c>
      <c r="V55" s="101">
        <f t="shared" si="16"/>
        <v>756060.06537403376</v>
      </c>
      <c r="W55" s="101">
        <f t="shared" si="16"/>
        <v>763620.6660277741</v>
      </c>
      <c r="X55" s="101">
        <f t="shared" si="16"/>
        <v>771256.8726880519</v>
      </c>
      <c r="Y55" s="101">
        <f t="shared" si="16"/>
        <v>778969.44141493237</v>
      </c>
      <c r="Z55" s="101">
        <f t="shared" si="16"/>
        <v>786759.13582908176</v>
      </c>
      <c r="AA55" s="101">
        <f t="shared" si="16"/>
        <v>794626.72718737263</v>
      </c>
      <c r="AB55" s="101">
        <f t="shared" si="16"/>
        <v>802572.9944592464</v>
      </c>
      <c r="AC55" s="101">
        <f t="shared" si="16"/>
        <v>810598.72440383886</v>
      </c>
      <c r="AD55" s="101">
        <f t="shared" si="16"/>
        <v>818704.71164787724</v>
      </c>
      <c r="AE55" s="101">
        <f t="shared" si="16"/>
        <v>826891.75876435603</v>
      </c>
      <c r="AF55" s="101">
        <f t="shared" si="16"/>
        <v>835160.67635199963</v>
      </c>
      <c r="AG55" s="101">
        <f t="shared" si="16"/>
        <v>843512.28311551968</v>
      </c>
      <c r="AH55" s="63"/>
    </row>
    <row r="56" spans="1:34" hidden="1" outlineLevel="1" x14ac:dyDescent="0.35">
      <c r="A56" s="63"/>
      <c r="B56" s="63" t="s">
        <v>122</v>
      </c>
      <c r="C56" s="63"/>
      <c r="D56" s="63"/>
      <c r="E56" s="63"/>
      <c r="F56" s="63"/>
      <c r="G56" s="63"/>
      <c r="H56" s="103">
        <f>$D$52</f>
        <v>50000</v>
      </c>
      <c r="I56" s="101">
        <f>$D$52</f>
        <v>50000</v>
      </c>
      <c r="J56" s="101">
        <f t="shared" ref="J56:AG56" si="17">$D$52</f>
        <v>50000</v>
      </c>
      <c r="K56" s="101">
        <f t="shared" si="17"/>
        <v>50000</v>
      </c>
      <c r="L56" s="101">
        <f t="shared" si="17"/>
        <v>50000</v>
      </c>
      <c r="M56" s="101">
        <f t="shared" si="17"/>
        <v>50000</v>
      </c>
      <c r="N56" s="101">
        <f t="shared" si="17"/>
        <v>50000</v>
      </c>
      <c r="O56" s="101">
        <f t="shared" si="17"/>
        <v>50000</v>
      </c>
      <c r="P56" s="101">
        <f t="shared" si="17"/>
        <v>50000</v>
      </c>
      <c r="Q56" s="101">
        <f t="shared" si="17"/>
        <v>50000</v>
      </c>
      <c r="R56" s="101">
        <f t="shared" si="17"/>
        <v>50000</v>
      </c>
      <c r="S56" s="101">
        <f t="shared" si="17"/>
        <v>50000</v>
      </c>
      <c r="T56" s="101">
        <f t="shared" si="17"/>
        <v>50000</v>
      </c>
      <c r="U56" s="101">
        <f t="shared" si="17"/>
        <v>50000</v>
      </c>
      <c r="V56" s="101">
        <f t="shared" si="17"/>
        <v>50000</v>
      </c>
      <c r="W56" s="101">
        <f t="shared" si="17"/>
        <v>50000</v>
      </c>
      <c r="X56" s="101">
        <f t="shared" si="17"/>
        <v>50000</v>
      </c>
      <c r="Y56" s="101">
        <f t="shared" si="17"/>
        <v>50000</v>
      </c>
      <c r="Z56" s="101">
        <f t="shared" si="17"/>
        <v>50000</v>
      </c>
      <c r="AA56" s="101">
        <f t="shared" si="17"/>
        <v>50000</v>
      </c>
      <c r="AB56" s="101">
        <f t="shared" si="17"/>
        <v>50000</v>
      </c>
      <c r="AC56" s="101">
        <f t="shared" si="17"/>
        <v>50000</v>
      </c>
      <c r="AD56" s="101">
        <f t="shared" si="17"/>
        <v>50000</v>
      </c>
      <c r="AE56" s="101">
        <f t="shared" si="17"/>
        <v>50000</v>
      </c>
      <c r="AF56" s="101">
        <f t="shared" si="17"/>
        <v>50000</v>
      </c>
      <c r="AG56" s="101">
        <f t="shared" si="17"/>
        <v>50000</v>
      </c>
      <c r="AH56" s="63"/>
    </row>
    <row r="57" spans="1:34" hidden="1" outlineLevel="1" x14ac:dyDescent="0.35">
      <c r="A57" s="63"/>
      <c r="B57" s="107" t="str">
        <f>B47</f>
        <v>Additional cost of sourcing material off-site</v>
      </c>
      <c r="C57" s="107"/>
      <c r="D57" s="107"/>
      <c r="E57" s="107"/>
      <c r="F57" s="107"/>
      <c r="G57" s="107"/>
      <c r="H57" s="108">
        <f>SUM(H55:H56)</f>
        <v>707744.25965111994</v>
      </c>
      <c r="I57" s="109">
        <f t="shared" ref="I57:AF57" si="18">SUM(I55:I56)</f>
        <v>714321.70224763115</v>
      </c>
      <c r="J57" s="109">
        <f t="shared" si="18"/>
        <v>720964.91927010752</v>
      </c>
      <c r="K57" s="109">
        <f t="shared" si="18"/>
        <v>727674.56846280862</v>
      </c>
      <c r="L57" s="109">
        <f t="shared" si="18"/>
        <v>734451.31414743676</v>
      </c>
      <c r="M57" s="109">
        <f t="shared" si="18"/>
        <v>741295.8272889111</v>
      </c>
      <c r="N57" s="109">
        <f t="shared" si="18"/>
        <v>748208.78556180024</v>
      </c>
      <c r="O57" s="109">
        <f t="shared" si="18"/>
        <v>755190.87341741822</v>
      </c>
      <c r="P57" s="109">
        <f t="shared" si="18"/>
        <v>762242.78215159243</v>
      </c>
      <c r="Q57" s="109">
        <f t="shared" si="18"/>
        <v>769365.20997310837</v>
      </c>
      <c r="R57" s="109">
        <f t="shared" si="18"/>
        <v>776558.86207283952</v>
      </c>
      <c r="S57" s="109">
        <f t="shared" si="18"/>
        <v>783824.45069356787</v>
      </c>
      <c r="T57" s="109">
        <f t="shared" si="18"/>
        <v>791162.69520050357</v>
      </c>
      <c r="U57" s="109">
        <f t="shared" si="18"/>
        <v>798574.32215250866</v>
      </c>
      <c r="V57" s="109">
        <f t="shared" si="18"/>
        <v>806060.06537403376</v>
      </c>
      <c r="W57" s="109">
        <f t="shared" si="18"/>
        <v>813620.6660277741</v>
      </c>
      <c r="X57" s="109">
        <f t="shared" si="18"/>
        <v>821256.8726880519</v>
      </c>
      <c r="Y57" s="109">
        <f t="shared" si="18"/>
        <v>828969.44141493237</v>
      </c>
      <c r="Z57" s="109">
        <f t="shared" si="18"/>
        <v>836759.13582908176</v>
      </c>
      <c r="AA57" s="109">
        <f t="shared" si="18"/>
        <v>844626.72718737263</v>
      </c>
      <c r="AB57" s="109">
        <f t="shared" si="18"/>
        <v>852572.9944592464</v>
      </c>
      <c r="AC57" s="109">
        <f t="shared" si="18"/>
        <v>860598.72440383886</v>
      </c>
      <c r="AD57" s="109">
        <f t="shared" si="18"/>
        <v>868704.71164787724</v>
      </c>
      <c r="AE57" s="109">
        <f t="shared" si="18"/>
        <v>876891.75876435603</v>
      </c>
      <c r="AF57" s="109">
        <f t="shared" si="18"/>
        <v>885160.67635199963</v>
      </c>
      <c r="AG57" s="109">
        <f>SUM(AG55:AG56)</f>
        <v>893512.28311551968</v>
      </c>
      <c r="AH57" s="63"/>
    </row>
    <row r="58" spans="1:34" hidden="1" outlineLevel="1" x14ac:dyDescent="0.35">
      <c r="A58" s="63"/>
      <c r="B58" s="63"/>
      <c r="C58" s="110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hidden="1" outlineLevel="1" x14ac:dyDescent="0.35">
      <c r="A59" s="63"/>
      <c r="B59" s="82" t="s">
        <v>124</v>
      </c>
      <c r="C59" s="11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63"/>
    </row>
    <row r="60" spans="1:34" hidden="1" outlineLevel="1" x14ac:dyDescent="0.35">
      <c r="A60" s="63"/>
      <c r="B60" s="63" t="s">
        <v>112</v>
      </c>
      <c r="C60" s="83" t="str">
        <f>'Risk Assumptions'!F26</f>
        <v>#</v>
      </c>
      <c r="D60" s="83">
        <f>'Risk Assumptions'!G26</f>
        <v>81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</row>
    <row r="61" spans="1:34" hidden="1" outlineLevel="1" x14ac:dyDescent="0.35">
      <c r="A61" s="63"/>
      <c r="B61" s="63" t="s">
        <v>115</v>
      </c>
      <c r="C61" s="83" t="str">
        <f>'Risk Assumptions'!F28</f>
        <v>$ June 2024</v>
      </c>
      <c r="D61" s="83">
        <f>'Risk Assumptions'!G28</f>
        <v>160000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4" hidden="1" outlineLevel="1" x14ac:dyDescent="0.35">
      <c r="A62" s="63"/>
      <c r="B62" s="63" t="s">
        <v>119</v>
      </c>
      <c r="C62" s="84" t="str">
        <f>'Risk Assumptions'!F21</f>
        <v>%</v>
      </c>
      <c r="D62" s="84">
        <f>'Risk Assumptions'!G21</f>
        <v>0.04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hidden="1" outlineLevel="1" x14ac:dyDescent="0.35">
      <c r="A63" s="63"/>
      <c r="B63" s="63" t="s">
        <v>117</v>
      </c>
      <c r="C63" s="84" t="str">
        <f>'Risk Assumptions'!F19</f>
        <v>%</v>
      </c>
      <c r="D63" s="84">
        <f>'Risk Assumptions'!G19</f>
        <v>0.01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</row>
    <row r="64" spans="1:34" hidden="1" outlineLevel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</row>
    <row r="65" spans="1:34" hidden="1" outlineLevel="1" x14ac:dyDescent="0.35">
      <c r="A65" s="63"/>
      <c r="B65" s="86"/>
      <c r="C65" s="86"/>
      <c r="D65" s="86"/>
      <c r="E65" s="86"/>
      <c r="F65" s="86"/>
      <c r="G65" s="86"/>
      <c r="H65" s="102" t="s">
        <v>19</v>
      </c>
      <c r="I65" s="69" t="s">
        <v>22</v>
      </c>
      <c r="J65" s="69" t="s">
        <v>23</v>
      </c>
      <c r="K65" s="69" t="s">
        <v>24</v>
      </c>
      <c r="L65" s="69" t="s">
        <v>25</v>
      </c>
      <c r="M65" s="69" t="s">
        <v>26</v>
      </c>
      <c r="N65" s="69" t="s">
        <v>52</v>
      </c>
      <c r="O65" s="69" t="s">
        <v>53</v>
      </c>
      <c r="P65" s="69" t="s">
        <v>54</v>
      </c>
      <c r="Q65" s="69" t="s">
        <v>55</v>
      </c>
      <c r="R65" s="69" t="s">
        <v>56</v>
      </c>
      <c r="S65" s="69" t="s">
        <v>57</v>
      </c>
      <c r="T65" s="69" t="s">
        <v>58</v>
      </c>
      <c r="U65" s="69" t="s">
        <v>59</v>
      </c>
      <c r="V65" s="69" t="s">
        <v>60</v>
      </c>
      <c r="W65" s="69" t="s">
        <v>61</v>
      </c>
      <c r="X65" s="69" t="s">
        <v>62</v>
      </c>
      <c r="Y65" s="69" t="s">
        <v>63</v>
      </c>
      <c r="Z65" s="69" t="s">
        <v>64</v>
      </c>
      <c r="AA65" s="69" t="s">
        <v>65</v>
      </c>
      <c r="AB65" s="69" t="s">
        <v>66</v>
      </c>
      <c r="AC65" s="69" t="s">
        <v>67</v>
      </c>
      <c r="AD65" s="69" t="s">
        <v>68</v>
      </c>
      <c r="AE65" s="69" t="s">
        <v>69</v>
      </c>
      <c r="AF65" s="69" t="s">
        <v>70</v>
      </c>
      <c r="AG65" s="69" t="s">
        <v>71</v>
      </c>
      <c r="AH65" s="63"/>
    </row>
    <row r="66" spans="1:34" hidden="1" outlineLevel="1" x14ac:dyDescent="0.35">
      <c r="A66" s="63"/>
      <c r="B66" s="63" t="str">
        <f>B59</f>
        <v>Reduced field productivity</v>
      </c>
      <c r="C66" s="63"/>
      <c r="D66" s="63"/>
      <c r="E66" s="63"/>
      <c r="F66" s="63"/>
      <c r="G66" s="63"/>
      <c r="H66" s="103">
        <f>D60*D62*D61*(1+D63)^2</f>
        <v>528819.84000000008</v>
      </c>
      <c r="I66" s="101">
        <f>H66*(1+$D$63)</f>
        <v>534108.03840000008</v>
      </c>
      <c r="J66" s="101">
        <f t="shared" ref="J66:AG66" si="19">I66*(1+$D$63)</f>
        <v>539449.11878400005</v>
      </c>
      <c r="K66" s="101">
        <f t="shared" si="19"/>
        <v>544843.60997184005</v>
      </c>
      <c r="L66" s="101">
        <f t="shared" si="19"/>
        <v>550292.04607155849</v>
      </c>
      <c r="M66" s="101">
        <f t="shared" si="19"/>
        <v>555794.96653227403</v>
      </c>
      <c r="N66" s="101">
        <f t="shared" si="19"/>
        <v>561352.91619759682</v>
      </c>
      <c r="O66" s="101">
        <f t="shared" si="19"/>
        <v>566966.44535957277</v>
      </c>
      <c r="P66" s="101">
        <f t="shared" si="19"/>
        <v>572636.10981316853</v>
      </c>
      <c r="Q66" s="101">
        <f t="shared" si="19"/>
        <v>578362.47091130028</v>
      </c>
      <c r="R66" s="101">
        <f t="shared" si="19"/>
        <v>584146.09562041331</v>
      </c>
      <c r="S66" s="101">
        <f t="shared" si="19"/>
        <v>589987.55657661741</v>
      </c>
      <c r="T66" s="101">
        <f t="shared" si="19"/>
        <v>595887.43214238354</v>
      </c>
      <c r="U66" s="101">
        <f t="shared" si="19"/>
        <v>601846.30646380736</v>
      </c>
      <c r="V66" s="101">
        <f t="shared" si="19"/>
        <v>607864.76952844544</v>
      </c>
      <c r="W66" s="101">
        <f t="shared" si="19"/>
        <v>613943.41722372989</v>
      </c>
      <c r="X66" s="101">
        <f t="shared" si="19"/>
        <v>620082.85139596718</v>
      </c>
      <c r="Y66" s="101">
        <f t="shared" si="19"/>
        <v>626283.67990992684</v>
      </c>
      <c r="Z66" s="101">
        <f t="shared" si="19"/>
        <v>632546.51670902607</v>
      </c>
      <c r="AA66" s="101">
        <f t="shared" si="19"/>
        <v>638871.98187611636</v>
      </c>
      <c r="AB66" s="101">
        <f t="shared" si="19"/>
        <v>645260.70169487759</v>
      </c>
      <c r="AC66" s="101">
        <f t="shared" si="19"/>
        <v>651713.30871182634</v>
      </c>
      <c r="AD66" s="101">
        <f t="shared" si="19"/>
        <v>658230.44179894461</v>
      </c>
      <c r="AE66" s="101">
        <f t="shared" si="19"/>
        <v>664812.74621693406</v>
      </c>
      <c r="AF66" s="101">
        <f t="shared" si="19"/>
        <v>671460.87367910345</v>
      </c>
      <c r="AG66" s="101">
        <f t="shared" si="19"/>
        <v>678175.48241589451</v>
      </c>
      <c r="AH66" s="63"/>
    </row>
    <row r="67" spans="1:34" hidden="1" outlineLevel="1" x14ac:dyDescent="0.3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</row>
    <row r="68" spans="1:34" hidden="1" outlineLevel="1" x14ac:dyDescent="0.35">
      <c r="A68" s="63"/>
      <c r="B68" s="82" t="s">
        <v>102</v>
      </c>
      <c r="C68" s="82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63"/>
    </row>
    <row r="69" spans="1:34" hidden="1" outlineLevel="1" x14ac:dyDescent="0.35">
      <c r="A69" s="63"/>
      <c r="B69" s="63" t="s">
        <v>103</v>
      </c>
      <c r="C69" s="98" t="str">
        <f>'Risk Assumptions'!F14</f>
        <v>$ June 2024</v>
      </c>
      <c r="D69" s="83">
        <f>'Risk Assumptions'!G14</f>
        <v>36.645859753385643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1:34" hidden="1" outlineLevel="1" x14ac:dyDescent="0.35">
      <c r="A70" s="63"/>
      <c r="B70" s="63" t="s">
        <v>104</v>
      </c>
      <c r="C70" s="98" t="str">
        <f>'Risk Assumptions'!C8</f>
        <v>#</v>
      </c>
      <c r="D70" s="83">
        <f>'Risk Assumptions'!D8</f>
        <v>339188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1:34" hidden="1" outlineLevel="1" x14ac:dyDescent="0.35">
      <c r="A71" s="63"/>
      <c r="B71" s="63" t="s">
        <v>108</v>
      </c>
      <c r="C71" s="99" t="str">
        <f>'Risk Assumptions'!C16</f>
        <v>%</v>
      </c>
      <c r="D71" s="84">
        <f>'Risk Assumptions'!G16</f>
        <v>0.02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1:34" hidden="1" outlineLevel="1" x14ac:dyDescent="0.35">
      <c r="A72" s="63"/>
      <c r="B72" s="63" t="s">
        <v>94</v>
      </c>
      <c r="C72" s="99" t="str">
        <f>'Risk Assumptions'!C10</f>
        <v>%</v>
      </c>
      <c r="D72" s="84">
        <f>'Risk Assumptions'!D10</f>
        <v>2.0031638509745067E-2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idden="1" outlineLevel="1" x14ac:dyDescent="0.3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</row>
    <row r="74" spans="1:34" hidden="1" outlineLevel="1" x14ac:dyDescent="0.35">
      <c r="A74" s="63"/>
      <c r="B74" s="86"/>
      <c r="C74" s="86"/>
      <c r="D74" s="86"/>
      <c r="E74" s="86"/>
      <c r="F74" s="86"/>
      <c r="G74" s="86"/>
      <c r="H74" s="102" t="s">
        <v>19</v>
      </c>
      <c r="I74" s="69" t="s">
        <v>22</v>
      </c>
      <c r="J74" s="69" t="s">
        <v>23</v>
      </c>
      <c r="K74" s="69" t="s">
        <v>24</v>
      </c>
      <c r="L74" s="69" t="s">
        <v>25</v>
      </c>
      <c r="M74" s="69" t="s">
        <v>26</v>
      </c>
      <c r="N74" s="69" t="s">
        <v>52</v>
      </c>
      <c r="O74" s="69" t="s">
        <v>53</v>
      </c>
      <c r="P74" s="69" t="s">
        <v>54</v>
      </c>
      <c r="Q74" s="69" t="s">
        <v>55</v>
      </c>
      <c r="R74" s="69" t="s">
        <v>56</v>
      </c>
      <c r="S74" s="69" t="s">
        <v>57</v>
      </c>
      <c r="T74" s="69" t="s">
        <v>58</v>
      </c>
      <c r="U74" s="69" t="s">
        <v>59</v>
      </c>
      <c r="V74" s="69" t="s">
        <v>60</v>
      </c>
      <c r="W74" s="69" t="s">
        <v>61</v>
      </c>
      <c r="X74" s="69" t="s">
        <v>62</v>
      </c>
      <c r="Y74" s="69" t="s">
        <v>63</v>
      </c>
      <c r="Z74" s="69" t="s">
        <v>64</v>
      </c>
      <c r="AA74" s="69" t="s">
        <v>65</v>
      </c>
      <c r="AB74" s="69" t="s">
        <v>66</v>
      </c>
      <c r="AC74" s="69" t="s">
        <v>67</v>
      </c>
      <c r="AD74" s="69" t="s">
        <v>68</v>
      </c>
      <c r="AE74" s="69" t="s">
        <v>69</v>
      </c>
      <c r="AF74" s="69" t="s">
        <v>70</v>
      </c>
      <c r="AG74" s="69" t="s">
        <v>71</v>
      </c>
      <c r="AH74" s="63"/>
    </row>
    <row r="75" spans="1:34" hidden="1" outlineLevel="1" x14ac:dyDescent="0.35">
      <c r="A75" s="63"/>
      <c r="B75" s="63" t="str">
        <f>B68</f>
        <v>Cost to customer of delays in restoring supply after forced outage (addition USE @ VCR)</v>
      </c>
      <c r="C75" s="63"/>
      <c r="D75" s="63"/>
      <c r="E75" s="63"/>
      <c r="F75" s="63"/>
      <c r="G75" s="63"/>
      <c r="H75" s="103">
        <f>D69*D71*D70</f>
        <v>248596.71756062741</v>
      </c>
      <c r="I75" s="101">
        <f>H75*(1+$D$35)</f>
        <v>253576.51714151108</v>
      </c>
      <c r="J75" s="101">
        <f t="shared" ref="J75:AG75" si="20">I75*(1+$D$35)</f>
        <v>258656.07026744998</v>
      </c>
      <c r="K75" s="101">
        <f t="shared" si="20"/>
        <v>263837.37516539876</v>
      </c>
      <c r="L75" s="101">
        <f t="shared" si="20"/>
        <v>269122.47009007202</v>
      </c>
      <c r="M75" s="101">
        <f t="shared" si="20"/>
        <v>274513.43412576598</v>
      </c>
      <c r="N75" s="101">
        <f t="shared" si="20"/>
        <v>280012.38800424204</v>
      </c>
      <c r="O75" s="101">
        <f t="shared" si="20"/>
        <v>285621.49493899348</v>
      </c>
      <c r="P75" s="101">
        <f t="shared" si="20"/>
        <v>291342.96147622436</v>
      </c>
      <c r="Q75" s="101">
        <f t="shared" si="20"/>
        <v>297179.03836287465</v>
      </c>
      <c r="R75" s="101">
        <f t="shared" si="20"/>
        <v>303132.02143203339</v>
      </c>
      <c r="S75" s="101">
        <f t="shared" si="20"/>
        <v>309204.25250608817</v>
      </c>
      <c r="T75" s="101">
        <f t="shared" si="20"/>
        <v>315398.12031796604</v>
      </c>
      <c r="U75" s="101">
        <f t="shared" si="20"/>
        <v>321716.06145082857</v>
      </c>
      <c r="V75" s="101">
        <f t="shared" si="20"/>
        <v>328160.56129659049</v>
      </c>
      <c r="W75" s="101">
        <f t="shared" si="20"/>
        <v>334734.15503363882</v>
      </c>
      <c r="X75" s="101">
        <f t="shared" si="20"/>
        <v>341439.4286241376</v>
      </c>
      <c r="Y75" s="101">
        <f t="shared" si="20"/>
        <v>348279.0198313102</v>
      </c>
      <c r="Z75" s="101">
        <f t="shared" si="20"/>
        <v>355255.61925709929</v>
      </c>
      <c r="AA75" s="101">
        <f t="shared" si="20"/>
        <v>362371.97140061308</v>
      </c>
      <c r="AB75" s="101">
        <f t="shared" si="20"/>
        <v>369630.87573777384</v>
      </c>
      <c r="AC75" s="101">
        <f t="shared" si="20"/>
        <v>377035.18782259338</v>
      </c>
      <c r="AD75" s="101">
        <f t="shared" si="20"/>
        <v>384587.82041050936</v>
      </c>
      <c r="AE75" s="101">
        <f t="shared" si="20"/>
        <v>392291.74460422341</v>
      </c>
      <c r="AF75" s="101">
        <f t="shared" si="20"/>
        <v>400149.99102249241</v>
      </c>
      <c r="AG75" s="101">
        <f t="shared" si="20"/>
        <v>408165.65099233267</v>
      </c>
      <c r="AH75" s="63"/>
    </row>
    <row r="76" spans="1:34" hidden="1" outlineLevel="1" x14ac:dyDescent="0.35"/>
    <row r="77" spans="1:34" hidden="1" outlineLevel="1" x14ac:dyDescent="0.35"/>
    <row r="78" spans="1:34" collapsed="1" x14ac:dyDescent="0.35">
      <c r="A78" s="63"/>
      <c r="B78" s="86"/>
      <c r="C78" s="86"/>
      <c r="D78" s="86"/>
      <c r="E78" s="86"/>
      <c r="F78" s="86"/>
      <c r="G78" s="86"/>
      <c r="H78" s="69"/>
      <c r="I78" s="69" t="s">
        <v>22</v>
      </c>
      <c r="J78" s="69" t="s">
        <v>23</v>
      </c>
      <c r="K78" s="69" t="s">
        <v>24</v>
      </c>
      <c r="L78" s="69" t="s">
        <v>25</v>
      </c>
      <c r="M78" s="69" t="s">
        <v>26</v>
      </c>
      <c r="N78" s="69" t="s">
        <v>52</v>
      </c>
      <c r="O78" s="69" t="s">
        <v>53</v>
      </c>
      <c r="P78" s="69" t="s">
        <v>54</v>
      </c>
      <c r="Q78" s="69" t="s">
        <v>55</v>
      </c>
      <c r="R78" s="69" t="s">
        <v>56</v>
      </c>
      <c r="S78" s="69" t="s">
        <v>57</v>
      </c>
      <c r="T78" s="69" t="s">
        <v>58</v>
      </c>
      <c r="U78" s="69" t="s">
        <v>59</v>
      </c>
      <c r="V78" s="69" t="s">
        <v>60</v>
      </c>
      <c r="W78" s="69" t="s">
        <v>61</v>
      </c>
      <c r="X78" s="69" t="s">
        <v>62</v>
      </c>
      <c r="Y78" s="69" t="s">
        <v>63</v>
      </c>
      <c r="Z78" s="69" t="s">
        <v>64</v>
      </c>
      <c r="AA78" s="69" t="s">
        <v>65</v>
      </c>
      <c r="AB78" s="69" t="s">
        <v>66</v>
      </c>
      <c r="AC78" s="69" t="s">
        <v>67</v>
      </c>
      <c r="AD78" s="69" t="s">
        <v>68</v>
      </c>
      <c r="AE78" s="69" t="s">
        <v>69</v>
      </c>
      <c r="AF78" s="69" t="s">
        <v>70</v>
      </c>
      <c r="AG78" s="69" t="s">
        <v>71</v>
      </c>
      <c r="AH78" s="63"/>
    </row>
    <row r="79" spans="1:34" x14ac:dyDescent="0.35">
      <c r="A79" s="63"/>
      <c r="B79" s="71" t="str">
        <f>"Total risk due to "&amp;B45</f>
        <v>Total risk due to Inadequate storage</v>
      </c>
      <c r="C79" s="63"/>
      <c r="D79" s="63"/>
      <c r="E79" s="63"/>
      <c r="F79" s="63"/>
      <c r="G79" s="63"/>
      <c r="H79" s="101"/>
      <c r="I79" s="101">
        <f>I57+I66+I75</f>
        <v>1502006.2577891424</v>
      </c>
      <c r="J79" s="101">
        <f t="shared" ref="J79:AG79" si="21">J57+J66+J75</f>
        <v>1519070.1083215578</v>
      </c>
      <c r="K79" s="101">
        <f t="shared" si="21"/>
        <v>1536355.5536000472</v>
      </c>
      <c r="L79" s="101">
        <f t="shared" si="21"/>
        <v>1553865.8303090674</v>
      </c>
      <c r="M79" s="101">
        <f t="shared" si="21"/>
        <v>1571604.2279469511</v>
      </c>
      <c r="N79" s="101">
        <f t="shared" si="21"/>
        <v>1589574.089763639</v>
      </c>
      <c r="O79" s="101">
        <f t="shared" si="21"/>
        <v>1607778.8137159846</v>
      </c>
      <c r="P79" s="101">
        <f t="shared" si="21"/>
        <v>1626221.8534409855</v>
      </c>
      <c r="Q79" s="101">
        <f t="shared" si="21"/>
        <v>1644906.7192472834</v>
      </c>
      <c r="R79" s="101">
        <f t="shared" si="21"/>
        <v>1663836.979125286</v>
      </c>
      <c r="S79" s="101">
        <f t="shared" si="21"/>
        <v>1683016.2597762735</v>
      </c>
      <c r="T79" s="101">
        <f t="shared" si="21"/>
        <v>1702448.2476608532</v>
      </c>
      <c r="U79" s="101">
        <f t="shared" si="21"/>
        <v>1722136.6900671446</v>
      </c>
      <c r="V79" s="101">
        <f t="shared" si="21"/>
        <v>1742085.3961990699</v>
      </c>
      <c r="W79" s="101">
        <f t="shared" si="21"/>
        <v>1762298.2382851429</v>
      </c>
      <c r="X79" s="101">
        <f t="shared" si="21"/>
        <v>1782779.1527081567</v>
      </c>
      <c r="Y79" s="101">
        <f t="shared" si="21"/>
        <v>1803532.1411561694</v>
      </c>
      <c r="Z79" s="101">
        <f t="shared" si="21"/>
        <v>1824561.2717952069</v>
      </c>
      <c r="AA79" s="101">
        <f t="shared" si="21"/>
        <v>1845870.680464102</v>
      </c>
      <c r="AB79" s="101">
        <f t="shared" si="21"/>
        <v>1867464.5718918978</v>
      </c>
      <c r="AC79" s="101">
        <f t="shared" si="21"/>
        <v>1889347.2209382586</v>
      </c>
      <c r="AD79" s="101">
        <f t="shared" si="21"/>
        <v>1911522.9738573313</v>
      </c>
      <c r="AE79" s="101">
        <f t="shared" si="21"/>
        <v>1933996.2495855135</v>
      </c>
      <c r="AF79" s="101">
        <f t="shared" si="21"/>
        <v>1956771.5410535955</v>
      </c>
      <c r="AG79" s="101">
        <f t="shared" si="21"/>
        <v>1979853.4165237469</v>
      </c>
      <c r="AH79" s="63"/>
    </row>
    <row r="82" spans="1:34" x14ac:dyDescent="0.35">
      <c r="A82" s="80"/>
      <c r="B82" s="78" t="s">
        <v>214</v>
      </c>
      <c r="C82" s="78"/>
      <c r="D82" s="78"/>
      <c r="E82" s="78"/>
      <c r="F82" s="78"/>
      <c r="G82" s="78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80"/>
    </row>
    <row r="83" spans="1:34" x14ac:dyDescent="0.3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</row>
    <row r="84" spans="1:34" hidden="1" outlineLevel="1" x14ac:dyDescent="0.35">
      <c r="A84" s="63"/>
      <c r="B84" s="82" t="s">
        <v>123</v>
      </c>
      <c r="C84" s="82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63"/>
    </row>
    <row r="85" spans="1:34" hidden="1" outlineLevel="1" x14ac:dyDescent="0.35">
      <c r="A85" s="63"/>
      <c r="B85" s="63" t="s">
        <v>126</v>
      </c>
      <c r="C85" s="98" t="str">
        <f>'Risk Assumptions'!F27</f>
        <v>#</v>
      </c>
      <c r="D85" s="83">
        <f>'Risk Assumptions'!G27</f>
        <v>246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</row>
    <row r="86" spans="1:34" hidden="1" outlineLevel="1" x14ac:dyDescent="0.35">
      <c r="A86" s="63"/>
      <c r="B86" s="63" t="s">
        <v>115</v>
      </c>
      <c r="C86" s="98" t="str">
        <f>'Risk Assumptions'!F28</f>
        <v>$ June 2024</v>
      </c>
      <c r="D86" s="83">
        <f>'Risk Assumptions'!G28</f>
        <v>160000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</row>
    <row r="87" spans="1:34" hidden="1" outlineLevel="1" x14ac:dyDescent="0.35">
      <c r="A87" s="63"/>
      <c r="B87" s="63" t="s">
        <v>119</v>
      </c>
      <c r="C87" s="99" t="str">
        <f>'Risk Assumptions'!F22</f>
        <v>%</v>
      </c>
      <c r="D87" s="84">
        <f>'Risk Assumptions'!G22</f>
        <v>0.02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</row>
    <row r="88" spans="1:34" hidden="1" outlineLevel="1" x14ac:dyDescent="0.35">
      <c r="A88" s="63"/>
      <c r="B88" s="63" t="s">
        <v>117</v>
      </c>
      <c r="C88" s="99" t="str">
        <f>'Risk Assumptions'!F19</f>
        <v>%</v>
      </c>
      <c r="D88" s="84">
        <f>'Risk Assumptions'!G19</f>
        <v>0.01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</row>
    <row r="89" spans="1:34" hidden="1" outlineLevel="1" x14ac:dyDescent="0.35">
      <c r="A89" s="63"/>
      <c r="B89" s="63"/>
      <c r="C89" s="110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</row>
    <row r="90" spans="1:34" hidden="1" outlineLevel="1" x14ac:dyDescent="0.35">
      <c r="A90" s="63"/>
      <c r="B90" s="86"/>
      <c r="C90" s="111"/>
      <c r="D90" s="86"/>
      <c r="E90" s="86"/>
      <c r="F90" s="86"/>
      <c r="G90" s="86"/>
      <c r="H90" s="102" t="s">
        <v>19</v>
      </c>
      <c r="I90" s="69" t="s">
        <v>22</v>
      </c>
      <c r="J90" s="69" t="s">
        <v>23</v>
      </c>
      <c r="K90" s="69" t="s">
        <v>24</v>
      </c>
      <c r="L90" s="69" t="s">
        <v>25</v>
      </c>
      <c r="M90" s="69" t="s">
        <v>26</v>
      </c>
      <c r="N90" s="69" t="s">
        <v>52</v>
      </c>
      <c r="O90" s="69" t="s">
        <v>53</v>
      </c>
      <c r="P90" s="69" t="s">
        <v>54</v>
      </c>
      <c r="Q90" s="69" t="s">
        <v>55</v>
      </c>
      <c r="R90" s="69" t="s">
        <v>56</v>
      </c>
      <c r="S90" s="69" t="s">
        <v>57</v>
      </c>
      <c r="T90" s="69" t="s">
        <v>58</v>
      </c>
      <c r="U90" s="69" t="s">
        <v>59</v>
      </c>
      <c r="V90" s="69" t="s">
        <v>60</v>
      </c>
      <c r="W90" s="69" t="s">
        <v>61</v>
      </c>
      <c r="X90" s="69" t="s">
        <v>62</v>
      </c>
      <c r="Y90" s="69" t="s">
        <v>63</v>
      </c>
      <c r="Z90" s="69" t="s">
        <v>64</v>
      </c>
      <c r="AA90" s="69" t="s">
        <v>65</v>
      </c>
      <c r="AB90" s="69" t="s">
        <v>66</v>
      </c>
      <c r="AC90" s="69" t="s">
        <v>67</v>
      </c>
      <c r="AD90" s="69" t="s">
        <v>68</v>
      </c>
      <c r="AE90" s="69" t="s">
        <v>69</v>
      </c>
      <c r="AF90" s="69" t="s">
        <v>70</v>
      </c>
      <c r="AG90" s="69" t="s">
        <v>71</v>
      </c>
      <c r="AH90" s="63"/>
    </row>
    <row r="91" spans="1:34" hidden="1" outlineLevel="1" x14ac:dyDescent="0.35">
      <c r="A91" s="63"/>
      <c r="B91" s="63" t="str">
        <f>B84</f>
        <v>Reduced office productivity</v>
      </c>
      <c r="C91" s="110"/>
      <c r="D91" s="63"/>
      <c r="E91" s="63"/>
      <c r="F91" s="63"/>
      <c r="G91" s="63"/>
      <c r="H91" s="103">
        <f>D85*D86*D87*(1+D88)^2</f>
        <v>803022.72</v>
      </c>
      <c r="I91" s="101">
        <f>H91*(1+$D$88)</f>
        <v>811052.94719999994</v>
      </c>
      <c r="J91" s="101">
        <f t="shared" ref="J91:AG91" si="22">I91*(1+$D$88)</f>
        <v>819163.4766719999</v>
      </c>
      <c r="K91" s="101">
        <f t="shared" si="22"/>
        <v>827355.1114387199</v>
      </c>
      <c r="L91" s="101">
        <f t="shared" si="22"/>
        <v>835628.66255310713</v>
      </c>
      <c r="M91" s="101">
        <f t="shared" si="22"/>
        <v>843984.94917863817</v>
      </c>
      <c r="N91" s="101">
        <f t="shared" si="22"/>
        <v>852424.79867042461</v>
      </c>
      <c r="O91" s="101">
        <f t="shared" si="22"/>
        <v>860949.04665712884</v>
      </c>
      <c r="P91" s="101">
        <f t="shared" si="22"/>
        <v>869558.53712370014</v>
      </c>
      <c r="Q91" s="101">
        <f t="shared" si="22"/>
        <v>878254.12249493715</v>
      </c>
      <c r="R91" s="101">
        <f t="shared" si="22"/>
        <v>887036.66371988656</v>
      </c>
      <c r="S91" s="101">
        <f t="shared" si="22"/>
        <v>895907.0303570854</v>
      </c>
      <c r="T91" s="101">
        <f t="shared" si="22"/>
        <v>904866.10066065623</v>
      </c>
      <c r="U91" s="101">
        <f t="shared" si="22"/>
        <v>913914.76166726276</v>
      </c>
      <c r="V91" s="101">
        <f t="shared" si="22"/>
        <v>923053.90928393544</v>
      </c>
      <c r="W91" s="101">
        <f t="shared" si="22"/>
        <v>932284.44837677479</v>
      </c>
      <c r="X91" s="101">
        <f t="shared" si="22"/>
        <v>941607.29286054254</v>
      </c>
      <c r="Y91" s="101">
        <f t="shared" si="22"/>
        <v>951023.36578914803</v>
      </c>
      <c r="Z91" s="101">
        <f t="shared" si="22"/>
        <v>960533.59944703954</v>
      </c>
      <c r="AA91" s="101">
        <f t="shared" si="22"/>
        <v>970138.93544150994</v>
      </c>
      <c r="AB91" s="101">
        <f t="shared" si="22"/>
        <v>979840.32479592506</v>
      </c>
      <c r="AC91" s="101">
        <f t="shared" si="22"/>
        <v>989638.72804388427</v>
      </c>
      <c r="AD91" s="101">
        <f t="shared" si="22"/>
        <v>999535.11532432307</v>
      </c>
      <c r="AE91" s="101">
        <f t="shared" si="22"/>
        <v>1009530.4664775663</v>
      </c>
      <c r="AF91" s="101">
        <f t="shared" si="22"/>
        <v>1019625.771142342</v>
      </c>
      <c r="AG91" s="101">
        <f t="shared" si="22"/>
        <v>1029822.0288537655</v>
      </c>
      <c r="AH91" s="63"/>
    </row>
    <row r="92" spans="1:34" hidden="1" outlineLevel="1" x14ac:dyDescent="0.35">
      <c r="A92" s="63"/>
      <c r="B92" s="63"/>
      <c r="C92" s="110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</row>
    <row r="93" spans="1:34" hidden="1" outlineLevel="1" x14ac:dyDescent="0.35">
      <c r="A93" s="63"/>
      <c r="B93" s="82" t="s">
        <v>124</v>
      </c>
      <c r="C93" s="11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63"/>
    </row>
    <row r="94" spans="1:34" hidden="1" outlineLevel="1" x14ac:dyDescent="0.35">
      <c r="A94" s="63"/>
      <c r="B94" s="63" t="s">
        <v>112</v>
      </c>
      <c r="C94" s="98" t="str">
        <f>'Risk Assumptions'!F26</f>
        <v>#</v>
      </c>
      <c r="D94" s="83">
        <f>'Risk Assumptions'!G26</f>
        <v>81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idden="1" outlineLevel="1" x14ac:dyDescent="0.35">
      <c r="A95" s="63"/>
      <c r="B95" s="63" t="s">
        <v>115</v>
      </c>
      <c r="C95" s="98" t="str">
        <f>'Risk Assumptions'!F28</f>
        <v>$ June 2024</v>
      </c>
      <c r="D95" s="83">
        <f>'Risk Assumptions'!G28</f>
        <v>160000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idden="1" outlineLevel="1" x14ac:dyDescent="0.35">
      <c r="A96" s="63"/>
      <c r="B96" s="63" t="s">
        <v>119</v>
      </c>
      <c r="C96" s="99" t="str">
        <f>'Risk Assumptions'!F23</f>
        <v>%</v>
      </c>
      <c r="D96" s="84">
        <f>'Risk Assumptions'!G23</f>
        <v>0.04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idden="1" outlineLevel="1" x14ac:dyDescent="0.35">
      <c r="A97" s="63"/>
      <c r="B97" s="63" t="s">
        <v>117</v>
      </c>
      <c r="C97" s="99" t="str">
        <f>'Risk Assumptions'!F19</f>
        <v>%</v>
      </c>
      <c r="D97" s="84">
        <f>'Risk Assumptions'!G19</f>
        <v>0.01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</row>
    <row r="98" spans="1:34" hidden="1" outlineLevel="1" x14ac:dyDescent="0.3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</row>
    <row r="99" spans="1:34" hidden="1" outlineLevel="1" x14ac:dyDescent="0.35">
      <c r="A99" s="63"/>
      <c r="B99" s="86"/>
      <c r="C99" s="86"/>
      <c r="D99" s="86"/>
      <c r="E99" s="86"/>
      <c r="F99" s="86"/>
      <c r="G99" s="86"/>
      <c r="H99" s="102" t="s">
        <v>19</v>
      </c>
      <c r="I99" s="69" t="s">
        <v>22</v>
      </c>
      <c r="J99" s="69" t="s">
        <v>23</v>
      </c>
      <c r="K99" s="69" t="s">
        <v>24</v>
      </c>
      <c r="L99" s="69" t="s">
        <v>25</v>
      </c>
      <c r="M99" s="69" t="s">
        <v>26</v>
      </c>
      <c r="N99" s="69" t="s">
        <v>52</v>
      </c>
      <c r="O99" s="69" t="s">
        <v>53</v>
      </c>
      <c r="P99" s="69" t="s">
        <v>54</v>
      </c>
      <c r="Q99" s="69" t="s">
        <v>55</v>
      </c>
      <c r="R99" s="69" t="s">
        <v>56</v>
      </c>
      <c r="S99" s="69" t="s">
        <v>57</v>
      </c>
      <c r="T99" s="69" t="s">
        <v>58</v>
      </c>
      <c r="U99" s="69" t="s">
        <v>59</v>
      </c>
      <c r="V99" s="69" t="s">
        <v>60</v>
      </c>
      <c r="W99" s="69" t="s">
        <v>61</v>
      </c>
      <c r="X99" s="69" t="s">
        <v>62</v>
      </c>
      <c r="Y99" s="69" t="s">
        <v>63</v>
      </c>
      <c r="Z99" s="69" t="s">
        <v>64</v>
      </c>
      <c r="AA99" s="69" t="s">
        <v>65</v>
      </c>
      <c r="AB99" s="69" t="s">
        <v>66</v>
      </c>
      <c r="AC99" s="69" t="s">
        <v>67</v>
      </c>
      <c r="AD99" s="69" t="s">
        <v>68</v>
      </c>
      <c r="AE99" s="69" t="s">
        <v>69</v>
      </c>
      <c r="AF99" s="69" t="s">
        <v>70</v>
      </c>
      <c r="AG99" s="69" t="s">
        <v>71</v>
      </c>
      <c r="AH99" s="63"/>
    </row>
    <row r="100" spans="1:34" hidden="1" outlineLevel="1" x14ac:dyDescent="0.35">
      <c r="A100" s="63"/>
      <c r="B100" s="63" t="str">
        <f>B93</f>
        <v>Reduced field productivity</v>
      </c>
      <c r="C100" s="63"/>
      <c r="D100" s="63"/>
      <c r="E100" s="63"/>
      <c r="F100" s="63"/>
      <c r="G100" s="63"/>
      <c r="H100" s="103">
        <f>D94*D96*D95*(1+D97)^2</f>
        <v>528819.84000000008</v>
      </c>
      <c r="I100" s="101">
        <f>H100*(1+$D$97)</f>
        <v>534108.03840000008</v>
      </c>
      <c r="J100" s="101">
        <f t="shared" ref="J100:AG100" si="23">I100*(1+$D$97)</f>
        <v>539449.11878400005</v>
      </c>
      <c r="K100" s="101">
        <f t="shared" si="23"/>
        <v>544843.60997184005</v>
      </c>
      <c r="L100" s="101">
        <f t="shared" si="23"/>
        <v>550292.04607155849</v>
      </c>
      <c r="M100" s="101">
        <f t="shared" si="23"/>
        <v>555794.96653227403</v>
      </c>
      <c r="N100" s="101">
        <f t="shared" si="23"/>
        <v>561352.91619759682</v>
      </c>
      <c r="O100" s="101">
        <f t="shared" si="23"/>
        <v>566966.44535957277</v>
      </c>
      <c r="P100" s="101">
        <f t="shared" si="23"/>
        <v>572636.10981316853</v>
      </c>
      <c r="Q100" s="101">
        <f t="shared" si="23"/>
        <v>578362.47091130028</v>
      </c>
      <c r="R100" s="101">
        <f t="shared" si="23"/>
        <v>584146.09562041331</v>
      </c>
      <c r="S100" s="101">
        <f t="shared" si="23"/>
        <v>589987.55657661741</v>
      </c>
      <c r="T100" s="101">
        <f t="shared" si="23"/>
        <v>595887.43214238354</v>
      </c>
      <c r="U100" s="101">
        <f t="shared" si="23"/>
        <v>601846.30646380736</v>
      </c>
      <c r="V100" s="101">
        <f t="shared" si="23"/>
        <v>607864.76952844544</v>
      </c>
      <c r="W100" s="101">
        <f t="shared" si="23"/>
        <v>613943.41722372989</v>
      </c>
      <c r="X100" s="101">
        <f t="shared" si="23"/>
        <v>620082.85139596718</v>
      </c>
      <c r="Y100" s="101">
        <f t="shared" si="23"/>
        <v>626283.67990992684</v>
      </c>
      <c r="Z100" s="101">
        <f t="shared" si="23"/>
        <v>632546.51670902607</v>
      </c>
      <c r="AA100" s="101">
        <f t="shared" si="23"/>
        <v>638871.98187611636</v>
      </c>
      <c r="AB100" s="101">
        <f t="shared" si="23"/>
        <v>645260.70169487759</v>
      </c>
      <c r="AC100" s="101">
        <f t="shared" si="23"/>
        <v>651713.30871182634</v>
      </c>
      <c r="AD100" s="101">
        <f t="shared" si="23"/>
        <v>658230.44179894461</v>
      </c>
      <c r="AE100" s="101">
        <f t="shared" si="23"/>
        <v>664812.74621693406</v>
      </c>
      <c r="AF100" s="101">
        <f t="shared" si="23"/>
        <v>671460.87367910345</v>
      </c>
      <c r="AG100" s="101">
        <f t="shared" si="23"/>
        <v>678175.48241589451</v>
      </c>
      <c r="AH100" s="63"/>
    </row>
    <row r="101" spans="1:34" hidden="1" outlineLevel="1" x14ac:dyDescent="0.35"/>
    <row r="102" spans="1:34" hidden="1" outlineLevel="1" x14ac:dyDescent="0.35"/>
    <row r="103" spans="1:34" collapsed="1" x14ac:dyDescent="0.35">
      <c r="A103" s="63"/>
      <c r="B103" s="86"/>
      <c r="C103" s="86"/>
      <c r="D103" s="86"/>
      <c r="E103" s="86"/>
      <c r="F103" s="86"/>
      <c r="G103" s="86"/>
      <c r="H103" s="69"/>
      <c r="I103" s="69" t="s">
        <v>22</v>
      </c>
      <c r="J103" s="69" t="s">
        <v>23</v>
      </c>
      <c r="K103" s="69" t="s">
        <v>24</v>
      </c>
      <c r="L103" s="69" t="s">
        <v>25</v>
      </c>
      <c r="M103" s="69" t="s">
        <v>26</v>
      </c>
      <c r="N103" s="69" t="s">
        <v>52</v>
      </c>
      <c r="O103" s="69" t="s">
        <v>53</v>
      </c>
      <c r="P103" s="69" t="s">
        <v>54</v>
      </c>
      <c r="Q103" s="69" t="s">
        <v>55</v>
      </c>
      <c r="R103" s="69" t="s">
        <v>56</v>
      </c>
      <c r="S103" s="69" t="s">
        <v>57</v>
      </c>
      <c r="T103" s="69" t="s">
        <v>58</v>
      </c>
      <c r="U103" s="69" t="s">
        <v>59</v>
      </c>
      <c r="V103" s="69" t="s">
        <v>60</v>
      </c>
      <c r="W103" s="69" t="s">
        <v>61</v>
      </c>
      <c r="X103" s="69" t="s">
        <v>62</v>
      </c>
      <c r="Y103" s="69" t="s">
        <v>63</v>
      </c>
      <c r="Z103" s="69" t="s">
        <v>64</v>
      </c>
      <c r="AA103" s="69" t="s">
        <v>65</v>
      </c>
      <c r="AB103" s="69" t="s">
        <v>66</v>
      </c>
      <c r="AC103" s="69" t="s">
        <v>67</v>
      </c>
      <c r="AD103" s="69" t="s">
        <v>68</v>
      </c>
      <c r="AE103" s="69" t="s">
        <v>69</v>
      </c>
      <c r="AF103" s="69" t="s">
        <v>70</v>
      </c>
      <c r="AG103" s="69" t="s">
        <v>71</v>
      </c>
      <c r="AH103" s="63"/>
    </row>
    <row r="104" spans="1:34" x14ac:dyDescent="0.35">
      <c r="A104" s="63"/>
      <c r="B104" s="71" t="str">
        <f>"Total risk due to "&amp;B82</f>
        <v>Total risk due to Outdated facilities</v>
      </c>
      <c r="C104" s="63"/>
      <c r="D104" s="63"/>
      <c r="E104" s="63"/>
      <c r="F104" s="63"/>
      <c r="G104" s="63"/>
      <c r="H104" s="101"/>
      <c r="I104" s="101">
        <f t="shared" ref="I104:AG104" si="24">I91+I100</f>
        <v>1345160.9856</v>
      </c>
      <c r="J104" s="101">
        <f t="shared" si="24"/>
        <v>1358612.595456</v>
      </c>
      <c r="K104" s="101">
        <f t="shared" si="24"/>
        <v>1372198.72141056</v>
      </c>
      <c r="L104" s="101">
        <f t="shared" si="24"/>
        <v>1385920.7086246656</v>
      </c>
      <c r="M104" s="101">
        <f t="shared" si="24"/>
        <v>1399779.9157109121</v>
      </c>
      <c r="N104" s="101">
        <f t="shared" si="24"/>
        <v>1413777.7148680214</v>
      </c>
      <c r="O104" s="101">
        <f t="shared" si="24"/>
        <v>1427915.4920167015</v>
      </c>
      <c r="P104" s="101">
        <f t="shared" si="24"/>
        <v>1442194.6469368688</v>
      </c>
      <c r="Q104" s="101">
        <f t="shared" si="24"/>
        <v>1456616.5934062374</v>
      </c>
      <c r="R104" s="101">
        <f t="shared" si="24"/>
        <v>1471182.7593402998</v>
      </c>
      <c r="S104" s="101">
        <f t="shared" si="24"/>
        <v>1485894.5869337027</v>
      </c>
      <c r="T104" s="101">
        <f t="shared" si="24"/>
        <v>1500753.5328030398</v>
      </c>
      <c r="U104" s="101">
        <f t="shared" si="24"/>
        <v>1515761.0681310701</v>
      </c>
      <c r="V104" s="101">
        <f t="shared" si="24"/>
        <v>1530918.6788123809</v>
      </c>
      <c r="W104" s="101">
        <f t="shared" si="24"/>
        <v>1546227.8656005047</v>
      </c>
      <c r="X104" s="101">
        <f t="shared" si="24"/>
        <v>1561690.1442565098</v>
      </c>
      <c r="Y104" s="101">
        <f t="shared" si="24"/>
        <v>1577307.0456990749</v>
      </c>
      <c r="Z104" s="101">
        <f t="shared" si="24"/>
        <v>1593080.1161560656</v>
      </c>
      <c r="AA104" s="101">
        <f t="shared" si="24"/>
        <v>1609010.9173176263</v>
      </c>
      <c r="AB104" s="101">
        <f t="shared" si="24"/>
        <v>1625101.0264908026</v>
      </c>
      <c r="AC104" s="101">
        <f t="shared" si="24"/>
        <v>1641352.0367557106</v>
      </c>
      <c r="AD104" s="101">
        <f t="shared" si="24"/>
        <v>1657765.5571232676</v>
      </c>
      <c r="AE104" s="101">
        <f t="shared" si="24"/>
        <v>1674343.2126945003</v>
      </c>
      <c r="AF104" s="101">
        <f t="shared" si="24"/>
        <v>1691086.6448214455</v>
      </c>
      <c r="AG104" s="101">
        <f t="shared" si="24"/>
        <v>1707997.51126966</v>
      </c>
      <c r="AH104" s="63"/>
    </row>
    <row r="107" spans="1:34" x14ac:dyDescent="0.35">
      <c r="A107" s="80"/>
      <c r="B107" s="78" t="s">
        <v>76</v>
      </c>
      <c r="C107" s="78"/>
      <c r="D107" s="78"/>
      <c r="E107" s="78"/>
      <c r="F107" s="78"/>
      <c r="G107" s="78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80"/>
    </row>
    <row r="108" spans="1:34" x14ac:dyDescent="0.3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idden="1" outlineLevel="1" x14ac:dyDescent="0.35">
      <c r="A109" s="63"/>
      <c r="B109" s="82" t="s">
        <v>127</v>
      </c>
      <c r="C109" s="82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63"/>
    </row>
    <row r="110" spans="1:34" hidden="1" outlineLevel="1" x14ac:dyDescent="0.35">
      <c r="A110" s="63"/>
      <c r="B110" s="63" t="s">
        <v>135</v>
      </c>
      <c r="C110" s="98" t="str">
        <f>'Risk Assumptions'!F37</f>
        <v>$ June 2024</v>
      </c>
      <c r="D110" s="83">
        <f>'Risk Assumptions'!G37</f>
        <v>5940414.4210879449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idden="1" outlineLevel="1" x14ac:dyDescent="0.35">
      <c r="A111" s="63"/>
      <c r="B111" s="63" t="s">
        <v>130</v>
      </c>
      <c r="C111" s="98"/>
      <c r="D111" s="83">
        <f>'Risk Assumptions'!G38</f>
        <v>3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idden="1" outlineLevel="1" x14ac:dyDescent="0.35">
      <c r="A112" s="63"/>
      <c r="B112" s="63" t="s">
        <v>136</v>
      </c>
      <c r="C112" s="99" t="str">
        <f>'Risk Assumptions'!F39</f>
        <v>%</v>
      </c>
      <c r="D112" s="84">
        <f>'Risk Assumptions'!G39</f>
        <v>0.01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</row>
    <row r="113" spans="1:34" hidden="1" outlineLevel="1" x14ac:dyDescent="0.35">
      <c r="A113" s="63"/>
      <c r="B113" s="63" t="s">
        <v>137</v>
      </c>
      <c r="C113" s="98" t="str">
        <f>'Risk Assumptions'!F32</f>
        <v>$ June 2024</v>
      </c>
      <c r="D113" s="83">
        <f>'Risk Assumptions'!G32</f>
        <v>850000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</row>
    <row r="114" spans="1:34" hidden="1" outlineLevel="1" x14ac:dyDescent="0.35">
      <c r="A114" s="63"/>
      <c r="B114" s="63" t="s">
        <v>138</v>
      </c>
      <c r="C114" s="98" t="str">
        <f>'Risk Assumptions'!F33</f>
        <v>$ June 2024</v>
      </c>
      <c r="D114" s="83">
        <f>'Risk Assumptions'!G33</f>
        <v>85000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</row>
    <row r="115" spans="1:34" hidden="1" outlineLevel="1" x14ac:dyDescent="0.35">
      <c r="A115" s="63"/>
      <c r="B115" s="63" t="s">
        <v>139</v>
      </c>
      <c r="C115" s="99" t="str">
        <f>'Risk Assumptions'!F40</f>
        <v>%</v>
      </c>
      <c r="D115" s="84">
        <f>'Risk Assumptions'!G40</f>
        <v>0.01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</row>
    <row r="116" spans="1:34" hidden="1" outlineLevel="1" x14ac:dyDescent="0.3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</row>
    <row r="117" spans="1:34" hidden="1" outlineLevel="1" x14ac:dyDescent="0.35">
      <c r="A117" s="63"/>
      <c r="B117" s="86"/>
      <c r="C117" s="86"/>
      <c r="D117" s="86"/>
      <c r="E117" s="86"/>
      <c r="F117" s="86"/>
      <c r="G117" s="86"/>
      <c r="H117" s="102" t="s">
        <v>19</v>
      </c>
      <c r="I117" s="69" t="s">
        <v>22</v>
      </c>
      <c r="J117" s="69" t="s">
        <v>23</v>
      </c>
      <c r="K117" s="69" t="s">
        <v>24</v>
      </c>
      <c r="L117" s="69" t="s">
        <v>25</v>
      </c>
      <c r="M117" s="69" t="s">
        <v>26</v>
      </c>
      <c r="N117" s="69" t="s">
        <v>52</v>
      </c>
      <c r="O117" s="69" t="s">
        <v>53</v>
      </c>
      <c r="P117" s="69" t="s">
        <v>54</v>
      </c>
      <c r="Q117" s="69" t="s">
        <v>55</v>
      </c>
      <c r="R117" s="69" t="s">
        <v>56</v>
      </c>
      <c r="S117" s="69" t="s">
        <v>57</v>
      </c>
      <c r="T117" s="69" t="s">
        <v>58</v>
      </c>
      <c r="U117" s="69" t="s">
        <v>59</v>
      </c>
      <c r="V117" s="69" t="s">
        <v>60</v>
      </c>
      <c r="W117" s="69" t="s">
        <v>61</v>
      </c>
      <c r="X117" s="69" t="s">
        <v>62</v>
      </c>
      <c r="Y117" s="69" t="s">
        <v>63</v>
      </c>
      <c r="Z117" s="69" t="s">
        <v>64</v>
      </c>
      <c r="AA117" s="69" t="s">
        <v>65</v>
      </c>
      <c r="AB117" s="69" t="s">
        <v>66</v>
      </c>
      <c r="AC117" s="69" t="s">
        <v>67</v>
      </c>
      <c r="AD117" s="69" t="s">
        <v>68</v>
      </c>
      <c r="AE117" s="69" t="s">
        <v>69</v>
      </c>
      <c r="AF117" s="69" t="s">
        <v>70</v>
      </c>
      <c r="AG117" s="69" t="s">
        <v>71</v>
      </c>
      <c r="AH117" s="63"/>
    </row>
    <row r="118" spans="1:34" hidden="1" outlineLevel="1" x14ac:dyDescent="0.35">
      <c r="A118" s="63"/>
      <c r="B118" s="104" t="s">
        <v>140</v>
      </c>
      <c r="C118" s="104"/>
      <c r="D118" s="104"/>
      <c r="E118" s="104"/>
      <c r="F118" s="104"/>
      <c r="G118" s="104"/>
      <c r="H118" s="105"/>
      <c r="I118" s="101">
        <f>$D110*$D111*$D112</f>
        <v>178212.43263263837</v>
      </c>
      <c r="J118" s="101">
        <f t="shared" ref="J118:AG118" si="25">$D110*$D111*$D112</f>
        <v>178212.43263263837</v>
      </c>
      <c r="K118" s="101">
        <f t="shared" si="25"/>
        <v>178212.43263263837</v>
      </c>
      <c r="L118" s="101">
        <f t="shared" si="25"/>
        <v>178212.43263263837</v>
      </c>
      <c r="M118" s="101">
        <f t="shared" si="25"/>
        <v>178212.43263263837</v>
      </c>
      <c r="N118" s="101">
        <f t="shared" si="25"/>
        <v>178212.43263263837</v>
      </c>
      <c r="O118" s="101">
        <f t="shared" si="25"/>
        <v>178212.43263263837</v>
      </c>
      <c r="P118" s="101">
        <f t="shared" si="25"/>
        <v>178212.43263263837</v>
      </c>
      <c r="Q118" s="101">
        <f t="shared" si="25"/>
        <v>178212.43263263837</v>
      </c>
      <c r="R118" s="101">
        <f t="shared" si="25"/>
        <v>178212.43263263837</v>
      </c>
      <c r="S118" s="101">
        <f t="shared" si="25"/>
        <v>178212.43263263837</v>
      </c>
      <c r="T118" s="101">
        <f t="shared" si="25"/>
        <v>178212.43263263837</v>
      </c>
      <c r="U118" s="101">
        <f t="shared" si="25"/>
        <v>178212.43263263837</v>
      </c>
      <c r="V118" s="101">
        <f t="shared" si="25"/>
        <v>178212.43263263837</v>
      </c>
      <c r="W118" s="101">
        <f t="shared" si="25"/>
        <v>178212.43263263837</v>
      </c>
      <c r="X118" s="101">
        <f t="shared" si="25"/>
        <v>178212.43263263837</v>
      </c>
      <c r="Y118" s="101">
        <f t="shared" si="25"/>
        <v>178212.43263263837</v>
      </c>
      <c r="Z118" s="101">
        <f t="shared" si="25"/>
        <v>178212.43263263837</v>
      </c>
      <c r="AA118" s="101">
        <f t="shared" si="25"/>
        <v>178212.43263263837</v>
      </c>
      <c r="AB118" s="101">
        <f t="shared" si="25"/>
        <v>178212.43263263837</v>
      </c>
      <c r="AC118" s="101">
        <f t="shared" si="25"/>
        <v>178212.43263263837</v>
      </c>
      <c r="AD118" s="101">
        <f t="shared" si="25"/>
        <v>178212.43263263837</v>
      </c>
      <c r="AE118" s="101">
        <f t="shared" si="25"/>
        <v>178212.43263263837</v>
      </c>
      <c r="AF118" s="101">
        <f t="shared" si="25"/>
        <v>178212.43263263837</v>
      </c>
      <c r="AG118" s="101">
        <f t="shared" si="25"/>
        <v>178212.43263263837</v>
      </c>
      <c r="AH118" s="63"/>
    </row>
    <row r="119" spans="1:34" hidden="1" outlineLevel="1" x14ac:dyDescent="0.35">
      <c r="A119" s="63"/>
      <c r="B119" s="104" t="s">
        <v>141</v>
      </c>
      <c r="C119" s="104"/>
      <c r="D119" s="104"/>
      <c r="E119" s="104"/>
      <c r="F119" s="104"/>
      <c r="G119" s="104"/>
      <c r="H119" s="105"/>
      <c r="I119" s="101">
        <f>$D$113*$D$112</f>
        <v>8500</v>
      </c>
      <c r="J119" s="101">
        <f>$D$113*$D$112</f>
        <v>8500</v>
      </c>
      <c r="K119" s="101">
        <f t="shared" ref="K119:AG119" si="26">$D$113*$D$112</f>
        <v>8500</v>
      </c>
      <c r="L119" s="101">
        <f t="shared" si="26"/>
        <v>8500</v>
      </c>
      <c r="M119" s="101">
        <f t="shared" si="26"/>
        <v>8500</v>
      </c>
      <c r="N119" s="101">
        <f t="shared" si="26"/>
        <v>8500</v>
      </c>
      <c r="O119" s="101">
        <f t="shared" si="26"/>
        <v>8500</v>
      </c>
      <c r="P119" s="101">
        <f t="shared" si="26"/>
        <v>8500</v>
      </c>
      <c r="Q119" s="101">
        <f t="shared" si="26"/>
        <v>8500</v>
      </c>
      <c r="R119" s="101">
        <f t="shared" si="26"/>
        <v>8500</v>
      </c>
      <c r="S119" s="101">
        <f t="shared" si="26"/>
        <v>8500</v>
      </c>
      <c r="T119" s="101">
        <f t="shared" si="26"/>
        <v>8500</v>
      </c>
      <c r="U119" s="101">
        <f t="shared" si="26"/>
        <v>8500</v>
      </c>
      <c r="V119" s="101">
        <f t="shared" si="26"/>
        <v>8500</v>
      </c>
      <c r="W119" s="101">
        <f t="shared" si="26"/>
        <v>8500</v>
      </c>
      <c r="X119" s="101">
        <f t="shared" si="26"/>
        <v>8500</v>
      </c>
      <c r="Y119" s="101">
        <f t="shared" si="26"/>
        <v>8500</v>
      </c>
      <c r="Z119" s="101">
        <f t="shared" si="26"/>
        <v>8500</v>
      </c>
      <c r="AA119" s="101">
        <f t="shared" si="26"/>
        <v>8500</v>
      </c>
      <c r="AB119" s="101">
        <f t="shared" si="26"/>
        <v>8500</v>
      </c>
      <c r="AC119" s="101">
        <f t="shared" si="26"/>
        <v>8500</v>
      </c>
      <c r="AD119" s="101">
        <f t="shared" si="26"/>
        <v>8500</v>
      </c>
      <c r="AE119" s="101">
        <f t="shared" si="26"/>
        <v>8500</v>
      </c>
      <c r="AF119" s="101">
        <f t="shared" si="26"/>
        <v>8500</v>
      </c>
      <c r="AG119" s="101">
        <f t="shared" si="26"/>
        <v>8500</v>
      </c>
      <c r="AH119" s="63"/>
    </row>
    <row r="120" spans="1:34" hidden="1" outlineLevel="1" x14ac:dyDescent="0.35">
      <c r="A120" s="63"/>
      <c r="B120" s="104" t="s">
        <v>142</v>
      </c>
      <c r="C120" s="104"/>
      <c r="D120" s="104"/>
      <c r="E120" s="104"/>
      <c r="F120" s="104"/>
      <c r="G120" s="104"/>
      <c r="H120" s="105"/>
      <c r="I120" s="101">
        <f>$D$114*(1+D115)^3</f>
        <v>87575.584999999992</v>
      </c>
      <c r="J120" s="101">
        <f>I120*(1+$D$115)</f>
        <v>88451.340849999993</v>
      </c>
      <c r="K120" s="101">
        <f t="shared" ref="K120:AG120" si="27">J120*(1+$D$115)</f>
        <v>89335.854258499996</v>
      </c>
      <c r="L120" s="101">
        <f t="shared" si="27"/>
        <v>90229.212801084999</v>
      </c>
      <c r="M120" s="101">
        <f t="shared" si="27"/>
        <v>91131.504929095856</v>
      </c>
      <c r="N120" s="101">
        <f t="shared" si="27"/>
        <v>92042.819978386819</v>
      </c>
      <c r="O120" s="101">
        <f t="shared" si="27"/>
        <v>92963.248178170688</v>
      </c>
      <c r="P120" s="101">
        <f t="shared" si="27"/>
        <v>93892.880659952396</v>
      </c>
      <c r="Q120" s="101">
        <f t="shared" si="27"/>
        <v>94831.809466551917</v>
      </c>
      <c r="R120" s="101">
        <f t="shared" si="27"/>
        <v>95780.127561217436</v>
      </c>
      <c r="S120" s="101">
        <f t="shared" si="27"/>
        <v>96737.928836829611</v>
      </c>
      <c r="T120" s="101">
        <f t="shared" si="27"/>
        <v>97705.308125197902</v>
      </c>
      <c r="U120" s="101">
        <f t="shared" si="27"/>
        <v>98682.361206449888</v>
      </c>
      <c r="V120" s="101">
        <f t="shared" si="27"/>
        <v>99669.18481851439</v>
      </c>
      <c r="W120" s="101">
        <f t="shared" si="27"/>
        <v>100665.87666669954</v>
      </c>
      <c r="X120" s="101">
        <f t="shared" si="27"/>
        <v>101672.53543336653</v>
      </c>
      <c r="Y120" s="101">
        <f t="shared" si="27"/>
        <v>102689.2607877002</v>
      </c>
      <c r="Z120" s="101">
        <f t="shared" si="27"/>
        <v>103716.1533955772</v>
      </c>
      <c r="AA120" s="101">
        <f t="shared" si="27"/>
        <v>104753.31492953298</v>
      </c>
      <c r="AB120" s="101">
        <f t="shared" si="27"/>
        <v>105800.84807882831</v>
      </c>
      <c r="AC120" s="101">
        <f t="shared" si="27"/>
        <v>106858.85655961659</v>
      </c>
      <c r="AD120" s="101">
        <f t="shared" si="27"/>
        <v>107927.44512521275</v>
      </c>
      <c r="AE120" s="101">
        <f t="shared" si="27"/>
        <v>109006.71957646488</v>
      </c>
      <c r="AF120" s="101">
        <f t="shared" si="27"/>
        <v>110096.78677222953</v>
      </c>
      <c r="AG120" s="101">
        <f t="shared" si="27"/>
        <v>111197.75463995183</v>
      </c>
      <c r="AH120" s="63"/>
    </row>
    <row r="121" spans="1:34" hidden="1" outlineLevel="1" x14ac:dyDescent="0.35">
      <c r="A121" s="63"/>
      <c r="B121" s="107" t="str">
        <f>B109</f>
        <v>Death or serious injury caused by structural failure</v>
      </c>
      <c r="C121" s="107"/>
      <c r="D121" s="107"/>
      <c r="E121" s="107"/>
      <c r="F121" s="107"/>
      <c r="G121" s="107"/>
      <c r="H121" s="108"/>
      <c r="I121" s="109">
        <f>SUM(I118:I120)</f>
        <v>274288.01763263834</v>
      </c>
      <c r="J121" s="109">
        <f t="shared" ref="J121:AG121" si="28">SUM(J118:J120)</f>
        <v>275163.77348263835</v>
      </c>
      <c r="K121" s="109">
        <f t="shared" si="28"/>
        <v>276048.28689113836</v>
      </c>
      <c r="L121" s="109">
        <f t="shared" si="28"/>
        <v>276941.64543372334</v>
      </c>
      <c r="M121" s="109">
        <f t="shared" si="28"/>
        <v>277843.93756173423</v>
      </c>
      <c r="N121" s="109">
        <f t="shared" si="28"/>
        <v>278755.25261102518</v>
      </c>
      <c r="O121" s="109">
        <f t="shared" si="28"/>
        <v>279675.68081080908</v>
      </c>
      <c r="P121" s="109">
        <f t="shared" si="28"/>
        <v>280605.31329259078</v>
      </c>
      <c r="Q121" s="109">
        <f t="shared" si="28"/>
        <v>281544.24209919031</v>
      </c>
      <c r="R121" s="109">
        <f t="shared" si="28"/>
        <v>282492.56019385578</v>
      </c>
      <c r="S121" s="109">
        <f t="shared" si="28"/>
        <v>283450.36146946799</v>
      </c>
      <c r="T121" s="109">
        <f t="shared" si="28"/>
        <v>284417.74075783626</v>
      </c>
      <c r="U121" s="109">
        <f t="shared" si="28"/>
        <v>285394.79383908829</v>
      </c>
      <c r="V121" s="109">
        <f t="shared" si="28"/>
        <v>286381.61745115276</v>
      </c>
      <c r="W121" s="109">
        <f t="shared" si="28"/>
        <v>287378.30929933791</v>
      </c>
      <c r="X121" s="109">
        <f t="shared" si="28"/>
        <v>288384.96806600492</v>
      </c>
      <c r="Y121" s="109">
        <f t="shared" si="28"/>
        <v>289401.69342033856</v>
      </c>
      <c r="Z121" s="109">
        <f t="shared" si="28"/>
        <v>290428.58602821559</v>
      </c>
      <c r="AA121" s="109">
        <f t="shared" si="28"/>
        <v>291465.74756217137</v>
      </c>
      <c r="AB121" s="109">
        <f t="shared" si="28"/>
        <v>292513.28071146668</v>
      </c>
      <c r="AC121" s="109">
        <f t="shared" si="28"/>
        <v>293571.28919225495</v>
      </c>
      <c r="AD121" s="109">
        <f t="shared" si="28"/>
        <v>294639.87775785115</v>
      </c>
      <c r="AE121" s="109">
        <f t="shared" si="28"/>
        <v>295719.15220910322</v>
      </c>
      <c r="AF121" s="109">
        <f t="shared" si="28"/>
        <v>296809.21940486791</v>
      </c>
      <c r="AG121" s="109">
        <f t="shared" si="28"/>
        <v>297910.18727259024</v>
      </c>
      <c r="AH121" s="63"/>
    </row>
    <row r="122" spans="1:34" hidden="1" outlineLevel="1" x14ac:dyDescent="0.35"/>
    <row r="123" spans="1:34" hidden="1" outlineLevel="1" x14ac:dyDescent="0.35"/>
    <row r="124" spans="1:34" collapsed="1" x14ac:dyDescent="0.35">
      <c r="A124" s="63"/>
      <c r="B124" s="86"/>
      <c r="C124" s="86"/>
      <c r="D124" s="86"/>
      <c r="E124" s="86"/>
      <c r="F124" s="86"/>
      <c r="G124" s="86"/>
      <c r="H124" s="69"/>
      <c r="I124" s="69" t="s">
        <v>22</v>
      </c>
      <c r="J124" s="69" t="s">
        <v>23</v>
      </c>
      <c r="K124" s="69" t="s">
        <v>24</v>
      </c>
      <c r="L124" s="69" t="s">
        <v>25</v>
      </c>
      <c r="M124" s="69" t="s">
        <v>26</v>
      </c>
      <c r="N124" s="69" t="s">
        <v>52</v>
      </c>
      <c r="O124" s="69" t="s">
        <v>53</v>
      </c>
      <c r="P124" s="69" t="s">
        <v>54</v>
      </c>
      <c r="Q124" s="69" t="s">
        <v>55</v>
      </c>
      <c r="R124" s="69" t="s">
        <v>56</v>
      </c>
      <c r="S124" s="69" t="s">
        <v>57</v>
      </c>
      <c r="T124" s="69" t="s">
        <v>58</v>
      </c>
      <c r="U124" s="69" t="s">
        <v>59</v>
      </c>
      <c r="V124" s="69" t="s">
        <v>60</v>
      </c>
      <c r="W124" s="69" t="s">
        <v>61</v>
      </c>
      <c r="X124" s="69" t="s">
        <v>62</v>
      </c>
      <c r="Y124" s="69" t="s">
        <v>63</v>
      </c>
      <c r="Z124" s="69" t="s">
        <v>64</v>
      </c>
      <c r="AA124" s="69" t="s">
        <v>65</v>
      </c>
      <c r="AB124" s="69" t="s">
        <v>66</v>
      </c>
      <c r="AC124" s="69" t="s">
        <v>67</v>
      </c>
      <c r="AD124" s="69" t="s">
        <v>68</v>
      </c>
      <c r="AE124" s="69" t="s">
        <v>69</v>
      </c>
      <c r="AF124" s="69" t="s">
        <v>70</v>
      </c>
      <c r="AG124" s="69" t="s">
        <v>71</v>
      </c>
      <c r="AH124" s="63"/>
    </row>
    <row r="125" spans="1:34" x14ac:dyDescent="0.35">
      <c r="A125" s="63"/>
      <c r="B125" s="71" t="str">
        <f>"Total risk due to "&amp;B107</f>
        <v>Total risk due to Structural issues</v>
      </c>
      <c r="C125" s="63"/>
      <c r="D125" s="63"/>
      <c r="E125" s="63"/>
      <c r="F125" s="63"/>
      <c r="G125" s="63"/>
      <c r="H125" s="101"/>
      <c r="I125" s="101">
        <f>I121</f>
        <v>274288.01763263834</v>
      </c>
      <c r="J125" s="101">
        <f t="shared" ref="J125:AG125" si="29">J121</f>
        <v>275163.77348263835</v>
      </c>
      <c r="K125" s="101">
        <f t="shared" si="29"/>
        <v>276048.28689113836</v>
      </c>
      <c r="L125" s="101">
        <f t="shared" si="29"/>
        <v>276941.64543372334</v>
      </c>
      <c r="M125" s="101">
        <f t="shared" si="29"/>
        <v>277843.93756173423</v>
      </c>
      <c r="N125" s="101">
        <f t="shared" si="29"/>
        <v>278755.25261102518</v>
      </c>
      <c r="O125" s="101">
        <f t="shared" si="29"/>
        <v>279675.68081080908</v>
      </c>
      <c r="P125" s="101">
        <f t="shared" si="29"/>
        <v>280605.31329259078</v>
      </c>
      <c r="Q125" s="101">
        <f t="shared" si="29"/>
        <v>281544.24209919031</v>
      </c>
      <c r="R125" s="101">
        <f t="shared" si="29"/>
        <v>282492.56019385578</v>
      </c>
      <c r="S125" s="101">
        <f t="shared" si="29"/>
        <v>283450.36146946799</v>
      </c>
      <c r="T125" s="101">
        <f t="shared" si="29"/>
        <v>284417.74075783626</v>
      </c>
      <c r="U125" s="101">
        <f t="shared" si="29"/>
        <v>285394.79383908829</v>
      </c>
      <c r="V125" s="101">
        <f t="shared" si="29"/>
        <v>286381.61745115276</v>
      </c>
      <c r="W125" s="101">
        <f t="shared" si="29"/>
        <v>287378.30929933791</v>
      </c>
      <c r="X125" s="101">
        <f t="shared" si="29"/>
        <v>288384.96806600492</v>
      </c>
      <c r="Y125" s="101">
        <f t="shared" si="29"/>
        <v>289401.69342033856</v>
      </c>
      <c r="Z125" s="101">
        <f t="shared" si="29"/>
        <v>290428.58602821559</v>
      </c>
      <c r="AA125" s="101">
        <f t="shared" si="29"/>
        <v>291465.74756217137</v>
      </c>
      <c r="AB125" s="101">
        <f t="shared" si="29"/>
        <v>292513.28071146668</v>
      </c>
      <c r="AC125" s="101">
        <f t="shared" si="29"/>
        <v>293571.28919225495</v>
      </c>
      <c r="AD125" s="101">
        <f t="shared" si="29"/>
        <v>294639.87775785115</v>
      </c>
      <c r="AE125" s="101">
        <f t="shared" si="29"/>
        <v>295719.15220910322</v>
      </c>
      <c r="AF125" s="101">
        <f t="shared" si="29"/>
        <v>296809.21940486791</v>
      </c>
      <c r="AG125" s="101">
        <f t="shared" si="29"/>
        <v>297910.18727259024</v>
      </c>
      <c r="AH125" s="63"/>
    </row>
    <row r="128" spans="1:34" x14ac:dyDescent="0.35">
      <c r="A128" s="80"/>
      <c r="B128" s="78" t="s">
        <v>77</v>
      </c>
      <c r="C128" s="78"/>
      <c r="D128" s="78"/>
      <c r="E128" s="78"/>
      <c r="F128" s="78"/>
      <c r="G128" s="78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80"/>
    </row>
    <row r="129" spans="1:34" x14ac:dyDescent="0.3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</row>
    <row r="130" spans="1:34" hidden="1" outlineLevel="1" x14ac:dyDescent="0.35">
      <c r="A130" s="63"/>
      <c r="B130" s="82" t="s">
        <v>143</v>
      </c>
      <c r="C130" s="82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63"/>
    </row>
    <row r="131" spans="1:34" hidden="1" outlineLevel="1" x14ac:dyDescent="0.35">
      <c r="A131" s="63"/>
      <c r="B131" s="63" t="s">
        <v>135</v>
      </c>
      <c r="C131" s="98" t="str">
        <f>'Risk Assumptions'!F37</f>
        <v>$ June 2024</v>
      </c>
      <c r="D131" s="83">
        <f>'Risk Assumptions'!G37</f>
        <v>5940414.4210879449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</row>
    <row r="132" spans="1:34" hidden="1" outlineLevel="1" x14ac:dyDescent="0.35">
      <c r="A132" s="63"/>
      <c r="B132" s="63" t="s">
        <v>130</v>
      </c>
      <c r="C132" s="98"/>
      <c r="D132" s="83">
        <f>'Risk Assumptions'!G38</f>
        <v>3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</row>
    <row r="133" spans="1:34" hidden="1" outlineLevel="1" x14ac:dyDescent="0.35">
      <c r="A133" s="63"/>
      <c r="B133" s="63" t="s">
        <v>144</v>
      </c>
      <c r="C133" s="99" t="str">
        <f>'Risk Assumptions'!F41</f>
        <v>%</v>
      </c>
      <c r="D133" s="84">
        <f>'Risk Assumptions'!G41</f>
        <v>0.01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</row>
    <row r="134" spans="1:34" hidden="1" outlineLevel="1" x14ac:dyDescent="0.35">
      <c r="A134" s="63"/>
      <c r="B134" s="63" t="s">
        <v>145</v>
      </c>
      <c r="C134" s="98" t="str">
        <f>'Risk Assumptions'!F34</f>
        <v>$ June 2024</v>
      </c>
      <c r="D134" s="83">
        <f>'Risk Assumptions'!G34</f>
        <v>280000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</row>
    <row r="135" spans="1:34" hidden="1" outlineLevel="1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</row>
    <row r="136" spans="1:34" hidden="1" outlineLevel="1" x14ac:dyDescent="0.35">
      <c r="A136" s="63"/>
      <c r="B136" s="86"/>
      <c r="C136" s="86"/>
      <c r="D136" s="86"/>
      <c r="E136" s="86"/>
      <c r="F136" s="86"/>
      <c r="G136" s="86"/>
      <c r="H136" s="102" t="s">
        <v>19</v>
      </c>
      <c r="I136" s="69" t="s">
        <v>22</v>
      </c>
      <c r="J136" s="69" t="s">
        <v>23</v>
      </c>
      <c r="K136" s="69" t="s">
        <v>24</v>
      </c>
      <c r="L136" s="69" t="s">
        <v>25</v>
      </c>
      <c r="M136" s="69" t="s">
        <v>26</v>
      </c>
      <c r="N136" s="69" t="s">
        <v>52</v>
      </c>
      <c r="O136" s="69" t="s">
        <v>53</v>
      </c>
      <c r="P136" s="69" t="s">
        <v>54</v>
      </c>
      <c r="Q136" s="69" t="s">
        <v>55</v>
      </c>
      <c r="R136" s="69" t="s">
        <v>56</v>
      </c>
      <c r="S136" s="69" t="s">
        <v>57</v>
      </c>
      <c r="T136" s="69" t="s">
        <v>58</v>
      </c>
      <c r="U136" s="69" t="s">
        <v>59</v>
      </c>
      <c r="V136" s="69" t="s">
        <v>60</v>
      </c>
      <c r="W136" s="69" t="s">
        <v>61</v>
      </c>
      <c r="X136" s="69" t="s">
        <v>62</v>
      </c>
      <c r="Y136" s="69" t="s">
        <v>63</v>
      </c>
      <c r="Z136" s="69" t="s">
        <v>64</v>
      </c>
      <c r="AA136" s="69" t="s">
        <v>65</v>
      </c>
      <c r="AB136" s="69" t="s">
        <v>66</v>
      </c>
      <c r="AC136" s="69" t="s">
        <v>67</v>
      </c>
      <c r="AD136" s="69" t="s">
        <v>68</v>
      </c>
      <c r="AE136" s="69" t="s">
        <v>69</v>
      </c>
      <c r="AF136" s="69" t="s">
        <v>70</v>
      </c>
      <c r="AG136" s="69" t="s">
        <v>71</v>
      </c>
      <c r="AH136" s="63"/>
    </row>
    <row r="137" spans="1:34" hidden="1" outlineLevel="1" x14ac:dyDescent="0.35">
      <c r="A137" s="63"/>
      <c r="B137" s="104" t="s">
        <v>140</v>
      </c>
      <c r="C137" s="104"/>
      <c r="D137" s="104"/>
      <c r="E137" s="104"/>
      <c r="F137" s="104"/>
      <c r="G137" s="104"/>
      <c r="H137" s="105"/>
      <c r="I137" s="101">
        <f>$D$131*$D$132*$D$133</f>
        <v>178212.43263263837</v>
      </c>
      <c r="J137" s="101">
        <f t="shared" ref="J137:AG137" si="30">$D$131*$D$132*$D$133</f>
        <v>178212.43263263837</v>
      </c>
      <c r="K137" s="101">
        <f t="shared" si="30"/>
        <v>178212.43263263837</v>
      </c>
      <c r="L137" s="101">
        <f t="shared" si="30"/>
        <v>178212.43263263837</v>
      </c>
      <c r="M137" s="101">
        <f t="shared" si="30"/>
        <v>178212.43263263837</v>
      </c>
      <c r="N137" s="101">
        <f t="shared" si="30"/>
        <v>178212.43263263837</v>
      </c>
      <c r="O137" s="101">
        <f t="shared" si="30"/>
        <v>178212.43263263837</v>
      </c>
      <c r="P137" s="101">
        <f t="shared" si="30"/>
        <v>178212.43263263837</v>
      </c>
      <c r="Q137" s="101">
        <f t="shared" si="30"/>
        <v>178212.43263263837</v>
      </c>
      <c r="R137" s="101">
        <f t="shared" si="30"/>
        <v>178212.43263263837</v>
      </c>
      <c r="S137" s="101">
        <f t="shared" si="30"/>
        <v>178212.43263263837</v>
      </c>
      <c r="T137" s="101">
        <f t="shared" si="30"/>
        <v>178212.43263263837</v>
      </c>
      <c r="U137" s="101">
        <f t="shared" si="30"/>
        <v>178212.43263263837</v>
      </c>
      <c r="V137" s="101">
        <f t="shared" si="30"/>
        <v>178212.43263263837</v>
      </c>
      <c r="W137" s="101">
        <f t="shared" si="30"/>
        <v>178212.43263263837</v>
      </c>
      <c r="X137" s="101">
        <f t="shared" si="30"/>
        <v>178212.43263263837</v>
      </c>
      <c r="Y137" s="101">
        <f t="shared" si="30"/>
        <v>178212.43263263837</v>
      </c>
      <c r="Z137" s="101">
        <f t="shared" si="30"/>
        <v>178212.43263263837</v>
      </c>
      <c r="AA137" s="101">
        <f t="shared" si="30"/>
        <v>178212.43263263837</v>
      </c>
      <c r="AB137" s="101">
        <f t="shared" si="30"/>
        <v>178212.43263263837</v>
      </c>
      <c r="AC137" s="101">
        <f t="shared" si="30"/>
        <v>178212.43263263837</v>
      </c>
      <c r="AD137" s="101">
        <f t="shared" si="30"/>
        <v>178212.43263263837</v>
      </c>
      <c r="AE137" s="101">
        <f t="shared" si="30"/>
        <v>178212.43263263837</v>
      </c>
      <c r="AF137" s="101">
        <f t="shared" si="30"/>
        <v>178212.43263263837</v>
      </c>
      <c r="AG137" s="101">
        <f t="shared" si="30"/>
        <v>178212.43263263837</v>
      </c>
      <c r="AH137" s="63"/>
    </row>
    <row r="138" spans="1:34" hidden="1" outlineLevel="1" x14ac:dyDescent="0.35">
      <c r="A138" s="63"/>
      <c r="B138" s="104" t="s">
        <v>220</v>
      </c>
      <c r="C138" s="104"/>
      <c r="D138" s="104"/>
      <c r="E138" s="104"/>
      <c r="F138" s="104"/>
      <c r="G138" s="104"/>
      <c r="H138" s="105"/>
      <c r="I138" s="101">
        <f>$D$134*$D$133</f>
        <v>2800</v>
      </c>
      <c r="J138" s="101">
        <f t="shared" ref="J138:AG138" si="31">$D$134*$D$133</f>
        <v>2800</v>
      </c>
      <c r="K138" s="101">
        <f t="shared" si="31"/>
        <v>2800</v>
      </c>
      <c r="L138" s="101">
        <f t="shared" si="31"/>
        <v>2800</v>
      </c>
      <c r="M138" s="101">
        <f t="shared" si="31"/>
        <v>2800</v>
      </c>
      <c r="N138" s="101">
        <f t="shared" si="31"/>
        <v>2800</v>
      </c>
      <c r="O138" s="101">
        <f t="shared" si="31"/>
        <v>2800</v>
      </c>
      <c r="P138" s="101">
        <f t="shared" si="31"/>
        <v>2800</v>
      </c>
      <c r="Q138" s="101">
        <f t="shared" si="31"/>
        <v>2800</v>
      </c>
      <c r="R138" s="101">
        <f t="shared" si="31"/>
        <v>2800</v>
      </c>
      <c r="S138" s="101">
        <f t="shared" si="31"/>
        <v>2800</v>
      </c>
      <c r="T138" s="101">
        <f t="shared" si="31"/>
        <v>2800</v>
      </c>
      <c r="U138" s="101">
        <f t="shared" si="31"/>
        <v>2800</v>
      </c>
      <c r="V138" s="101">
        <f t="shared" si="31"/>
        <v>2800</v>
      </c>
      <c r="W138" s="101">
        <f t="shared" si="31"/>
        <v>2800</v>
      </c>
      <c r="X138" s="101">
        <f t="shared" si="31"/>
        <v>2800</v>
      </c>
      <c r="Y138" s="101">
        <f t="shared" si="31"/>
        <v>2800</v>
      </c>
      <c r="Z138" s="101">
        <f t="shared" si="31"/>
        <v>2800</v>
      </c>
      <c r="AA138" s="101">
        <f t="shared" si="31"/>
        <v>2800</v>
      </c>
      <c r="AB138" s="101">
        <f t="shared" si="31"/>
        <v>2800</v>
      </c>
      <c r="AC138" s="101">
        <f t="shared" si="31"/>
        <v>2800</v>
      </c>
      <c r="AD138" s="101">
        <f t="shared" si="31"/>
        <v>2800</v>
      </c>
      <c r="AE138" s="101">
        <f t="shared" si="31"/>
        <v>2800</v>
      </c>
      <c r="AF138" s="101">
        <f t="shared" si="31"/>
        <v>2800</v>
      </c>
      <c r="AG138" s="101">
        <f t="shared" si="31"/>
        <v>2800</v>
      </c>
      <c r="AH138" s="63"/>
    </row>
    <row r="139" spans="1:34" hidden="1" outlineLevel="1" x14ac:dyDescent="0.35">
      <c r="A139" s="63"/>
      <c r="B139" s="107" t="str">
        <f>B130</f>
        <v>Death or serious injury due to movement of vehicles in confined space</v>
      </c>
      <c r="C139" s="107"/>
      <c r="D139" s="107"/>
      <c r="E139" s="107"/>
      <c r="F139" s="107"/>
      <c r="G139" s="107"/>
      <c r="H139" s="108"/>
      <c r="I139" s="109">
        <f t="shared" ref="I139:AG139" si="32">SUM(I137:I138)</f>
        <v>181012.43263263837</v>
      </c>
      <c r="J139" s="109">
        <f t="shared" si="32"/>
        <v>181012.43263263837</v>
      </c>
      <c r="K139" s="109">
        <f t="shared" si="32"/>
        <v>181012.43263263837</v>
      </c>
      <c r="L139" s="109">
        <f t="shared" si="32"/>
        <v>181012.43263263837</v>
      </c>
      <c r="M139" s="109">
        <f t="shared" si="32"/>
        <v>181012.43263263837</v>
      </c>
      <c r="N139" s="109">
        <f t="shared" si="32"/>
        <v>181012.43263263837</v>
      </c>
      <c r="O139" s="109">
        <f t="shared" si="32"/>
        <v>181012.43263263837</v>
      </c>
      <c r="P139" s="109">
        <f t="shared" si="32"/>
        <v>181012.43263263837</v>
      </c>
      <c r="Q139" s="109">
        <f t="shared" si="32"/>
        <v>181012.43263263837</v>
      </c>
      <c r="R139" s="109">
        <f t="shared" si="32"/>
        <v>181012.43263263837</v>
      </c>
      <c r="S139" s="109">
        <f t="shared" si="32"/>
        <v>181012.43263263837</v>
      </c>
      <c r="T139" s="109">
        <f t="shared" si="32"/>
        <v>181012.43263263837</v>
      </c>
      <c r="U139" s="109">
        <f t="shared" si="32"/>
        <v>181012.43263263837</v>
      </c>
      <c r="V139" s="109">
        <f t="shared" si="32"/>
        <v>181012.43263263837</v>
      </c>
      <c r="W139" s="109">
        <f t="shared" si="32"/>
        <v>181012.43263263837</v>
      </c>
      <c r="X139" s="109">
        <f t="shared" si="32"/>
        <v>181012.43263263837</v>
      </c>
      <c r="Y139" s="109">
        <f t="shared" si="32"/>
        <v>181012.43263263837</v>
      </c>
      <c r="Z139" s="109">
        <f t="shared" si="32"/>
        <v>181012.43263263837</v>
      </c>
      <c r="AA139" s="109">
        <f t="shared" si="32"/>
        <v>181012.43263263837</v>
      </c>
      <c r="AB139" s="109">
        <f t="shared" si="32"/>
        <v>181012.43263263837</v>
      </c>
      <c r="AC139" s="109">
        <f t="shared" si="32"/>
        <v>181012.43263263837</v>
      </c>
      <c r="AD139" s="109">
        <f t="shared" si="32"/>
        <v>181012.43263263837</v>
      </c>
      <c r="AE139" s="109">
        <f t="shared" si="32"/>
        <v>181012.43263263837</v>
      </c>
      <c r="AF139" s="109">
        <f t="shared" si="32"/>
        <v>181012.43263263837</v>
      </c>
      <c r="AG139" s="109">
        <f t="shared" si="32"/>
        <v>181012.43263263837</v>
      </c>
      <c r="AH139" s="63"/>
    </row>
    <row r="140" spans="1:34" hidden="1" outlineLevel="1" x14ac:dyDescent="0.35"/>
    <row r="141" spans="1:34" hidden="1" outlineLevel="1" x14ac:dyDescent="0.35">
      <c r="A141" s="63"/>
      <c r="B141" s="82" t="s">
        <v>217</v>
      </c>
      <c r="C141" s="82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63"/>
    </row>
    <row r="142" spans="1:34" hidden="1" outlineLevel="1" x14ac:dyDescent="0.35">
      <c r="A142" s="63"/>
      <c r="B142" s="63" t="s">
        <v>135</v>
      </c>
      <c r="C142" s="98" t="str">
        <f>'Risk Assumptions'!F37</f>
        <v>$ June 2024</v>
      </c>
      <c r="D142" s="83">
        <f>'Risk Assumptions'!G37</f>
        <v>5940414.4210879449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</row>
    <row r="143" spans="1:34" hidden="1" outlineLevel="1" x14ac:dyDescent="0.35">
      <c r="A143" s="63"/>
      <c r="B143" s="63" t="s">
        <v>130</v>
      </c>
      <c r="C143" s="98">
        <f>'Risk Assumptions'!F38</f>
        <v>0</v>
      </c>
      <c r="D143" s="83">
        <f>'Risk Assumptions'!G38</f>
        <v>3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</row>
    <row r="144" spans="1:34" hidden="1" outlineLevel="1" x14ac:dyDescent="0.35">
      <c r="A144" s="63"/>
      <c r="B144" s="63" t="s">
        <v>144</v>
      </c>
      <c r="C144" s="99" t="str">
        <f>'Risk Assumptions'!F41</f>
        <v>%</v>
      </c>
      <c r="D144" s="84">
        <f>'Risk Assumptions'!G42</f>
        <v>4.0000000000000001E-3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</row>
    <row r="145" spans="1:34" hidden="1" outlineLevel="1" x14ac:dyDescent="0.35">
      <c r="A145" s="63"/>
      <c r="B145" s="63" t="s">
        <v>145</v>
      </c>
      <c r="C145" s="98" t="str">
        <f>'Risk Assumptions'!F34</f>
        <v>$ June 2024</v>
      </c>
      <c r="D145" s="83">
        <f>'Risk Assumptions'!G34</f>
        <v>280000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</row>
    <row r="146" spans="1:34" hidden="1" outlineLevel="1" x14ac:dyDescent="0.3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</row>
    <row r="147" spans="1:34" hidden="1" outlineLevel="1" x14ac:dyDescent="0.35">
      <c r="A147" s="63"/>
      <c r="B147" s="86"/>
      <c r="C147" s="86"/>
      <c r="D147" s="86"/>
      <c r="E147" s="86"/>
      <c r="F147" s="86"/>
      <c r="G147" s="86"/>
      <c r="H147" s="102" t="s">
        <v>19</v>
      </c>
      <c r="I147" s="69" t="s">
        <v>22</v>
      </c>
      <c r="J147" s="69" t="s">
        <v>23</v>
      </c>
      <c r="K147" s="69" t="s">
        <v>24</v>
      </c>
      <c r="L147" s="69" t="s">
        <v>25</v>
      </c>
      <c r="M147" s="69" t="s">
        <v>26</v>
      </c>
      <c r="N147" s="69" t="s">
        <v>52</v>
      </c>
      <c r="O147" s="69" t="s">
        <v>53</v>
      </c>
      <c r="P147" s="69" t="s">
        <v>54</v>
      </c>
      <c r="Q147" s="69" t="s">
        <v>55</v>
      </c>
      <c r="R147" s="69" t="s">
        <v>56</v>
      </c>
      <c r="S147" s="69" t="s">
        <v>57</v>
      </c>
      <c r="T147" s="69" t="s">
        <v>58</v>
      </c>
      <c r="U147" s="69" t="s">
        <v>59</v>
      </c>
      <c r="V147" s="69" t="s">
        <v>60</v>
      </c>
      <c r="W147" s="69" t="s">
        <v>61</v>
      </c>
      <c r="X147" s="69" t="s">
        <v>62</v>
      </c>
      <c r="Y147" s="69" t="s">
        <v>63</v>
      </c>
      <c r="Z147" s="69" t="s">
        <v>64</v>
      </c>
      <c r="AA147" s="69" t="s">
        <v>65</v>
      </c>
      <c r="AB147" s="69" t="s">
        <v>66</v>
      </c>
      <c r="AC147" s="69" t="s">
        <v>67</v>
      </c>
      <c r="AD147" s="69" t="s">
        <v>68</v>
      </c>
      <c r="AE147" s="69" t="s">
        <v>69</v>
      </c>
      <c r="AF147" s="69" t="s">
        <v>70</v>
      </c>
      <c r="AG147" s="69" t="s">
        <v>71</v>
      </c>
      <c r="AH147" s="63"/>
    </row>
    <row r="148" spans="1:34" hidden="1" outlineLevel="1" x14ac:dyDescent="0.35">
      <c r="A148" s="63"/>
      <c r="B148" s="104" t="s">
        <v>140</v>
      </c>
      <c r="C148" s="104"/>
      <c r="D148" s="104"/>
      <c r="E148" s="104"/>
      <c r="F148" s="104"/>
      <c r="G148" s="104"/>
      <c r="H148" s="105"/>
      <c r="I148" s="101">
        <f>$D$142*$D$143*$D$144</f>
        <v>71284.97305305535</v>
      </c>
      <c r="J148" s="101">
        <f t="shared" ref="J148:AG148" si="33">$D$142*$D$143*$D$144</f>
        <v>71284.97305305535</v>
      </c>
      <c r="K148" s="101">
        <f t="shared" si="33"/>
        <v>71284.97305305535</v>
      </c>
      <c r="L148" s="101">
        <f t="shared" si="33"/>
        <v>71284.97305305535</v>
      </c>
      <c r="M148" s="101">
        <f t="shared" si="33"/>
        <v>71284.97305305535</v>
      </c>
      <c r="N148" s="101">
        <f t="shared" si="33"/>
        <v>71284.97305305535</v>
      </c>
      <c r="O148" s="101">
        <f t="shared" si="33"/>
        <v>71284.97305305535</v>
      </c>
      <c r="P148" s="101">
        <f t="shared" si="33"/>
        <v>71284.97305305535</v>
      </c>
      <c r="Q148" s="101">
        <f t="shared" si="33"/>
        <v>71284.97305305535</v>
      </c>
      <c r="R148" s="101">
        <f t="shared" si="33"/>
        <v>71284.97305305535</v>
      </c>
      <c r="S148" s="101">
        <f t="shared" si="33"/>
        <v>71284.97305305535</v>
      </c>
      <c r="T148" s="101">
        <f t="shared" si="33"/>
        <v>71284.97305305535</v>
      </c>
      <c r="U148" s="101">
        <f t="shared" si="33"/>
        <v>71284.97305305535</v>
      </c>
      <c r="V148" s="101">
        <f t="shared" si="33"/>
        <v>71284.97305305535</v>
      </c>
      <c r="W148" s="101">
        <f t="shared" si="33"/>
        <v>71284.97305305535</v>
      </c>
      <c r="X148" s="101">
        <f t="shared" si="33"/>
        <v>71284.97305305535</v>
      </c>
      <c r="Y148" s="101">
        <f t="shared" si="33"/>
        <v>71284.97305305535</v>
      </c>
      <c r="Z148" s="101">
        <f t="shared" si="33"/>
        <v>71284.97305305535</v>
      </c>
      <c r="AA148" s="101">
        <f t="shared" si="33"/>
        <v>71284.97305305535</v>
      </c>
      <c r="AB148" s="101">
        <f t="shared" si="33"/>
        <v>71284.97305305535</v>
      </c>
      <c r="AC148" s="101">
        <f t="shared" si="33"/>
        <v>71284.97305305535</v>
      </c>
      <c r="AD148" s="101">
        <f t="shared" si="33"/>
        <v>71284.97305305535</v>
      </c>
      <c r="AE148" s="101">
        <f t="shared" si="33"/>
        <v>71284.97305305535</v>
      </c>
      <c r="AF148" s="101">
        <f t="shared" si="33"/>
        <v>71284.97305305535</v>
      </c>
      <c r="AG148" s="101">
        <f t="shared" si="33"/>
        <v>71284.97305305535</v>
      </c>
      <c r="AH148" s="63"/>
    </row>
    <row r="149" spans="1:34" hidden="1" outlineLevel="1" x14ac:dyDescent="0.35">
      <c r="A149" s="63"/>
      <c r="B149" s="104" t="s">
        <v>220</v>
      </c>
      <c r="C149" s="104"/>
      <c r="D149" s="104"/>
      <c r="E149" s="104"/>
      <c r="F149" s="104"/>
      <c r="G149" s="104"/>
      <c r="H149" s="105"/>
      <c r="I149" s="101">
        <f>$D$145*$D$144</f>
        <v>1120</v>
      </c>
      <c r="J149" s="101">
        <f t="shared" ref="J149:AG149" si="34">$D$145*$D$144</f>
        <v>1120</v>
      </c>
      <c r="K149" s="101">
        <f t="shared" si="34"/>
        <v>1120</v>
      </c>
      <c r="L149" s="101">
        <f t="shared" si="34"/>
        <v>1120</v>
      </c>
      <c r="M149" s="101">
        <f t="shared" si="34"/>
        <v>1120</v>
      </c>
      <c r="N149" s="101">
        <f t="shared" si="34"/>
        <v>1120</v>
      </c>
      <c r="O149" s="101">
        <f t="shared" si="34"/>
        <v>1120</v>
      </c>
      <c r="P149" s="101">
        <f t="shared" si="34"/>
        <v>1120</v>
      </c>
      <c r="Q149" s="101">
        <f t="shared" si="34"/>
        <v>1120</v>
      </c>
      <c r="R149" s="101">
        <f t="shared" si="34"/>
        <v>1120</v>
      </c>
      <c r="S149" s="101">
        <f t="shared" si="34"/>
        <v>1120</v>
      </c>
      <c r="T149" s="101">
        <f t="shared" si="34"/>
        <v>1120</v>
      </c>
      <c r="U149" s="101">
        <f t="shared" si="34"/>
        <v>1120</v>
      </c>
      <c r="V149" s="101">
        <f t="shared" si="34"/>
        <v>1120</v>
      </c>
      <c r="W149" s="101">
        <f t="shared" si="34"/>
        <v>1120</v>
      </c>
      <c r="X149" s="101">
        <f t="shared" si="34"/>
        <v>1120</v>
      </c>
      <c r="Y149" s="101">
        <f t="shared" si="34"/>
        <v>1120</v>
      </c>
      <c r="Z149" s="101">
        <f t="shared" si="34"/>
        <v>1120</v>
      </c>
      <c r="AA149" s="101">
        <f t="shared" si="34"/>
        <v>1120</v>
      </c>
      <c r="AB149" s="101">
        <f t="shared" si="34"/>
        <v>1120</v>
      </c>
      <c r="AC149" s="101">
        <f t="shared" si="34"/>
        <v>1120</v>
      </c>
      <c r="AD149" s="101">
        <f t="shared" si="34"/>
        <v>1120</v>
      </c>
      <c r="AE149" s="101">
        <f t="shared" si="34"/>
        <v>1120</v>
      </c>
      <c r="AF149" s="101">
        <f t="shared" si="34"/>
        <v>1120</v>
      </c>
      <c r="AG149" s="101">
        <f t="shared" si="34"/>
        <v>1120</v>
      </c>
      <c r="AH149" s="63"/>
    </row>
    <row r="150" spans="1:34" hidden="1" outlineLevel="1" x14ac:dyDescent="0.35">
      <c r="A150" s="63"/>
      <c r="B150" s="107" t="str">
        <f>B141</f>
        <v>Death or serious injury due to operation of cranes and vehicles near pedestrians</v>
      </c>
      <c r="C150" s="107"/>
      <c r="D150" s="107"/>
      <c r="E150" s="107"/>
      <c r="F150" s="107"/>
      <c r="G150" s="107"/>
      <c r="H150" s="108"/>
      <c r="I150" s="109">
        <f t="shared" ref="I150:AG150" si="35">SUM(I148:I149)</f>
        <v>72404.97305305535</v>
      </c>
      <c r="J150" s="109">
        <f t="shared" si="35"/>
        <v>72404.97305305535</v>
      </c>
      <c r="K150" s="109">
        <f t="shared" si="35"/>
        <v>72404.97305305535</v>
      </c>
      <c r="L150" s="109">
        <f t="shared" si="35"/>
        <v>72404.97305305535</v>
      </c>
      <c r="M150" s="109">
        <f t="shared" si="35"/>
        <v>72404.97305305535</v>
      </c>
      <c r="N150" s="109">
        <f t="shared" si="35"/>
        <v>72404.97305305535</v>
      </c>
      <c r="O150" s="109">
        <f t="shared" si="35"/>
        <v>72404.97305305535</v>
      </c>
      <c r="P150" s="109">
        <f t="shared" si="35"/>
        <v>72404.97305305535</v>
      </c>
      <c r="Q150" s="109">
        <f t="shared" si="35"/>
        <v>72404.97305305535</v>
      </c>
      <c r="R150" s="109">
        <f t="shared" si="35"/>
        <v>72404.97305305535</v>
      </c>
      <c r="S150" s="109">
        <f t="shared" si="35"/>
        <v>72404.97305305535</v>
      </c>
      <c r="T150" s="109">
        <f t="shared" si="35"/>
        <v>72404.97305305535</v>
      </c>
      <c r="U150" s="109">
        <f t="shared" si="35"/>
        <v>72404.97305305535</v>
      </c>
      <c r="V150" s="109">
        <f t="shared" si="35"/>
        <v>72404.97305305535</v>
      </c>
      <c r="W150" s="109">
        <f t="shared" si="35"/>
        <v>72404.97305305535</v>
      </c>
      <c r="X150" s="109">
        <f t="shared" si="35"/>
        <v>72404.97305305535</v>
      </c>
      <c r="Y150" s="109">
        <f t="shared" si="35"/>
        <v>72404.97305305535</v>
      </c>
      <c r="Z150" s="109">
        <f t="shared" si="35"/>
        <v>72404.97305305535</v>
      </c>
      <c r="AA150" s="109">
        <f t="shared" si="35"/>
        <v>72404.97305305535</v>
      </c>
      <c r="AB150" s="109">
        <f t="shared" si="35"/>
        <v>72404.97305305535</v>
      </c>
      <c r="AC150" s="109">
        <f t="shared" si="35"/>
        <v>72404.97305305535</v>
      </c>
      <c r="AD150" s="109">
        <f t="shared" si="35"/>
        <v>72404.97305305535</v>
      </c>
      <c r="AE150" s="109">
        <f t="shared" si="35"/>
        <v>72404.97305305535</v>
      </c>
      <c r="AF150" s="109">
        <f t="shared" si="35"/>
        <v>72404.97305305535</v>
      </c>
      <c r="AG150" s="109">
        <f t="shared" si="35"/>
        <v>72404.97305305535</v>
      </c>
      <c r="AH150" s="63"/>
    </row>
    <row r="151" spans="1:34" hidden="1" outlineLevel="1" x14ac:dyDescent="0.35"/>
    <row r="152" spans="1:34" hidden="1" outlineLevel="1" x14ac:dyDescent="0.35"/>
    <row r="153" spans="1:34" collapsed="1" x14ac:dyDescent="0.35">
      <c r="A153" s="63"/>
      <c r="B153" s="86"/>
      <c r="C153" s="86"/>
      <c r="D153" s="86"/>
      <c r="E153" s="86"/>
      <c r="F153" s="86"/>
      <c r="G153" s="86"/>
      <c r="H153" s="69"/>
      <c r="I153" s="69" t="s">
        <v>22</v>
      </c>
      <c r="J153" s="69" t="s">
        <v>23</v>
      </c>
      <c r="K153" s="69" t="s">
        <v>24</v>
      </c>
      <c r="L153" s="69" t="s">
        <v>25</v>
      </c>
      <c r="M153" s="69" t="s">
        <v>26</v>
      </c>
      <c r="N153" s="69" t="s">
        <v>52</v>
      </c>
      <c r="O153" s="69" t="s">
        <v>53</v>
      </c>
      <c r="P153" s="69" t="s">
        <v>54</v>
      </c>
      <c r="Q153" s="69" t="s">
        <v>55</v>
      </c>
      <c r="R153" s="69" t="s">
        <v>56</v>
      </c>
      <c r="S153" s="69" t="s">
        <v>57</v>
      </c>
      <c r="T153" s="69" t="s">
        <v>58</v>
      </c>
      <c r="U153" s="69" t="s">
        <v>59</v>
      </c>
      <c r="V153" s="69" t="s">
        <v>60</v>
      </c>
      <c r="W153" s="69" t="s">
        <v>61</v>
      </c>
      <c r="X153" s="69" t="s">
        <v>62</v>
      </c>
      <c r="Y153" s="69" t="s">
        <v>63</v>
      </c>
      <c r="Z153" s="69" t="s">
        <v>64</v>
      </c>
      <c r="AA153" s="69" t="s">
        <v>65</v>
      </c>
      <c r="AB153" s="69" t="s">
        <v>66</v>
      </c>
      <c r="AC153" s="69" t="s">
        <v>67</v>
      </c>
      <c r="AD153" s="69" t="s">
        <v>68</v>
      </c>
      <c r="AE153" s="69" t="s">
        <v>69</v>
      </c>
      <c r="AF153" s="69" t="s">
        <v>70</v>
      </c>
      <c r="AG153" s="69" t="s">
        <v>71</v>
      </c>
      <c r="AH153" s="63"/>
    </row>
    <row r="154" spans="1:34" x14ac:dyDescent="0.35">
      <c r="A154" s="63"/>
      <c r="B154" s="71" t="str">
        <f>"Total risk due to "&amp;B128</f>
        <v>Total risk due to Safety risks</v>
      </c>
      <c r="C154" s="63"/>
      <c r="D154" s="63"/>
      <c r="E154" s="63"/>
      <c r="F154" s="63"/>
      <c r="G154" s="63"/>
      <c r="H154" s="101"/>
      <c r="I154" s="101">
        <f>I139+I150</f>
        <v>253417.40568569372</v>
      </c>
      <c r="J154" s="101">
        <f t="shared" ref="J154:AG154" si="36">J139+J150</f>
        <v>253417.40568569372</v>
      </c>
      <c r="K154" s="101">
        <f t="shared" si="36"/>
        <v>253417.40568569372</v>
      </c>
      <c r="L154" s="101">
        <f t="shared" si="36"/>
        <v>253417.40568569372</v>
      </c>
      <c r="M154" s="101">
        <f t="shared" si="36"/>
        <v>253417.40568569372</v>
      </c>
      <c r="N154" s="101">
        <f t="shared" si="36"/>
        <v>253417.40568569372</v>
      </c>
      <c r="O154" s="101">
        <f t="shared" si="36"/>
        <v>253417.40568569372</v>
      </c>
      <c r="P154" s="101">
        <f t="shared" si="36"/>
        <v>253417.40568569372</v>
      </c>
      <c r="Q154" s="101">
        <f t="shared" si="36"/>
        <v>253417.40568569372</v>
      </c>
      <c r="R154" s="101">
        <f t="shared" si="36"/>
        <v>253417.40568569372</v>
      </c>
      <c r="S154" s="101">
        <f t="shared" si="36"/>
        <v>253417.40568569372</v>
      </c>
      <c r="T154" s="101">
        <f t="shared" si="36"/>
        <v>253417.40568569372</v>
      </c>
      <c r="U154" s="101">
        <f t="shared" si="36"/>
        <v>253417.40568569372</v>
      </c>
      <c r="V154" s="101">
        <f t="shared" si="36"/>
        <v>253417.40568569372</v>
      </c>
      <c r="W154" s="101">
        <f t="shared" si="36"/>
        <v>253417.40568569372</v>
      </c>
      <c r="X154" s="101">
        <f t="shared" si="36"/>
        <v>253417.40568569372</v>
      </c>
      <c r="Y154" s="101">
        <f t="shared" si="36"/>
        <v>253417.40568569372</v>
      </c>
      <c r="Z154" s="101">
        <f t="shared" si="36"/>
        <v>253417.40568569372</v>
      </c>
      <c r="AA154" s="101">
        <f t="shared" si="36"/>
        <v>253417.40568569372</v>
      </c>
      <c r="AB154" s="101">
        <f t="shared" si="36"/>
        <v>253417.40568569372</v>
      </c>
      <c r="AC154" s="101">
        <f t="shared" si="36"/>
        <v>253417.40568569372</v>
      </c>
      <c r="AD154" s="101">
        <f t="shared" si="36"/>
        <v>253417.40568569372</v>
      </c>
      <c r="AE154" s="101">
        <f t="shared" si="36"/>
        <v>253417.40568569372</v>
      </c>
      <c r="AF154" s="101">
        <f t="shared" si="36"/>
        <v>253417.40568569372</v>
      </c>
      <c r="AG154" s="101">
        <f t="shared" si="36"/>
        <v>253417.40568569372</v>
      </c>
      <c r="AH154" s="63"/>
    </row>
    <row r="157" spans="1:34" x14ac:dyDescent="0.35">
      <c r="A157" s="80"/>
      <c r="B157" s="78" t="s">
        <v>147</v>
      </c>
      <c r="C157" s="78"/>
      <c r="D157" s="78"/>
      <c r="E157" s="78"/>
      <c r="F157" s="78"/>
      <c r="G157" s="78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80"/>
    </row>
    <row r="158" spans="1:34" x14ac:dyDescent="0.3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</row>
    <row r="159" spans="1:34" hidden="1" outlineLevel="1" x14ac:dyDescent="0.35">
      <c r="A159" s="63"/>
      <c r="B159" s="82" t="s">
        <v>127</v>
      </c>
      <c r="C159" s="82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63"/>
    </row>
    <row r="160" spans="1:34" hidden="1" outlineLevel="1" x14ac:dyDescent="0.35">
      <c r="A160" s="63"/>
      <c r="B160" s="63" t="s">
        <v>135</v>
      </c>
      <c r="C160" s="98" t="str">
        <f>'Risk Assumptions'!F37</f>
        <v>$ June 2024</v>
      </c>
      <c r="D160" s="83">
        <f>'Risk Assumptions'!G37</f>
        <v>5940414.4210879449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</row>
    <row r="161" spans="1:34" hidden="1" outlineLevel="1" x14ac:dyDescent="0.35">
      <c r="A161" s="63"/>
      <c r="B161" s="63" t="s">
        <v>130</v>
      </c>
      <c r="C161" s="98"/>
      <c r="D161" s="83">
        <f>'Risk Assumptions'!G38</f>
        <v>3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hidden="1" outlineLevel="1" x14ac:dyDescent="0.35">
      <c r="A162" s="63"/>
      <c r="B162" s="63" t="s">
        <v>151</v>
      </c>
      <c r="C162" s="99" t="str">
        <f>'Risk Assumptions'!F45</f>
        <v>%</v>
      </c>
      <c r="D162" s="84">
        <f>'Risk Assumptions'!G45</f>
        <v>8.0000000000000002E-3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</row>
    <row r="163" spans="1:34" hidden="1" outlineLevel="1" x14ac:dyDescent="0.35">
      <c r="A163" s="63"/>
      <c r="B163" s="63" t="s">
        <v>148</v>
      </c>
      <c r="C163" s="98" t="str">
        <f>'Risk Assumptions'!F35</f>
        <v>$ June 2024</v>
      </c>
      <c r="D163" s="83">
        <f>'Risk Assumptions'!G35</f>
        <v>340000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</row>
    <row r="164" spans="1:34" hidden="1" outlineLevel="1" x14ac:dyDescent="0.35">
      <c r="A164" s="63"/>
      <c r="B164" s="63" t="s">
        <v>149</v>
      </c>
      <c r="C164" s="98" t="str">
        <f>'Risk Assumptions'!F43</f>
        <v>$ June 2024</v>
      </c>
      <c r="D164" s="83">
        <f>'Risk Assumptions'!G43</f>
        <v>570000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</row>
    <row r="165" spans="1:34" hidden="1" outlineLevel="1" x14ac:dyDescent="0.35">
      <c r="A165" s="63"/>
      <c r="B165" s="63" t="s">
        <v>150</v>
      </c>
      <c r="C165" s="99" t="str">
        <f>'Risk Assumptions'!F30</f>
        <v>#</v>
      </c>
      <c r="D165" s="96">
        <f>'Risk Assumptions'!G30</f>
        <v>2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</row>
    <row r="166" spans="1:34" hidden="1" outlineLevel="1" x14ac:dyDescent="0.3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</row>
    <row r="167" spans="1:34" hidden="1" outlineLevel="1" x14ac:dyDescent="0.35">
      <c r="A167" s="63"/>
      <c r="B167" s="86"/>
      <c r="C167" s="86"/>
      <c r="D167" s="86"/>
      <c r="E167" s="86"/>
      <c r="F167" s="86"/>
      <c r="G167" s="86"/>
      <c r="H167" s="102" t="s">
        <v>19</v>
      </c>
      <c r="I167" s="69" t="s">
        <v>22</v>
      </c>
      <c r="J167" s="69" t="s">
        <v>23</v>
      </c>
      <c r="K167" s="69" t="s">
        <v>24</v>
      </c>
      <c r="L167" s="69" t="s">
        <v>25</v>
      </c>
      <c r="M167" s="69" t="s">
        <v>26</v>
      </c>
      <c r="N167" s="69" t="s">
        <v>52</v>
      </c>
      <c r="O167" s="69" t="s">
        <v>53</v>
      </c>
      <c r="P167" s="69" t="s">
        <v>54</v>
      </c>
      <c r="Q167" s="69" t="s">
        <v>55</v>
      </c>
      <c r="R167" s="69" t="s">
        <v>56</v>
      </c>
      <c r="S167" s="69" t="s">
        <v>57</v>
      </c>
      <c r="T167" s="69" t="s">
        <v>58</v>
      </c>
      <c r="U167" s="69" t="s">
        <v>59</v>
      </c>
      <c r="V167" s="69" t="s">
        <v>60</v>
      </c>
      <c r="W167" s="69" t="s">
        <v>61</v>
      </c>
      <c r="X167" s="69" t="s">
        <v>62</v>
      </c>
      <c r="Y167" s="69" t="s">
        <v>63</v>
      </c>
      <c r="Z167" s="69" t="s">
        <v>64</v>
      </c>
      <c r="AA167" s="69" t="s">
        <v>65</v>
      </c>
      <c r="AB167" s="69" t="s">
        <v>66</v>
      </c>
      <c r="AC167" s="69" t="s">
        <v>67</v>
      </c>
      <c r="AD167" s="69" t="s">
        <v>68</v>
      </c>
      <c r="AE167" s="69" t="s">
        <v>69</v>
      </c>
      <c r="AF167" s="69" t="s">
        <v>70</v>
      </c>
      <c r="AG167" s="69" t="s">
        <v>71</v>
      </c>
      <c r="AH167" s="63"/>
    </row>
    <row r="168" spans="1:34" hidden="1" outlineLevel="1" x14ac:dyDescent="0.35">
      <c r="A168" s="63"/>
      <c r="B168" s="104" t="s">
        <v>140</v>
      </c>
      <c r="C168" s="104"/>
      <c r="D168" s="104"/>
      <c r="E168" s="104"/>
      <c r="F168" s="104"/>
      <c r="G168" s="104"/>
      <c r="H168" s="105"/>
      <c r="I168" s="101">
        <f>$D160*$D161*$D162*$D165</f>
        <v>285139.8922122214</v>
      </c>
      <c r="J168" s="101">
        <f t="shared" ref="J168:AG168" si="37">$D160*$D161*$D162*$D165</f>
        <v>285139.8922122214</v>
      </c>
      <c r="K168" s="101">
        <f t="shared" si="37"/>
        <v>285139.8922122214</v>
      </c>
      <c r="L168" s="101">
        <f t="shared" si="37"/>
        <v>285139.8922122214</v>
      </c>
      <c r="M168" s="101">
        <f t="shared" si="37"/>
        <v>285139.8922122214</v>
      </c>
      <c r="N168" s="101">
        <f t="shared" si="37"/>
        <v>285139.8922122214</v>
      </c>
      <c r="O168" s="101">
        <f t="shared" si="37"/>
        <v>285139.8922122214</v>
      </c>
      <c r="P168" s="101">
        <f t="shared" si="37"/>
        <v>285139.8922122214</v>
      </c>
      <c r="Q168" s="101">
        <f t="shared" si="37"/>
        <v>285139.8922122214</v>
      </c>
      <c r="R168" s="101">
        <f t="shared" si="37"/>
        <v>285139.8922122214</v>
      </c>
      <c r="S168" s="101">
        <f t="shared" si="37"/>
        <v>285139.8922122214</v>
      </c>
      <c r="T168" s="101">
        <f t="shared" si="37"/>
        <v>285139.8922122214</v>
      </c>
      <c r="U168" s="101">
        <f t="shared" si="37"/>
        <v>285139.8922122214</v>
      </c>
      <c r="V168" s="101">
        <f t="shared" si="37"/>
        <v>285139.8922122214</v>
      </c>
      <c r="W168" s="101">
        <f t="shared" si="37"/>
        <v>285139.8922122214</v>
      </c>
      <c r="X168" s="101">
        <f t="shared" si="37"/>
        <v>285139.8922122214</v>
      </c>
      <c r="Y168" s="101">
        <f t="shared" si="37"/>
        <v>285139.8922122214</v>
      </c>
      <c r="Z168" s="101">
        <f t="shared" si="37"/>
        <v>285139.8922122214</v>
      </c>
      <c r="AA168" s="101">
        <f t="shared" si="37"/>
        <v>285139.8922122214</v>
      </c>
      <c r="AB168" s="101">
        <f t="shared" si="37"/>
        <v>285139.8922122214</v>
      </c>
      <c r="AC168" s="101">
        <f t="shared" si="37"/>
        <v>285139.8922122214</v>
      </c>
      <c r="AD168" s="101">
        <f t="shared" si="37"/>
        <v>285139.8922122214</v>
      </c>
      <c r="AE168" s="101">
        <f t="shared" si="37"/>
        <v>285139.8922122214</v>
      </c>
      <c r="AF168" s="101">
        <f t="shared" si="37"/>
        <v>285139.8922122214</v>
      </c>
      <c r="AG168" s="101">
        <f t="shared" si="37"/>
        <v>285139.8922122214</v>
      </c>
      <c r="AH168" s="63"/>
    </row>
    <row r="169" spans="1:34" hidden="1" outlineLevel="1" x14ac:dyDescent="0.35">
      <c r="A169" s="63"/>
      <c r="B169" s="104" t="s">
        <v>148</v>
      </c>
      <c r="C169" s="104"/>
      <c r="D169" s="104"/>
      <c r="E169" s="104"/>
      <c r="F169" s="104"/>
      <c r="G169" s="104"/>
      <c r="H169" s="105"/>
      <c r="I169" s="101">
        <f>$D163*$D162*$D165</f>
        <v>5440</v>
      </c>
      <c r="J169" s="101">
        <f t="shared" ref="J169:AG169" si="38">$D163*$D162*$D165</f>
        <v>5440</v>
      </c>
      <c r="K169" s="101">
        <f t="shared" si="38"/>
        <v>5440</v>
      </c>
      <c r="L169" s="101">
        <f t="shared" si="38"/>
        <v>5440</v>
      </c>
      <c r="M169" s="101">
        <f t="shared" si="38"/>
        <v>5440</v>
      </c>
      <c r="N169" s="101">
        <f t="shared" si="38"/>
        <v>5440</v>
      </c>
      <c r="O169" s="101">
        <f t="shared" si="38"/>
        <v>5440</v>
      </c>
      <c r="P169" s="101">
        <f t="shared" si="38"/>
        <v>5440</v>
      </c>
      <c r="Q169" s="101">
        <f t="shared" si="38"/>
        <v>5440</v>
      </c>
      <c r="R169" s="101">
        <f t="shared" si="38"/>
        <v>5440</v>
      </c>
      <c r="S169" s="101">
        <f t="shared" si="38"/>
        <v>5440</v>
      </c>
      <c r="T169" s="101">
        <f t="shared" si="38"/>
        <v>5440</v>
      </c>
      <c r="U169" s="101">
        <f t="shared" si="38"/>
        <v>5440</v>
      </c>
      <c r="V169" s="101">
        <f t="shared" si="38"/>
        <v>5440</v>
      </c>
      <c r="W169" s="101">
        <f t="shared" si="38"/>
        <v>5440</v>
      </c>
      <c r="X169" s="101">
        <f t="shared" si="38"/>
        <v>5440</v>
      </c>
      <c r="Y169" s="101">
        <f t="shared" si="38"/>
        <v>5440</v>
      </c>
      <c r="Z169" s="101">
        <f t="shared" si="38"/>
        <v>5440</v>
      </c>
      <c r="AA169" s="101">
        <f t="shared" si="38"/>
        <v>5440</v>
      </c>
      <c r="AB169" s="101">
        <f t="shared" si="38"/>
        <v>5440</v>
      </c>
      <c r="AC169" s="101">
        <f t="shared" si="38"/>
        <v>5440</v>
      </c>
      <c r="AD169" s="101">
        <f t="shared" si="38"/>
        <v>5440</v>
      </c>
      <c r="AE169" s="101">
        <f t="shared" si="38"/>
        <v>5440</v>
      </c>
      <c r="AF169" s="101">
        <f t="shared" si="38"/>
        <v>5440</v>
      </c>
      <c r="AG169" s="101">
        <f t="shared" si="38"/>
        <v>5440</v>
      </c>
      <c r="AH169" s="63"/>
    </row>
    <row r="170" spans="1:34" hidden="1" outlineLevel="1" x14ac:dyDescent="0.35">
      <c r="A170" s="63"/>
      <c r="B170" s="104" t="s">
        <v>159</v>
      </c>
      <c r="C170" s="104"/>
      <c r="D170" s="104"/>
      <c r="E170" s="104"/>
      <c r="F170" s="104"/>
      <c r="G170" s="104"/>
      <c r="H170" s="105"/>
      <c r="I170" s="101">
        <f>$D164*$D162*$D165</f>
        <v>9120</v>
      </c>
      <c r="J170" s="101">
        <f t="shared" ref="J170:AG170" si="39">$D164*$D162*$D165</f>
        <v>9120</v>
      </c>
      <c r="K170" s="101">
        <f t="shared" si="39"/>
        <v>9120</v>
      </c>
      <c r="L170" s="101">
        <f t="shared" si="39"/>
        <v>9120</v>
      </c>
      <c r="M170" s="101">
        <f t="shared" si="39"/>
        <v>9120</v>
      </c>
      <c r="N170" s="101">
        <f t="shared" si="39"/>
        <v>9120</v>
      </c>
      <c r="O170" s="101">
        <f t="shared" si="39"/>
        <v>9120</v>
      </c>
      <c r="P170" s="101">
        <f t="shared" si="39"/>
        <v>9120</v>
      </c>
      <c r="Q170" s="101">
        <f t="shared" si="39"/>
        <v>9120</v>
      </c>
      <c r="R170" s="101">
        <f t="shared" si="39"/>
        <v>9120</v>
      </c>
      <c r="S170" s="101">
        <f t="shared" si="39"/>
        <v>9120</v>
      </c>
      <c r="T170" s="101">
        <f t="shared" si="39"/>
        <v>9120</v>
      </c>
      <c r="U170" s="101">
        <f t="shared" si="39"/>
        <v>9120</v>
      </c>
      <c r="V170" s="101">
        <f t="shared" si="39"/>
        <v>9120</v>
      </c>
      <c r="W170" s="101">
        <f t="shared" si="39"/>
        <v>9120</v>
      </c>
      <c r="X170" s="101">
        <f t="shared" si="39"/>
        <v>9120</v>
      </c>
      <c r="Y170" s="101">
        <f t="shared" si="39"/>
        <v>9120</v>
      </c>
      <c r="Z170" s="101">
        <f t="shared" si="39"/>
        <v>9120</v>
      </c>
      <c r="AA170" s="101">
        <f t="shared" si="39"/>
        <v>9120</v>
      </c>
      <c r="AB170" s="101">
        <f t="shared" si="39"/>
        <v>9120</v>
      </c>
      <c r="AC170" s="101">
        <f t="shared" si="39"/>
        <v>9120</v>
      </c>
      <c r="AD170" s="101">
        <f t="shared" si="39"/>
        <v>9120</v>
      </c>
      <c r="AE170" s="101">
        <f t="shared" si="39"/>
        <v>9120</v>
      </c>
      <c r="AF170" s="101">
        <f t="shared" si="39"/>
        <v>9120</v>
      </c>
      <c r="AG170" s="101">
        <f t="shared" si="39"/>
        <v>9120</v>
      </c>
      <c r="AH170" s="63"/>
    </row>
    <row r="171" spans="1:34" hidden="1" outlineLevel="1" x14ac:dyDescent="0.35">
      <c r="A171" s="63"/>
      <c r="B171" s="107" t="str">
        <f>B159</f>
        <v>Death or serious injury caused by structural failure</v>
      </c>
      <c r="C171" s="107"/>
      <c r="D171" s="107"/>
      <c r="E171" s="107"/>
      <c r="F171" s="107"/>
      <c r="G171" s="107"/>
      <c r="H171" s="108"/>
      <c r="I171" s="109">
        <f>SUM(I168:I170)</f>
        <v>299699.8922122214</v>
      </c>
      <c r="J171" s="109">
        <f t="shared" ref="J171" si="40">SUM(J168:J170)</f>
        <v>299699.8922122214</v>
      </c>
      <c r="K171" s="109">
        <f t="shared" ref="K171" si="41">SUM(K168:K170)</f>
        <v>299699.8922122214</v>
      </c>
      <c r="L171" s="109">
        <f t="shared" ref="L171" si="42">SUM(L168:L170)</f>
        <v>299699.8922122214</v>
      </c>
      <c r="M171" s="109">
        <f t="shared" ref="M171" si="43">SUM(M168:M170)</f>
        <v>299699.8922122214</v>
      </c>
      <c r="N171" s="109">
        <f t="shared" ref="N171" si="44">SUM(N168:N170)</f>
        <v>299699.8922122214</v>
      </c>
      <c r="O171" s="109">
        <f t="shared" ref="O171" si="45">SUM(O168:O170)</f>
        <v>299699.8922122214</v>
      </c>
      <c r="P171" s="109">
        <f t="shared" ref="P171" si="46">SUM(P168:P170)</f>
        <v>299699.8922122214</v>
      </c>
      <c r="Q171" s="109">
        <f t="shared" ref="Q171" si="47">SUM(Q168:Q170)</f>
        <v>299699.8922122214</v>
      </c>
      <c r="R171" s="109">
        <f t="shared" ref="R171" si="48">SUM(R168:R170)</f>
        <v>299699.8922122214</v>
      </c>
      <c r="S171" s="109">
        <f t="shared" ref="S171" si="49">SUM(S168:S170)</f>
        <v>299699.8922122214</v>
      </c>
      <c r="T171" s="109">
        <f t="shared" ref="T171" si="50">SUM(T168:T170)</f>
        <v>299699.8922122214</v>
      </c>
      <c r="U171" s="109">
        <f t="shared" ref="U171" si="51">SUM(U168:U170)</f>
        <v>299699.8922122214</v>
      </c>
      <c r="V171" s="109">
        <f t="shared" ref="V171" si="52">SUM(V168:V170)</f>
        <v>299699.8922122214</v>
      </c>
      <c r="W171" s="109">
        <f t="shared" ref="W171" si="53">SUM(W168:W170)</f>
        <v>299699.8922122214</v>
      </c>
      <c r="X171" s="109">
        <f t="shared" ref="X171" si="54">SUM(X168:X170)</f>
        <v>299699.8922122214</v>
      </c>
      <c r="Y171" s="109">
        <f t="shared" ref="Y171" si="55">SUM(Y168:Y170)</f>
        <v>299699.8922122214</v>
      </c>
      <c r="Z171" s="109">
        <f t="shared" ref="Z171" si="56">SUM(Z168:Z170)</f>
        <v>299699.8922122214</v>
      </c>
      <c r="AA171" s="109">
        <f t="shared" ref="AA171" si="57">SUM(AA168:AA170)</f>
        <v>299699.8922122214</v>
      </c>
      <c r="AB171" s="109">
        <f t="shared" ref="AB171" si="58">SUM(AB168:AB170)</f>
        <v>299699.8922122214</v>
      </c>
      <c r="AC171" s="109">
        <f t="shared" ref="AC171" si="59">SUM(AC168:AC170)</f>
        <v>299699.8922122214</v>
      </c>
      <c r="AD171" s="109">
        <f t="shared" ref="AD171" si="60">SUM(AD168:AD170)</f>
        <v>299699.8922122214</v>
      </c>
      <c r="AE171" s="109">
        <f t="shared" ref="AE171" si="61">SUM(AE168:AE170)</f>
        <v>299699.8922122214</v>
      </c>
      <c r="AF171" s="109">
        <f t="shared" ref="AF171" si="62">SUM(AF168:AF170)</f>
        <v>299699.8922122214</v>
      </c>
      <c r="AG171" s="109">
        <f t="shared" ref="AG171" si="63">SUM(AG168:AG170)</f>
        <v>299699.8922122214</v>
      </c>
      <c r="AH171" s="63"/>
    </row>
    <row r="172" spans="1:34" hidden="1" outlineLevel="1" x14ac:dyDescent="0.3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hidden="1" outlineLevel="1" x14ac:dyDescent="0.35">
      <c r="A173" s="63"/>
      <c r="B173" s="82" t="s">
        <v>161</v>
      </c>
      <c r="C173" s="82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63"/>
    </row>
    <row r="174" spans="1:34" hidden="1" outlineLevel="1" x14ac:dyDescent="0.35">
      <c r="A174" s="63"/>
      <c r="B174" s="63" t="s">
        <v>162</v>
      </c>
      <c r="C174" s="98" t="str">
        <f>'Risk Assumptions'!F46</f>
        <v>#</v>
      </c>
      <c r="D174" s="154">
        <f>'Risk Assumptions'!G46</f>
        <v>8.1428571428571423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</row>
    <row r="175" spans="1:34" hidden="1" outlineLevel="1" x14ac:dyDescent="0.35">
      <c r="A175" s="63"/>
      <c r="B175" s="63" t="s">
        <v>163</v>
      </c>
      <c r="C175" s="98" t="str">
        <f>'Risk Assumptions'!F47</f>
        <v>$ June 2024</v>
      </c>
      <c r="D175" s="83">
        <f>'Risk Assumptions'!G47</f>
        <v>15000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</row>
    <row r="176" spans="1:34" hidden="1" outlineLevel="1" x14ac:dyDescent="0.3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  <row r="177" spans="1:34" hidden="1" outlineLevel="1" x14ac:dyDescent="0.35">
      <c r="A177" s="63"/>
      <c r="B177" s="86"/>
      <c r="C177" s="86"/>
      <c r="D177" s="86"/>
      <c r="E177" s="86"/>
      <c r="F177" s="86"/>
      <c r="G177" s="86"/>
      <c r="H177" s="102" t="s">
        <v>19</v>
      </c>
      <c r="I177" s="69" t="s">
        <v>22</v>
      </c>
      <c r="J177" s="69" t="s">
        <v>23</v>
      </c>
      <c r="K177" s="69" t="s">
        <v>24</v>
      </c>
      <c r="L177" s="69" t="s">
        <v>25</v>
      </c>
      <c r="M177" s="69" t="s">
        <v>26</v>
      </c>
      <c r="N177" s="69" t="s">
        <v>52</v>
      </c>
      <c r="O177" s="69" t="s">
        <v>53</v>
      </c>
      <c r="P177" s="69" t="s">
        <v>54</v>
      </c>
      <c r="Q177" s="69" t="s">
        <v>55</v>
      </c>
      <c r="R177" s="69" t="s">
        <v>56</v>
      </c>
      <c r="S177" s="69" t="s">
        <v>57</v>
      </c>
      <c r="T177" s="69" t="s">
        <v>58</v>
      </c>
      <c r="U177" s="69" t="s">
        <v>59</v>
      </c>
      <c r="V177" s="69" t="s">
        <v>60</v>
      </c>
      <c r="W177" s="69" t="s">
        <v>61</v>
      </c>
      <c r="X177" s="69" t="s">
        <v>62</v>
      </c>
      <c r="Y177" s="69" t="s">
        <v>63</v>
      </c>
      <c r="Z177" s="69" t="s">
        <v>64</v>
      </c>
      <c r="AA177" s="69" t="s">
        <v>65</v>
      </c>
      <c r="AB177" s="69" t="s">
        <v>66</v>
      </c>
      <c r="AC177" s="69" t="s">
        <v>67</v>
      </c>
      <c r="AD177" s="69" t="s">
        <v>68</v>
      </c>
      <c r="AE177" s="69" t="s">
        <v>69</v>
      </c>
      <c r="AF177" s="69" t="s">
        <v>70</v>
      </c>
      <c r="AG177" s="69" t="s">
        <v>71</v>
      </c>
      <c r="AH177" s="63"/>
    </row>
    <row r="178" spans="1:34" hidden="1" outlineLevel="1" x14ac:dyDescent="0.35">
      <c r="A178" s="63"/>
      <c r="B178" s="63" t="str">
        <f>B173</f>
        <v>Copper theft</v>
      </c>
      <c r="C178" s="63"/>
      <c r="D178" s="63"/>
      <c r="E178" s="63"/>
      <c r="F178" s="63"/>
      <c r="G178" s="63"/>
      <c r="H178" s="103"/>
      <c r="I178" s="101">
        <f>$D174*$D175</f>
        <v>122142.85714285713</v>
      </c>
      <c r="J178" s="101">
        <f t="shared" ref="J178:AG178" si="64">$D174*$D175</f>
        <v>122142.85714285713</v>
      </c>
      <c r="K178" s="101">
        <f t="shared" si="64"/>
        <v>122142.85714285713</v>
      </c>
      <c r="L178" s="101">
        <f t="shared" si="64"/>
        <v>122142.85714285713</v>
      </c>
      <c r="M178" s="101">
        <f t="shared" si="64"/>
        <v>122142.85714285713</v>
      </c>
      <c r="N178" s="101">
        <f t="shared" si="64"/>
        <v>122142.85714285713</v>
      </c>
      <c r="O178" s="101">
        <f t="shared" si="64"/>
        <v>122142.85714285713</v>
      </c>
      <c r="P178" s="101">
        <f t="shared" si="64"/>
        <v>122142.85714285713</v>
      </c>
      <c r="Q178" s="101">
        <f t="shared" si="64"/>
        <v>122142.85714285713</v>
      </c>
      <c r="R178" s="101">
        <f t="shared" si="64"/>
        <v>122142.85714285713</v>
      </c>
      <c r="S178" s="101">
        <f t="shared" si="64"/>
        <v>122142.85714285713</v>
      </c>
      <c r="T178" s="101">
        <f t="shared" si="64"/>
        <v>122142.85714285713</v>
      </c>
      <c r="U178" s="101">
        <f t="shared" si="64"/>
        <v>122142.85714285713</v>
      </c>
      <c r="V178" s="101">
        <f t="shared" si="64"/>
        <v>122142.85714285713</v>
      </c>
      <c r="W178" s="101">
        <f t="shared" si="64"/>
        <v>122142.85714285713</v>
      </c>
      <c r="X178" s="101">
        <f t="shared" si="64"/>
        <v>122142.85714285713</v>
      </c>
      <c r="Y178" s="101">
        <f t="shared" si="64"/>
        <v>122142.85714285713</v>
      </c>
      <c r="Z178" s="101">
        <f t="shared" si="64"/>
        <v>122142.85714285713</v>
      </c>
      <c r="AA178" s="101">
        <f t="shared" si="64"/>
        <v>122142.85714285713</v>
      </c>
      <c r="AB178" s="101">
        <f t="shared" si="64"/>
        <v>122142.85714285713</v>
      </c>
      <c r="AC178" s="101">
        <f t="shared" si="64"/>
        <v>122142.85714285713</v>
      </c>
      <c r="AD178" s="101">
        <f t="shared" si="64"/>
        <v>122142.85714285713</v>
      </c>
      <c r="AE178" s="101">
        <f t="shared" si="64"/>
        <v>122142.85714285713</v>
      </c>
      <c r="AF178" s="101">
        <f t="shared" si="64"/>
        <v>122142.85714285713</v>
      </c>
      <c r="AG178" s="101">
        <f t="shared" si="64"/>
        <v>122142.85714285713</v>
      </c>
      <c r="AH178" s="63"/>
    </row>
    <row r="179" spans="1:34" hidden="1" outlineLevel="1" x14ac:dyDescent="0.35"/>
    <row r="180" spans="1:34" hidden="1" outlineLevel="1" x14ac:dyDescent="0.35"/>
    <row r="181" spans="1:34" collapsed="1" x14ac:dyDescent="0.35">
      <c r="A181" s="63"/>
      <c r="B181" s="86"/>
      <c r="C181" s="86"/>
      <c r="D181" s="86"/>
      <c r="E181" s="86"/>
      <c r="F181" s="86"/>
      <c r="G181" s="86"/>
      <c r="H181" s="69"/>
      <c r="I181" s="69" t="s">
        <v>22</v>
      </c>
      <c r="J181" s="69" t="s">
        <v>23</v>
      </c>
      <c r="K181" s="69" t="s">
        <v>24</v>
      </c>
      <c r="L181" s="69" t="s">
        <v>25</v>
      </c>
      <c r="M181" s="69" t="s">
        <v>26</v>
      </c>
      <c r="N181" s="69" t="s">
        <v>52</v>
      </c>
      <c r="O181" s="69" t="s">
        <v>53</v>
      </c>
      <c r="P181" s="69" t="s">
        <v>54</v>
      </c>
      <c r="Q181" s="69" t="s">
        <v>55</v>
      </c>
      <c r="R181" s="69" t="s">
        <v>56</v>
      </c>
      <c r="S181" s="69" t="s">
        <v>57</v>
      </c>
      <c r="T181" s="69" t="s">
        <v>58</v>
      </c>
      <c r="U181" s="69" t="s">
        <v>59</v>
      </c>
      <c r="V181" s="69" t="s">
        <v>60</v>
      </c>
      <c r="W181" s="69" t="s">
        <v>61</v>
      </c>
      <c r="X181" s="69" t="s">
        <v>62</v>
      </c>
      <c r="Y181" s="69" t="s">
        <v>63</v>
      </c>
      <c r="Z181" s="69" t="s">
        <v>64</v>
      </c>
      <c r="AA181" s="69" t="s">
        <v>65</v>
      </c>
      <c r="AB181" s="69" t="s">
        <v>66</v>
      </c>
      <c r="AC181" s="69" t="s">
        <v>67</v>
      </c>
      <c r="AD181" s="69" t="s">
        <v>68</v>
      </c>
      <c r="AE181" s="69" t="s">
        <v>69</v>
      </c>
      <c r="AF181" s="69" t="s">
        <v>70</v>
      </c>
      <c r="AG181" s="69" t="s">
        <v>71</v>
      </c>
      <c r="AH181" s="63"/>
    </row>
    <row r="182" spans="1:34" x14ac:dyDescent="0.35">
      <c r="A182" s="63"/>
      <c r="B182" s="71" t="str">
        <f>"Total risk due to "&amp;B157</f>
        <v>Total risk due to Depot security</v>
      </c>
      <c r="C182" s="63"/>
      <c r="D182" s="63"/>
      <c r="E182" s="63"/>
      <c r="F182" s="63"/>
      <c r="G182" s="63"/>
      <c r="H182" s="101"/>
      <c r="I182" s="101">
        <f>I171+I178</f>
        <v>421842.74935507856</v>
      </c>
      <c r="J182" s="101">
        <f t="shared" ref="J182:AG182" si="65">J171+J178</f>
        <v>421842.74935507856</v>
      </c>
      <c r="K182" s="101">
        <f t="shared" si="65"/>
        <v>421842.74935507856</v>
      </c>
      <c r="L182" s="101">
        <f t="shared" si="65"/>
        <v>421842.74935507856</v>
      </c>
      <c r="M182" s="101">
        <f t="shared" si="65"/>
        <v>421842.74935507856</v>
      </c>
      <c r="N182" s="101">
        <f t="shared" si="65"/>
        <v>421842.74935507856</v>
      </c>
      <c r="O182" s="101">
        <f t="shared" si="65"/>
        <v>421842.74935507856</v>
      </c>
      <c r="P182" s="101">
        <f t="shared" si="65"/>
        <v>421842.74935507856</v>
      </c>
      <c r="Q182" s="101">
        <f t="shared" si="65"/>
        <v>421842.74935507856</v>
      </c>
      <c r="R182" s="101">
        <f t="shared" si="65"/>
        <v>421842.74935507856</v>
      </c>
      <c r="S182" s="101">
        <f t="shared" si="65"/>
        <v>421842.74935507856</v>
      </c>
      <c r="T182" s="101">
        <f t="shared" si="65"/>
        <v>421842.74935507856</v>
      </c>
      <c r="U182" s="101">
        <f t="shared" si="65"/>
        <v>421842.74935507856</v>
      </c>
      <c r="V182" s="101">
        <f t="shared" si="65"/>
        <v>421842.74935507856</v>
      </c>
      <c r="W182" s="101">
        <f t="shared" si="65"/>
        <v>421842.74935507856</v>
      </c>
      <c r="X182" s="101">
        <f t="shared" si="65"/>
        <v>421842.74935507856</v>
      </c>
      <c r="Y182" s="101">
        <f t="shared" si="65"/>
        <v>421842.74935507856</v>
      </c>
      <c r="Z182" s="101">
        <f t="shared" si="65"/>
        <v>421842.74935507856</v>
      </c>
      <c r="AA182" s="101">
        <f t="shared" si="65"/>
        <v>421842.74935507856</v>
      </c>
      <c r="AB182" s="101">
        <f t="shared" si="65"/>
        <v>421842.74935507856</v>
      </c>
      <c r="AC182" s="101">
        <f t="shared" si="65"/>
        <v>421842.74935507856</v>
      </c>
      <c r="AD182" s="101">
        <f t="shared" si="65"/>
        <v>421842.74935507856</v>
      </c>
      <c r="AE182" s="101">
        <f t="shared" si="65"/>
        <v>421842.74935507856</v>
      </c>
      <c r="AF182" s="101">
        <f t="shared" si="65"/>
        <v>421842.74935507856</v>
      </c>
      <c r="AG182" s="101">
        <f t="shared" si="65"/>
        <v>421842.74935507856</v>
      </c>
      <c r="AH182" s="63"/>
    </row>
    <row r="185" spans="1:34" x14ac:dyDescent="0.35">
      <c r="A185" s="80"/>
      <c r="B185" s="78" t="s">
        <v>221</v>
      </c>
      <c r="C185" s="78"/>
      <c r="D185" s="78"/>
      <c r="E185" s="78"/>
      <c r="F185" s="78"/>
      <c r="G185" s="78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80"/>
    </row>
    <row r="186" spans="1:34" x14ac:dyDescent="0.3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</row>
    <row r="187" spans="1:34" hidden="1" outlineLevel="1" x14ac:dyDescent="0.35">
      <c r="A187" s="63"/>
      <c r="B187" s="82" t="s">
        <v>164</v>
      </c>
      <c r="C187" s="82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63"/>
    </row>
    <row r="188" spans="1:34" hidden="1" outlineLevel="1" x14ac:dyDescent="0.35">
      <c r="A188" s="63"/>
      <c r="B188" s="63" t="s">
        <v>135</v>
      </c>
      <c r="C188" s="98" t="str">
        <f>'Risk Assumptions'!F37</f>
        <v>$ June 2024</v>
      </c>
      <c r="D188" s="83">
        <f>'Risk Assumptions'!G37</f>
        <v>5940414.4210879449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</row>
    <row r="189" spans="1:34" hidden="1" outlineLevel="1" x14ac:dyDescent="0.35">
      <c r="A189" s="63"/>
      <c r="B189" s="63" t="s">
        <v>130</v>
      </c>
      <c r="C189" s="98"/>
      <c r="D189" s="83">
        <f>'Risk Assumptions'!G38</f>
        <v>3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</row>
    <row r="190" spans="1:34" hidden="1" outlineLevel="1" x14ac:dyDescent="0.35">
      <c r="A190" s="63"/>
      <c r="B190" s="63" t="s">
        <v>144</v>
      </c>
      <c r="C190" s="99" t="str">
        <f>'Risk Assumptions'!F49</f>
        <v>%</v>
      </c>
      <c r="D190" s="84">
        <f>'Risk Assumptions'!G49</f>
        <v>8.0000000000000002E-3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</row>
    <row r="191" spans="1:34" hidden="1" outlineLevel="1" x14ac:dyDescent="0.35">
      <c r="A191" s="63"/>
      <c r="B191" s="63" t="s">
        <v>145</v>
      </c>
      <c r="C191" s="98" t="str">
        <f>'Risk Assumptions'!F50</f>
        <v>$ June 2024</v>
      </c>
      <c r="D191" s="83">
        <f>'Risk Assumptions'!G50</f>
        <v>280000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</row>
    <row r="192" spans="1:34" hidden="1" outlineLevel="1" x14ac:dyDescent="0.3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</row>
    <row r="193" spans="1:34" hidden="1" outlineLevel="1" x14ac:dyDescent="0.35">
      <c r="A193" s="63"/>
      <c r="B193" s="86"/>
      <c r="C193" s="86"/>
      <c r="D193" s="86"/>
      <c r="E193" s="86"/>
      <c r="F193" s="86"/>
      <c r="G193" s="86"/>
      <c r="H193" s="102" t="s">
        <v>19</v>
      </c>
      <c r="I193" s="69" t="s">
        <v>22</v>
      </c>
      <c r="J193" s="69" t="s">
        <v>23</v>
      </c>
      <c r="K193" s="69" t="s">
        <v>24</v>
      </c>
      <c r="L193" s="69" t="s">
        <v>25</v>
      </c>
      <c r="M193" s="69" t="s">
        <v>26</v>
      </c>
      <c r="N193" s="69" t="s">
        <v>52</v>
      </c>
      <c r="O193" s="69" t="s">
        <v>53</v>
      </c>
      <c r="P193" s="69" t="s">
        <v>54</v>
      </c>
      <c r="Q193" s="69" t="s">
        <v>55</v>
      </c>
      <c r="R193" s="69" t="s">
        <v>56</v>
      </c>
      <c r="S193" s="69" t="s">
        <v>57</v>
      </c>
      <c r="T193" s="69" t="s">
        <v>58</v>
      </c>
      <c r="U193" s="69" t="s">
        <v>59</v>
      </c>
      <c r="V193" s="69" t="s">
        <v>60</v>
      </c>
      <c r="W193" s="69" t="s">
        <v>61</v>
      </c>
      <c r="X193" s="69" t="s">
        <v>62</v>
      </c>
      <c r="Y193" s="69" t="s">
        <v>63</v>
      </c>
      <c r="Z193" s="69" t="s">
        <v>64</v>
      </c>
      <c r="AA193" s="69" t="s">
        <v>65</v>
      </c>
      <c r="AB193" s="69" t="s">
        <v>66</v>
      </c>
      <c r="AC193" s="69" t="s">
        <v>67</v>
      </c>
      <c r="AD193" s="69" t="s">
        <v>68</v>
      </c>
      <c r="AE193" s="69" t="s">
        <v>69</v>
      </c>
      <c r="AF193" s="69" t="s">
        <v>70</v>
      </c>
      <c r="AG193" s="69" t="s">
        <v>71</v>
      </c>
      <c r="AH193" s="63"/>
    </row>
    <row r="194" spans="1:34" hidden="1" outlineLevel="1" x14ac:dyDescent="0.35">
      <c r="A194" s="63"/>
      <c r="B194" s="104" t="s">
        <v>140</v>
      </c>
      <c r="C194" s="104"/>
      <c r="D194" s="104"/>
      <c r="E194" s="104"/>
      <c r="F194" s="104"/>
      <c r="G194" s="104"/>
      <c r="H194" s="105"/>
      <c r="I194" s="101">
        <f>$D188*$D189*$D190</f>
        <v>142569.9461061107</v>
      </c>
      <c r="J194" s="101">
        <f t="shared" ref="J194:AG194" si="66">$D188*$D189*$D190</f>
        <v>142569.9461061107</v>
      </c>
      <c r="K194" s="101">
        <f t="shared" si="66"/>
        <v>142569.9461061107</v>
      </c>
      <c r="L194" s="101">
        <f t="shared" si="66"/>
        <v>142569.9461061107</v>
      </c>
      <c r="M194" s="101">
        <f t="shared" si="66"/>
        <v>142569.9461061107</v>
      </c>
      <c r="N194" s="101">
        <f t="shared" si="66"/>
        <v>142569.9461061107</v>
      </c>
      <c r="O194" s="101">
        <f t="shared" si="66"/>
        <v>142569.9461061107</v>
      </c>
      <c r="P194" s="101">
        <f t="shared" si="66"/>
        <v>142569.9461061107</v>
      </c>
      <c r="Q194" s="101">
        <f t="shared" si="66"/>
        <v>142569.9461061107</v>
      </c>
      <c r="R194" s="101">
        <f t="shared" si="66"/>
        <v>142569.9461061107</v>
      </c>
      <c r="S194" s="101">
        <f t="shared" si="66"/>
        <v>142569.9461061107</v>
      </c>
      <c r="T194" s="101">
        <f t="shared" si="66"/>
        <v>142569.9461061107</v>
      </c>
      <c r="U194" s="101">
        <f t="shared" si="66"/>
        <v>142569.9461061107</v>
      </c>
      <c r="V194" s="101">
        <f t="shared" si="66"/>
        <v>142569.9461061107</v>
      </c>
      <c r="W194" s="101">
        <f t="shared" si="66"/>
        <v>142569.9461061107</v>
      </c>
      <c r="X194" s="101">
        <f t="shared" si="66"/>
        <v>142569.9461061107</v>
      </c>
      <c r="Y194" s="101">
        <f t="shared" si="66"/>
        <v>142569.9461061107</v>
      </c>
      <c r="Z194" s="101">
        <f t="shared" si="66"/>
        <v>142569.9461061107</v>
      </c>
      <c r="AA194" s="101">
        <f t="shared" si="66"/>
        <v>142569.9461061107</v>
      </c>
      <c r="AB194" s="101">
        <f t="shared" si="66"/>
        <v>142569.9461061107</v>
      </c>
      <c r="AC194" s="101">
        <f t="shared" si="66"/>
        <v>142569.9461061107</v>
      </c>
      <c r="AD194" s="101">
        <f t="shared" si="66"/>
        <v>142569.9461061107</v>
      </c>
      <c r="AE194" s="101">
        <f t="shared" si="66"/>
        <v>142569.9461061107</v>
      </c>
      <c r="AF194" s="101">
        <f t="shared" si="66"/>
        <v>142569.9461061107</v>
      </c>
      <c r="AG194" s="101">
        <f t="shared" si="66"/>
        <v>142569.9461061107</v>
      </c>
      <c r="AH194" s="63"/>
    </row>
    <row r="195" spans="1:34" hidden="1" outlineLevel="1" x14ac:dyDescent="0.35">
      <c r="A195" s="63"/>
      <c r="B195" s="104" t="s">
        <v>159</v>
      </c>
      <c r="C195" s="104"/>
      <c r="D195" s="104"/>
      <c r="E195" s="104"/>
      <c r="F195" s="104"/>
      <c r="G195" s="104"/>
      <c r="H195" s="105"/>
      <c r="I195" s="101">
        <f>$D191*$D190</f>
        <v>2240</v>
      </c>
      <c r="J195" s="101">
        <f t="shared" ref="J195:AG195" si="67">$D191*$D190</f>
        <v>2240</v>
      </c>
      <c r="K195" s="101">
        <f t="shared" si="67"/>
        <v>2240</v>
      </c>
      <c r="L195" s="101">
        <f t="shared" si="67"/>
        <v>2240</v>
      </c>
      <c r="M195" s="101">
        <f t="shared" si="67"/>
        <v>2240</v>
      </c>
      <c r="N195" s="101">
        <f t="shared" si="67"/>
        <v>2240</v>
      </c>
      <c r="O195" s="101">
        <f t="shared" si="67"/>
        <v>2240</v>
      </c>
      <c r="P195" s="101">
        <f t="shared" si="67"/>
        <v>2240</v>
      </c>
      <c r="Q195" s="101">
        <f t="shared" si="67"/>
        <v>2240</v>
      </c>
      <c r="R195" s="101">
        <f t="shared" si="67"/>
        <v>2240</v>
      </c>
      <c r="S195" s="101">
        <f t="shared" si="67"/>
        <v>2240</v>
      </c>
      <c r="T195" s="101">
        <f t="shared" si="67"/>
        <v>2240</v>
      </c>
      <c r="U195" s="101">
        <f t="shared" si="67"/>
        <v>2240</v>
      </c>
      <c r="V195" s="101">
        <f t="shared" si="67"/>
        <v>2240</v>
      </c>
      <c r="W195" s="101">
        <f t="shared" si="67"/>
        <v>2240</v>
      </c>
      <c r="X195" s="101">
        <f t="shared" si="67"/>
        <v>2240</v>
      </c>
      <c r="Y195" s="101">
        <f t="shared" si="67"/>
        <v>2240</v>
      </c>
      <c r="Z195" s="101">
        <f t="shared" si="67"/>
        <v>2240</v>
      </c>
      <c r="AA195" s="101">
        <f t="shared" si="67"/>
        <v>2240</v>
      </c>
      <c r="AB195" s="101">
        <f t="shared" si="67"/>
        <v>2240</v>
      </c>
      <c r="AC195" s="101">
        <f t="shared" si="67"/>
        <v>2240</v>
      </c>
      <c r="AD195" s="101">
        <f t="shared" si="67"/>
        <v>2240</v>
      </c>
      <c r="AE195" s="101">
        <f t="shared" si="67"/>
        <v>2240</v>
      </c>
      <c r="AF195" s="101">
        <f t="shared" si="67"/>
        <v>2240</v>
      </c>
      <c r="AG195" s="101">
        <f t="shared" si="67"/>
        <v>2240</v>
      </c>
      <c r="AH195" s="63"/>
    </row>
    <row r="196" spans="1:34" hidden="1" outlineLevel="1" x14ac:dyDescent="0.35">
      <c r="A196" s="63"/>
      <c r="B196" s="107" t="str">
        <f>B187</f>
        <v>Death or serious injury due to external storage of EWP</v>
      </c>
      <c r="C196" s="107"/>
      <c r="D196" s="107"/>
      <c r="E196" s="107"/>
      <c r="F196" s="107"/>
      <c r="G196" s="107"/>
      <c r="H196" s="108"/>
      <c r="I196" s="109">
        <f t="shared" ref="I196:AG196" si="68">SUM(I194:I195)</f>
        <v>144809.9461061107</v>
      </c>
      <c r="J196" s="109">
        <f t="shared" si="68"/>
        <v>144809.9461061107</v>
      </c>
      <c r="K196" s="109">
        <f t="shared" si="68"/>
        <v>144809.9461061107</v>
      </c>
      <c r="L196" s="109">
        <f t="shared" si="68"/>
        <v>144809.9461061107</v>
      </c>
      <c r="M196" s="109">
        <f t="shared" si="68"/>
        <v>144809.9461061107</v>
      </c>
      <c r="N196" s="109">
        <f t="shared" si="68"/>
        <v>144809.9461061107</v>
      </c>
      <c r="O196" s="109">
        <f t="shared" si="68"/>
        <v>144809.9461061107</v>
      </c>
      <c r="P196" s="109">
        <f t="shared" si="68"/>
        <v>144809.9461061107</v>
      </c>
      <c r="Q196" s="109">
        <f t="shared" si="68"/>
        <v>144809.9461061107</v>
      </c>
      <c r="R196" s="109">
        <f t="shared" si="68"/>
        <v>144809.9461061107</v>
      </c>
      <c r="S196" s="109">
        <f t="shared" si="68"/>
        <v>144809.9461061107</v>
      </c>
      <c r="T196" s="109">
        <f t="shared" si="68"/>
        <v>144809.9461061107</v>
      </c>
      <c r="U196" s="109">
        <f t="shared" si="68"/>
        <v>144809.9461061107</v>
      </c>
      <c r="V196" s="109">
        <f t="shared" si="68"/>
        <v>144809.9461061107</v>
      </c>
      <c r="W196" s="109">
        <f t="shared" si="68"/>
        <v>144809.9461061107</v>
      </c>
      <c r="X196" s="109">
        <f t="shared" si="68"/>
        <v>144809.9461061107</v>
      </c>
      <c r="Y196" s="109">
        <f t="shared" si="68"/>
        <v>144809.9461061107</v>
      </c>
      <c r="Z196" s="109">
        <f t="shared" si="68"/>
        <v>144809.9461061107</v>
      </c>
      <c r="AA196" s="109">
        <f t="shared" si="68"/>
        <v>144809.9461061107</v>
      </c>
      <c r="AB196" s="109">
        <f t="shared" si="68"/>
        <v>144809.9461061107</v>
      </c>
      <c r="AC196" s="109">
        <f t="shared" si="68"/>
        <v>144809.9461061107</v>
      </c>
      <c r="AD196" s="109">
        <f t="shared" si="68"/>
        <v>144809.9461061107</v>
      </c>
      <c r="AE196" s="109">
        <f t="shared" si="68"/>
        <v>144809.9461061107</v>
      </c>
      <c r="AF196" s="109">
        <f t="shared" si="68"/>
        <v>144809.9461061107</v>
      </c>
      <c r="AG196" s="109">
        <f t="shared" si="68"/>
        <v>144809.9461061107</v>
      </c>
      <c r="AH196" s="63"/>
    </row>
    <row r="197" spans="1:34" hidden="1" outlineLevel="1" x14ac:dyDescent="0.3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</row>
    <row r="198" spans="1:34" hidden="1" outlineLevel="1" x14ac:dyDescent="0.35">
      <c r="A198" s="63"/>
      <c r="B198" s="82" t="s">
        <v>174</v>
      </c>
      <c r="C198" s="82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63"/>
    </row>
    <row r="199" spans="1:34" hidden="1" outlineLevel="1" x14ac:dyDescent="0.35">
      <c r="A199" s="63"/>
      <c r="B199" s="63" t="s">
        <v>175</v>
      </c>
      <c r="C199" s="98" t="str">
        <f>'Risk Assumptions'!F52</f>
        <v>$ June 2024</v>
      </c>
      <c r="D199" s="83">
        <f>'Risk Assumptions'!G52</f>
        <v>6000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</row>
    <row r="200" spans="1:34" hidden="1" outlineLevel="1" x14ac:dyDescent="0.35">
      <c r="A200" s="63"/>
      <c r="B200" s="63" t="s">
        <v>168</v>
      </c>
      <c r="C200" s="98" t="str">
        <f>'Risk Assumptions'!F51</f>
        <v>#</v>
      </c>
      <c r="D200" s="83">
        <f>'Risk Assumptions'!G51</f>
        <v>12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</row>
    <row r="201" spans="1:34" hidden="1" outlineLevel="1" x14ac:dyDescent="0.35">
      <c r="A201" s="63"/>
      <c r="B201" s="63"/>
      <c r="C201" s="110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</row>
    <row r="202" spans="1:34" hidden="1" outlineLevel="1" x14ac:dyDescent="0.35">
      <c r="A202" s="63"/>
      <c r="B202" s="86"/>
      <c r="C202" s="111"/>
      <c r="D202" s="86"/>
      <c r="E202" s="86"/>
      <c r="F202" s="86"/>
      <c r="G202" s="86"/>
      <c r="H202" s="102" t="s">
        <v>19</v>
      </c>
      <c r="I202" s="69" t="s">
        <v>22</v>
      </c>
      <c r="J202" s="69" t="s">
        <v>23</v>
      </c>
      <c r="K202" s="69" t="s">
        <v>24</v>
      </c>
      <c r="L202" s="69" t="s">
        <v>25</v>
      </c>
      <c r="M202" s="69" t="s">
        <v>26</v>
      </c>
      <c r="N202" s="69" t="s">
        <v>52</v>
      </c>
      <c r="O202" s="69" t="s">
        <v>53</v>
      </c>
      <c r="P202" s="69" t="s">
        <v>54</v>
      </c>
      <c r="Q202" s="69" t="s">
        <v>55</v>
      </c>
      <c r="R202" s="69" t="s">
        <v>56</v>
      </c>
      <c r="S202" s="69" t="s">
        <v>57</v>
      </c>
      <c r="T202" s="69" t="s">
        <v>58</v>
      </c>
      <c r="U202" s="69" t="s">
        <v>59</v>
      </c>
      <c r="V202" s="69" t="s">
        <v>60</v>
      </c>
      <c r="W202" s="69" t="s">
        <v>61</v>
      </c>
      <c r="X202" s="69" t="s">
        <v>62</v>
      </c>
      <c r="Y202" s="69" t="s">
        <v>63</v>
      </c>
      <c r="Z202" s="69" t="s">
        <v>64</v>
      </c>
      <c r="AA202" s="69" t="s">
        <v>65</v>
      </c>
      <c r="AB202" s="69" t="s">
        <v>66</v>
      </c>
      <c r="AC202" s="69" t="s">
        <v>67</v>
      </c>
      <c r="AD202" s="69" t="s">
        <v>68</v>
      </c>
      <c r="AE202" s="69" t="s">
        <v>69</v>
      </c>
      <c r="AF202" s="69" t="s">
        <v>70</v>
      </c>
      <c r="AG202" s="69" t="s">
        <v>71</v>
      </c>
      <c r="AH202" s="63"/>
    </row>
    <row r="203" spans="1:34" hidden="1" outlineLevel="1" x14ac:dyDescent="0.35">
      <c r="A203" s="63"/>
      <c r="B203" s="63" t="str">
        <f>B198</f>
        <v>Additional maintenance costs due to external EWP storage</v>
      </c>
      <c r="C203" s="110"/>
      <c r="D203" s="63"/>
      <c r="E203" s="63"/>
      <c r="F203" s="63"/>
      <c r="G203" s="63"/>
      <c r="H203" s="103"/>
      <c r="I203" s="101">
        <f>$D199*$D200</f>
        <v>72000</v>
      </c>
      <c r="J203" s="101">
        <f t="shared" ref="J203:AG203" si="69">$D199*$D200</f>
        <v>72000</v>
      </c>
      <c r="K203" s="101">
        <f t="shared" si="69"/>
        <v>72000</v>
      </c>
      <c r="L203" s="101">
        <f t="shared" si="69"/>
        <v>72000</v>
      </c>
      <c r="M203" s="101">
        <f t="shared" si="69"/>
        <v>72000</v>
      </c>
      <c r="N203" s="101">
        <f t="shared" si="69"/>
        <v>72000</v>
      </c>
      <c r="O203" s="101">
        <f t="shared" si="69"/>
        <v>72000</v>
      </c>
      <c r="P203" s="101">
        <f t="shared" si="69"/>
        <v>72000</v>
      </c>
      <c r="Q203" s="101">
        <f t="shared" si="69"/>
        <v>72000</v>
      </c>
      <c r="R203" s="101">
        <f t="shared" si="69"/>
        <v>72000</v>
      </c>
      <c r="S203" s="101">
        <f t="shared" si="69"/>
        <v>72000</v>
      </c>
      <c r="T203" s="101">
        <f t="shared" si="69"/>
        <v>72000</v>
      </c>
      <c r="U203" s="101">
        <f t="shared" si="69"/>
        <v>72000</v>
      </c>
      <c r="V203" s="101">
        <f t="shared" si="69"/>
        <v>72000</v>
      </c>
      <c r="W203" s="101">
        <f t="shared" si="69"/>
        <v>72000</v>
      </c>
      <c r="X203" s="101">
        <f t="shared" si="69"/>
        <v>72000</v>
      </c>
      <c r="Y203" s="101">
        <f t="shared" si="69"/>
        <v>72000</v>
      </c>
      <c r="Z203" s="101">
        <f t="shared" si="69"/>
        <v>72000</v>
      </c>
      <c r="AA203" s="101">
        <f t="shared" si="69"/>
        <v>72000</v>
      </c>
      <c r="AB203" s="101">
        <f t="shared" si="69"/>
        <v>72000</v>
      </c>
      <c r="AC203" s="101">
        <f t="shared" si="69"/>
        <v>72000</v>
      </c>
      <c r="AD203" s="101">
        <f t="shared" si="69"/>
        <v>72000</v>
      </c>
      <c r="AE203" s="101">
        <f t="shared" si="69"/>
        <v>72000</v>
      </c>
      <c r="AF203" s="101">
        <f t="shared" si="69"/>
        <v>72000</v>
      </c>
      <c r="AG203" s="101">
        <f t="shared" si="69"/>
        <v>72000</v>
      </c>
      <c r="AH203" s="63"/>
    </row>
    <row r="204" spans="1:34" hidden="1" outlineLevel="1" x14ac:dyDescent="0.35">
      <c r="A204" s="63"/>
      <c r="B204" s="63"/>
      <c r="C204" s="110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</row>
    <row r="205" spans="1:34" hidden="1" outlineLevel="1" x14ac:dyDescent="0.35">
      <c r="A205" s="63"/>
      <c r="B205" s="82" t="s">
        <v>176</v>
      </c>
      <c r="C205" s="112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63"/>
    </row>
    <row r="206" spans="1:34" hidden="1" outlineLevel="1" x14ac:dyDescent="0.35">
      <c r="A206" s="63"/>
      <c r="B206" s="63" t="s">
        <v>168</v>
      </c>
      <c r="C206" s="98" t="str">
        <f>'Risk Assumptions'!F51</f>
        <v>#</v>
      </c>
      <c r="D206" s="83">
        <f>'Risk Assumptions'!G51</f>
        <v>12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</row>
    <row r="207" spans="1:34" hidden="1" outlineLevel="1" x14ac:dyDescent="0.35">
      <c r="A207" s="63"/>
      <c r="B207" s="63" t="s">
        <v>170</v>
      </c>
      <c r="C207" s="98" t="str">
        <f>'Risk Assumptions'!F53</f>
        <v>$ June 2024</v>
      </c>
      <c r="D207" s="83">
        <f>'Risk Assumptions'!G53</f>
        <v>575000</v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</row>
    <row r="208" spans="1:34" hidden="1" outlineLevel="1" x14ac:dyDescent="0.35">
      <c r="A208" s="63"/>
      <c r="B208" s="63" t="s">
        <v>171</v>
      </c>
      <c r="C208" s="98" t="str">
        <f>'Risk Assumptions'!F54</f>
        <v>years</v>
      </c>
      <c r="D208" s="83">
        <f>'Risk Assumptions'!G54</f>
        <v>15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</row>
    <row r="209" spans="1:34" hidden="1" outlineLevel="1" x14ac:dyDescent="0.35">
      <c r="A209" s="63"/>
      <c r="B209" s="63" t="s">
        <v>172</v>
      </c>
      <c r="C209" s="98" t="str">
        <f>'Risk Assumptions'!F55</f>
        <v>years</v>
      </c>
      <c r="D209" s="83">
        <f>'Risk Assumptions'!G55</f>
        <v>12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</row>
    <row r="210" spans="1:34" hidden="1" outlineLevel="1" x14ac:dyDescent="0.3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</row>
    <row r="211" spans="1:34" hidden="1" outlineLevel="1" x14ac:dyDescent="0.35">
      <c r="A211" s="63"/>
      <c r="B211" s="86"/>
      <c r="C211" s="86"/>
      <c r="D211" s="86"/>
      <c r="E211" s="86"/>
      <c r="F211" s="86"/>
      <c r="G211" s="86"/>
      <c r="H211" s="102" t="s">
        <v>19</v>
      </c>
      <c r="I211" s="69" t="s">
        <v>22</v>
      </c>
      <c r="J211" s="69" t="s">
        <v>23</v>
      </c>
      <c r="K211" s="69" t="s">
        <v>24</v>
      </c>
      <c r="L211" s="69" t="s">
        <v>25</v>
      </c>
      <c r="M211" s="69" t="s">
        <v>26</v>
      </c>
      <c r="N211" s="69" t="s">
        <v>52</v>
      </c>
      <c r="O211" s="69" t="s">
        <v>53</v>
      </c>
      <c r="P211" s="69" t="s">
        <v>54</v>
      </c>
      <c r="Q211" s="69" t="s">
        <v>55</v>
      </c>
      <c r="R211" s="69" t="s">
        <v>56</v>
      </c>
      <c r="S211" s="69" t="s">
        <v>57</v>
      </c>
      <c r="T211" s="69" t="s">
        <v>58</v>
      </c>
      <c r="U211" s="69" t="s">
        <v>59</v>
      </c>
      <c r="V211" s="69" t="s">
        <v>60</v>
      </c>
      <c r="W211" s="69" t="s">
        <v>61</v>
      </c>
      <c r="X211" s="69" t="s">
        <v>62</v>
      </c>
      <c r="Y211" s="69" t="s">
        <v>63</v>
      </c>
      <c r="Z211" s="69" t="s">
        <v>64</v>
      </c>
      <c r="AA211" s="69" t="s">
        <v>65</v>
      </c>
      <c r="AB211" s="69" t="s">
        <v>66</v>
      </c>
      <c r="AC211" s="69" t="s">
        <v>67</v>
      </c>
      <c r="AD211" s="69" t="s">
        <v>68</v>
      </c>
      <c r="AE211" s="69" t="s">
        <v>69</v>
      </c>
      <c r="AF211" s="69" t="s">
        <v>70</v>
      </c>
      <c r="AG211" s="69" t="s">
        <v>71</v>
      </c>
      <c r="AH211" s="63"/>
    </row>
    <row r="212" spans="1:34" hidden="1" outlineLevel="1" x14ac:dyDescent="0.35">
      <c r="A212" s="63"/>
      <c r="B212" s="63" t="str">
        <f>B205</f>
        <v>Cost of reduced asset life of EWPs stored without cover</v>
      </c>
      <c r="C212" s="63"/>
      <c r="D212" s="63"/>
      <c r="E212" s="63"/>
      <c r="F212" s="63"/>
      <c r="G212" s="63"/>
      <c r="H212" s="103"/>
      <c r="I212" s="101">
        <f>$D206*($D207/$D209-$D207/$D208)</f>
        <v>114999.99999999994</v>
      </c>
      <c r="J212" s="101">
        <f t="shared" ref="J212:AG212" si="70">$D206*($D207/$D209-$D207/$D208)</f>
        <v>114999.99999999994</v>
      </c>
      <c r="K212" s="101">
        <f t="shared" si="70"/>
        <v>114999.99999999994</v>
      </c>
      <c r="L212" s="101">
        <f t="shared" si="70"/>
        <v>114999.99999999994</v>
      </c>
      <c r="M212" s="101">
        <f t="shared" si="70"/>
        <v>114999.99999999994</v>
      </c>
      <c r="N212" s="101">
        <f t="shared" si="70"/>
        <v>114999.99999999994</v>
      </c>
      <c r="O212" s="101">
        <f t="shared" si="70"/>
        <v>114999.99999999994</v>
      </c>
      <c r="P212" s="101">
        <f t="shared" si="70"/>
        <v>114999.99999999994</v>
      </c>
      <c r="Q212" s="101">
        <f t="shared" si="70"/>
        <v>114999.99999999994</v>
      </c>
      <c r="R212" s="101">
        <f t="shared" si="70"/>
        <v>114999.99999999994</v>
      </c>
      <c r="S212" s="101">
        <f t="shared" si="70"/>
        <v>114999.99999999994</v>
      </c>
      <c r="T212" s="101">
        <f t="shared" si="70"/>
        <v>114999.99999999994</v>
      </c>
      <c r="U212" s="101">
        <f t="shared" si="70"/>
        <v>114999.99999999994</v>
      </c>
      <c r="V212" s="101">
        <f t="shared" si="70"/>
        <v>114999.99999999994</v>
      </c>
      <c r="W212" s="101">
        <f t="shared" si="70"/>
        <v>114999.99999999994</v>
      </c>
      <c r="X212" s="101">
        <f t="shared" si="70"/>
        <v>114999.99999999994</v>
      </c>
      <c r="Y212" s="101">
        <f t="shared" si="70"/>
        <v>114999.99999999994</v>
      </c>
      <c r="Z212" s="101">
        <f t="shared" si="70"/>
        <v>114999.99999999994</v>
      </c>
      <c r="AA212" s="101">
        <f t="shared" si="70"/>
        <v>114999.99999999994</v>
      </c>
      <c r="AB212" s="101">
        <f t="shared" si="70"/>
        <v>114999.99999999994</v>
      </c>
      <c r="AC212" s="101">
        <f t="shared" si="70"/>
        <v>114999.99999999994</v>
      </c>
      <c r="AD212" s="101">
        <f t="shared" si="70"/>
        <v>114999.99999999994</v>
      </c>
      <c r="AE212" s="101">
        <f t="shared" si="70"/>
        <v>114999.99999999994</v>
      </c>
      <c r="AF212" s="101">
        <f t="shared" si="70"/>
        <v>114999.99999999994</v>
      </c>
      <c r="AG212" s="101">
        <f t="shared" si="70"/>
        <v>114999.99999999994</v>
      </c>
      <c r="AH212" s="63"/>
    </row>
    <row r="213" spans="1:34" hidden="1" outlineLevel="1" x14ac:dyDescent="0.35"/>
    <row r="214" spans="1:34" hidden="1" outlineLevel="1" x14ac:dyDescent="0.35"/>
    <row r="215" spans="1:34" collapsed="1" x14ac:dyDescent="0.35">
      <c r="A215" s="63"/>
      <c r="B215" s="86"/>
      <c r="C215" s="86"/>
      <c r="D215" s="86"/>
      <c r="E215" s="86"/>
      <c r="F215" s="86"/>
      <c r="G215" s="86"/>
      <c r="H215" s="69"/>
      <c r="I215" s="69" t="s">
        <v>22</v>
      </c>
      <c r="J215" s="69" t="s">
        <v>23</v>
      </c>
      <c r="K215" s="69" t="s">
        <v>24</v>
      </c>
      <c r="L215" s="69" t="s">
        <v>25</v>
      </c>
      <c r="M215" s="69" t="s">
        <v>26</v>
      </c>
      <c r="N215" s="69" t="s">
        <v>52</v>
      </c>
      <c r="O215" s="69" t="s">
        <v>53</v>
      </c>
      <c r="P215" s="69" t="s">
        <v>54</v>
      </c>
      <c r="Q215" s="69" t="s">
        <v>55</v>
      </c>
      <c r="R215" s="69" t="s">
        <v>56</v>
      </c>
      <c r="S215" s="69" t="s">
        <v>57</v>
      </c>
      <c r="T215" s="69" t="s">
        <v>58</v>
      </c>
      <c r="U215" s="69" t="s">
        <v>59</v>
      </c>
      <c r="V215" s="69" t="s">
        <v>60</v>
      </c>
      <c r="W215" s="69" t="s">
        <v>61</v>
      </c>
      <c r="X215" s="69" t="s">
        <v>62</v>
      </c>
      <c r="Y215" s="69" t="s">
        <v>63</v>
      </c>
      <c r="Z215" s="69" t="s">
        <v>64</v>
      </c>
      <c r="AA215" s="69" t="s">
        <v>65</v>
      </c>
      <c r="AB215" s="69" t="s">
        <v>66</v>
      </c>
      <c r="AC215" s="69" t="s">
        <v>67</v>
      </c>
      <c r="AD215" s="69" t="s">
        <v>68</v>
      </c>
      <c r="AE215" s="69" t="s">
        <v>69</v>
      </c>
      <c r="AF215" s="69" t="s">
        <v>70</v>
      </c>
      <c r="AG215" s="69" t="s">
        <v>71</v>
      </c>
      <c r="AH215" s="63"/>
    </row>
    <row r="216" spans="1:34" x14ac:dyDescent="0.35">
      <c r="A216" s="63"/>
      <c r="B216" s="71" t="str">
        <f>"Total risk due to "&amp;B185</f>
        <v>Total risk due to EWP storage risks</v>
      </c>
      <c r="C216" s="63"/>
      <c r="D216" s="63"/>
      <c r="E216" s="63"/>
      <c r="F216" s="63"/>
      <c r="G216" s="63"/>
      <c r="H216" s="101"/>
      <c r="I216" s="101">
        <f>I196+I203+I212</f>
        <v>331809.94610611064</v>
      </c>
      <c r="J216" s="101">
        <f t="shared" ref="J216:AG216" si="71">J196+J203+J212</f>
        <v>331809.94610611064</v>
      </c>
      <c r="K216" s="101">
        <f t="shared" si="71"/>
        <v>331809.94610611064</v>
      </c>
      <c r="L216" s="101">
        <f t="shared" si="71"/>
        <v>331809.94610611064</v>
      </c>
      <c r="M216" s="101">
        <f t="shared" si="71"/>
        <v>331809.94610611064</v>
      </c>
      <c r="N216" s="101">
        <f t="shared" si="71"/>
        <v>331809.94610611064</v>
      </c>
      <c r="O216" s="101">
        <f t="shared" si="71"/>
        <v>331809.94610611064</v>
      </c>
      <c r="P216" s="101">
        <f t="shared" si="71"/>
        <v>331809.94610611064</v>
      </c>
      <c r="Q216" s="101">
        <f t="shared" si="71"/>
        <v>331809.94610611064</v>
      </c>
      <c r="R216" s="101">
        <f t="shared" si="71"/>
        <v>331809.94610611064</v>
      </c>
      <c r="S216" s="101">
        <f t="shared" si="71"/>
        <v>331809.94610611064</v>
      </c>
      <c r="T216" s="101">
        <f t="shared" si="71"/>
        <v>331809.94610611064</v>
      </c>
      <c r="U216" s="101">
        <f t="shared" si="71"/>
        <v>331809.94610611064</v>
      </c>
      <c r="V216" s="101">
        <f t="shared" si="71"/>
        <v>331809.94610611064</v>
      </c>
      <c r="W216" s="101">
        <f t="shared" si="71"/>
        <v>331809.94610611064</v>
      </c>
      <c r="X216" s="101">
        <f t="shared" si="71"/>
        <v>331809.94610611064</v>
      </c>
      <c r="Y216" s="101">
        <f t="shared" si="71"/>
        <v>331809.94610611064</v>
      </c>
      <c r="Z216" s="101">
        <f t="shared" si="71"/>
        <v>331809.94610611064</v>
      </c>
      <c r="AA216" s="101">
        <f t="shared" si="71"/>
        <v>331809.94610611064</v>
      </c>
      <c r="AB216" s="101">
        <f t="shared" si="71"/>
        <v>331809.94610611064</v>
      </c>
      <c r="AC216" s="101">
        <f t="shared" si="71"/>
        <v>331809.94610611064</v>
      </c>
      <c r="AD216" s="101">
        <f t="shared" si="71"/>
        <v>331809.94610611064</v>
      </c>
      <c r="AE216" s="101">
        <f t="shared" si="71"/>
        <v>331809.94610611064</v>
      </c>
      <c r="AF216" s="101">
        <f t="shared" si="71"/>
        <v>331809.94610611064</v>
      </c>
      <c r="AG216" s="101">
        <f t="shared" si="71"/>
        <v>331809.94610611064</v>
      </c>
      <c r="AH216" s="63"/>
    </row>
    <row r="219" spans="1:34" x14ac:dyDescent="0.35">
      <c r="A219" s="80"/>
      <c r="B219" s="78" t="s">
        <v>224</v>
      </c>
      <c r="C219" s="78"/>
      <c r="D219" s="78"/>
      <c r="E219" s="78"/>
      <c r="F219" s="78"/>
      <c r="G219" s="78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80"/>
    </row>
    <row r="220" spans="1:34" x14ac:dyDescent="0.3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</row>
    <row r="221" spans="1:34" hidden="1" outlineLevel="1" x14ac:dyDescent="0.35">
      <c r="A221" s="63"/>
      <c r="B221" s="82" t="s">
        <v>222</v>
      </c>
      <c r="C221" s="82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63"/>
    </row>
    <row r="222" spans="1:34" hidden="1" outlineLevel="1" x14ac:dyDescent="0.35">
      <c r="A222" s="63"/>
      <c r="B222" s="63" t="s">
        <v>103</v>
      </c>
      <c r="C222" s="98">
        <f>'Risk Assumptions'!F212</f>
        <v>0</v>
      </c>
      <c r="D222" s="83">
        <f>'Risk Assumptions'!G14</f>
        <v>36.645859753385643</v>
      </c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</row>
    <row r="223" spans="1:34" hidden="1" outlineLevel="1" x14ac:dyDescent="0.35">
      <c r="A223" s="63"/>
      <c r="B223" s="63" t="s">
        <v>104</v>
      </c>
      <c r="C223" s="98">
        <f>'Risk Assumptions'!C206</f>
        <v>0</v>
      </c>
      <c r="D223" s="83">
        <f>'Risk Assumptions'!G8</f>
        <v>339188</v>
      </c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idden="1" outlineLevel="1" x14ac:dyDescent="0.35">
      <c r="A224" s="63"/>
      <c r="B224" s="63" t="s">
        <v>108</v>
      </c>
      <c r="C224" s="99">
        <f>'Risk Assumptions'!C213</f>
        <v>0</v>
      </c>
      <c r="D224" s="84">
        <f>'Risk Assumptions'!G17</f>
        <v>-0.01</v>
      </c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</row>
    <row r="225" spans="1:34" hidden="1" outlineLevel="1" x14ac:dyDescent="0.35">
      <c r="A225" s="63"/>
      <c r="B225" s="63" t="s">
        <v>94</v>
      </c>
      <c r="C225" s="99">
        <f>'Risk Assumptions'!C208</f>
        <v>0</v>
      </c>
      <c r="D225" s="84">
        <f>'Risk Assumptions'!G10</f>
        <v>2.0031638509745067E-2</v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hidden="1" outlineLevel="1" x14ac:dyDescent="0.3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idden="1" outlineLevel="1" x14ac:dyDescent="0.35">
      <c r="A227" s="63"/>
      <c r="B227" s="86"/>
      <c r="C227" s="86"/>
      <c r="D227" s="86"/>
      <c r="E227" s="86"/>
      <c r="F227" s="86"/>
      <c r="G227" s="86"/>
      <c r="H227" s="102" t="s">
        <v>19</v>
      </c>
      <c r="I227" s="69" t="s">
        <v>22</v>
      </c>
      <c r="J227" s="69" t="s">
        <v>23</v>
      </c>
      <c r="K227" s="69" t="s">
        <v>24</v>
      </c>
      <c r="L227" s="69" t="s">
        <v>25</v>
      </c>
      <c r="M227" s="69" t="s">
        <v>26</v>
      </c>
      <c r="N227" s="69" t="s">
        <v>52</v>
      </c>
      <c r="O227" s="69" t="s">
        <v>53</v>
      </c>
      <c r="P227" s="69" t="s">
        <v>54</v>
      </c>
      <c r="Q227" s="69" t="s">
        <v>55</v>
      </c>
      <c r="R227" s="69" t="s">
        <v>56</v>
      </c>
      <c r="S227" s="69" t="s">
        <v>57</v>
      </c>
      <c r="T227" s="69" t="s">
        <v>58</v>
      </c>
      <c r="U227" s="69" t="s">
        <v>59</v>
      </c>
      <c r="V227" s="69" t="s">
        <v>60</v>
      </c>
      <c r="W227" s="69" t="s">
        <v>61</v>
      </c>
      <c r="X227" s="69" t="s">
        <v>62</v>
      </c>
      <c r="Y227" s="69" t="s">
        <v>63</v>
      </c>
      <c r="Z227" s="69" t="s">
        <v>64</v>
      </c>
      <c r="AA227" s="69" t="s">
        <v>65</v>
      </c>
      <c r="AB227" s="69" t="s">
        <v>66</v>
      </c>
      <c r="AC227" s="69" t="s">
        <v>67</v>
      </c>
      <c r="AD227" s="69" t="s">
        <v>68</v>
      </c>
      <c r="AE227" s="69" t="s">
        <v>69</v>
      </c>
      <c r="AF227" s="69" t="s">
        <v>70</v>
      </c>
      <c r="AG227" s="69" t="s">
        <v>71</v>
      </c>
      <c r="AH227" s="63"/>
    </row>
    <row r="228" spans="1:34" hidden="1" outlineLevel="1" x14ac:dyDescent="0.35">
      <c r="A228" s="63"/>
      <c r="B228" s="63" t="str">
        <f>B221</f>
        <v>Reduction in cost to customer of delays in restoring supply after forced outage gained through partial remediation of site</v>
      </c>
      <c r="C228" s="63"/>
      <c r="D228" s="63"/>
      <c r="E228" s="63"/>
      <c r="F228" s="63"/>
      <c r="G228" s="63"/>
      <c r="H228" s="103"/>
      <c r="I228" s="101"/>
      <c r="J228" s="101"/>
      <c r="K228" s="101"/>
      <c r="L228" s="101">
        <f>D222*D224*D223*(1+$D$225)^6</f>
        <v>-140006.19400212096</v>
      </c>
      <c r="M228" s="101">
        <f t="shared" ref="M228" si="72">L228*(1+$D$35)</f>
        <v>-142810.74746949668</v>
      </c>
      <c r="N228" s="101">
        <f t="shared" ref="N228" si="73">M228*(1+$D$35)</f>
        <v>-145671.48073811212</v>
      </c>
      <c r="O228" s="101">
        <f t="shared" ref="O228" si="74">N228*(1+$D$35)</f>
        <v>-148589.51918143727</v>
      </c>
      <c r="P228" s="101">
        <f t="shared" ref="P228" si="75">O228*(1+$D$35)</f>
        <v>-151566.01071601664</v>
      </c>
      <c r="Q228" s="101">
        <f t="shared" ref="Q228" si="76">P228*(1+$D$35)</f>
        <v>-154602.12625304403</v>
      </c>
      <c r="R228" s="101">
        <f t="shared" ref="R228" si="77">Q228*(1+$D$35)</f>
        <v>-157699.06015898296</v>
      </c>
      <c r="S228" s="101">
        <f t="shared" ref="S228" si="78">R228*(1+$D$35)</f>
        <v>-160858.03072541422</v>
      </c>
      <c r="T228" s="101">
        <f t="shared" ref="T228" si="79">S228*(1+$D$35)</f>
        <v>-164080.28064829519</v>
      </c>
      <c r="U228" s="101">
        <f t="shared" ref="U228" si="80">T228*(1+$D$35)</f>
        <v>-167367.07751681935</v>
      </c>
      <c r="V228" s="101">
        <f t="shared" ref="V228" si="81">U228*(1+$D$35)</f>
        <v>-170719.71431206874</v>
      </c>
      <c r="W228" s="101">
        <f t="shared" ref="W228" si="82">V228*(1+$D$35)</f>
        <v>-174139.50991565504</v>
      </c>
      <c r="X228" s="101">
        <f t="shared" ref="X228" si="83">W228*(1+$D$35)</f>
        <v>-177627.80962854958</v>
      </c>
      <c r="Y228" s="101">
        <f t="shared" ref="Y228" si="84">X228*(1+$D$35)</f>
        <v>-181185.98570030648</v>
      </c>
      <c r="Z228" s="101">
        <f t="shared" ref="Z228" si="85">Y228*(1+$D$35)</f>
        <v>-184815.43786888686</v>
      </c>
      <c r="AA228" s="101">
        <f t="shared" ref="AA228" si="86">Z228*(1+$D$35)</f>
        <v>-188517.59391129663</v>
      </c>
      <c r="AB228" s="101">
        <f t="shared" ref="AB228" si="87">AA228*(1+$D$35)</f>
        <v>-192293.91020525462</v>
      </c>
      <c r="AC228" s="101">
        <f t="shared" ref="AC228" si="88">AB228*(1+$D$35)</f>
        <v>-196145.87230211165</v>
      </c>
      <c r="AD228" s="101">
        <f t="shared" ref="AD228" si="89">AC228*(1+$D$35)</f>
        <v>-200074.99551124615</v>
      </c>
      <c r="AE228" s="101">
        <f t="shared" ref="AE228" si="90">AD228*(1+$D$35)</f>
        <v>-204082.82549616628</v>
      </c>
      <c r="AF228" s="101">
        <f t="shared" ref="AF228" si="91">AE228*(1+$D$35)</f>
        <v>-208170.93888255284</v>
      </c>
      <c r="AG228" s="101">
        <f t="shared" ref="AG228" si="92">AF228*(1+$D$35)</f>
        <v>-212340.94387848236</v>
      </c>
      <c r="AH228" s="63"/>
    </row>
    <row r="229" spans="1:34" hidden="1" outlineLevel="1" x14ac:dyDescent="0.35"/>
    <row r="230" spans="1:34" hidden="1" outlineLevel="1" x14ac:dyDescent="0.35"/>
    <row r="231" spans="1:34" collapsed="1" x14ac:dyDescent="0.35">
      <c r="A231" s="63"/>
      <c r="B231" s="86"/>
      <c r="C231" s="86"/>
      <c r="D231" s="86"/>
      <c r="E231" s="86"/>
      <c r="F231" s="86"/>
      <c r="G231" s="86"/>
      <c r="H231" s="69"/>
      <c r="I231" s="69" t="s">
        <v>22</v>
      </c>
      <c r="J231" s="69" t="s">
        <v>23</v>
      </c>
      <c r="K231" s="69" t="s">
        <v>24</v>
      </c>
      <c r="L231" s="69" t="s">
        <v>25</v>
      </c>
      <c r="M231" s="69" t="s">
        <v>26</v>
      </c>
      <c r="N231" s="69" t="s">
        <v>52</v>
      </c>
      <c r="O231" s="69" t="s">
        <v>53</v>
      </c>
      <c r="P231" s="69" t="s">
        <v>54</v>
      </c>
      <c r="Q231" s="69" t="s">
        <v>55</v>
      </c>
      <c r="R231" s="69" t="s">
        <v>56</v>
      </c>
      <c r="S231" s="69" t="s">
        <v>57</v>
      </c>
      <c r="T231" s="69" t="s">
        <v>58</v>
      </c>
      <c r="U231" s="69" t="s">
        <v>59</v>
      </c>
      <c r="V231" s="69" t="s">
        <v>60</v>
      </c>
      <c r="W231" s="69" t="s">
        <v>61</v>
      </c>
      <c r="X231" s="69" t="s">
        <v>62</v>
      </c>
      <c r="Y231" s="69" t="s">
        <v>63</v>
      </c>
      <c r="Z231" s="69" t="s">
        <v>64</v>
      </c>
      <c r="AA231" s="69" t="s">
        <v>65</v>
      </c>
      <c r="AB231" s="69" t="s">
        <v>66</v>
      </c>
      <c r="AC231" s="69" t="s">
        <v>67</v>
      </c>
      <c r="AD231" s="69" t="s">
        <v>68</v>
      </c>
      <c r="AE231" s="69" t="s">
        <v>69</v>
      </c>
      <c r="AF231" s="69" t="s">
        <v>70</v>
      </c>
      <c r="AG231" s="69" t="s">
        <v>71</v>
      </c>
      <c r="AH231" s="63"/>
    </row>
    <row r="232" spans="1:34" x14ac:dyDescent="0.35">
      <c r="A232" s="63"/>
      <c r="B232" s="71" t="str">
        <f>"Total risk due to "&amp;B219</f>
        <v>Total risk due to Suboptimal layout - risk offset with partial remediation</v>
      </c>
      <c r="C232" s="63"/>
      <c r="D232" s="63"/>
      <c r="E232" s="63"/>
      <c r="F232" s="63"/>
      <c r="G232" s="63"/>
      <c r="H232" s="101"/>
      <c r="I232" s="101">
        <f>I228</f>
        <v>0</v>
      </c>
      <c r="J232" s="101">
        <f t="shared" ref="J232:AG232" si="93">J228</f>
        <v>0</v>
      </c>
      <c r="K232" s="101">
        <f t="shared" si="93"/>
        <v>0</v>
      </c>
      <c r="L232" s="101">
        <f t="shared" si="93"/>
        <v>-140006.19400212096</v>
      </c>
      <c r="M232" s="101">
        <f t="shared" si="93"/>
        <v>-142810.74746949668</v>
      </c>
      <c r="N232" s="101">
        <f t="shared" si="93"/>
        <v>-145671.48073811212</v>
      </c>
      <c r="O232" s="101">
        <f t="shared" si="93"/>
        <v>-148589.51918143727</v>
      </c>
      <c r="P232" s="101">
        <f t="shared" si="93"/>
        <v>-151566.01071601664</v>
      </c>
      <c r="Q232" s="101">
        <f t="shared" si="93"/>
        <v>-154602.12625304403</v>
      </c>
      <c r="R232" s="101">
        <f t="shared" si="93"/>
        <v>-157699.06015898296</v>
      </c>
      <c r="S232" s="101">
        <f t="shared" si="93"/>
        <v>-160858.03072541422</v>
      </c>
      <c r="T232" s="101">
        <f t="shared" si="93"/>
        <v>-164080.28064829519</v>
      </c>
      <c r="U232" s="101">
        <f t="shared" si="93"/>
        <v>-167367.07751681935</v>
      </c>
      <c r="V232" s="101">
        <f t="shared" si="93"/>
        <v>-170719.71431206874</v>
      </c>
      <c r="W232" s="101">
        <f t="shared" si="93"/>
        <v>-174139.50991565504</v>
      </c>
      <c r="X232" s="101">
        <f t="shared" si="93"/>
        <v>-177627.80962854958</v>
      </c>
      <c r="Y232" s="101">
        <f t="shared" si="93"/>
        <v>-181185.98570030648</v>
      </c>
      <c r="Z232" s="101">
        <f t="shared" si="93"/>
        <v>-184815.43786888686</v>
      </c>
      <c r="AA232" s="101">
        <f t="shared" si="93"/>
        <v>-188517.59391129663</v>
      </c>
      <c r="AB232" s="101">
        <f t="shared" si="93"/>
        <v>-192293.91020525462</v>
      </c>
      <c r="AC232" s="101">
        <f t="shared" si="93"/>
        <v>-196145.87230211165</v>
      </c>
      <c r="AD232" s="101">
        <f t="shared" si="93"/>
        <v>-200074.99551124615</v>
      </c>
      <c r="AE232" s="101">
        <f t="shared" si="93"/>
        <v>-204082.82549616628</v>
      </c>
      <c r="AF232" s="101">
        <f t="shared" si="93"/>
        <v>-208170.93888255284</v>
      </c>
      <c r="AG232" s="101">
        <f t="shared" si="93"/>
        <v>-212340.94387848236</v>
      </c>
      <c r="AH232" s="63"/>
    </row>
    <row r="235" spans="1:34" x14ac:dyDescent="0.35">
      <c r="A235" s="80"/>
      <c r="B235" s="78" t="s">
        <v>80</v>
      </c>
      <c r="C235" s="78"/>
      <c r="D235" s="78"/>
      <c r="E235" s="78"/>
      <c r="F235" s="78"/>
      <c r="G235" s="78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80"/>
    </row>
    <row r="236" spans="1:34" x14ac:dyDescent="0.35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hidden="1" outlineLevel="1" x14ac:dyDescent="0.35">
      <c r="A237" s="63"/>
      <c r="B237" s="82" t="s">
        <v>178</v>
      </c>
      <c r="C237" s="82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63"/>
    </row>
    <row r="238" spans="1:34" hidden="1" outlineLevel="1" x14ac:dyDescent="0.35">
      <c r="A238" s="63"/>
      <c r="B238" s="63" t="s">
        <v>126</v>
      </c>
      <c r="C238" s="98" t="str">
        <f>'Risk Assumptions'!F27</f>
        <v>#</v>
      </c>
      <c r="D238" s="83">
        <f>'Risk Assumptions'!G27</f>
        <v>246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</row>
    <row r="239" spans="1:34" hidden="1" outlineLevel="1" x14ac:dyDescent="0.35">
      <c r="A239" s="63"/>
      <c r="B239" s="63" t="s">
        <v>115</v>
      </c>
      <c r="C239" s="98" t="str">
        <f>'Risk Assumptions'!F28</f>
        <v>$ June 2024</v>
      </c>
      <c r="D239" s="83">
        <f>'Risk Assumptions'!G28</f>
        <v>160000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</row>
    <row r="240" spans="1:34" hidden="1" outlineLevel="1" x14ac:dyDescent="0.35">
      <c r="A240" s="63"/>
      <c r="B240" s="63" t="s">
        <v>177</v>
      </c>
      <c r="C240" s="99" t="str">
        <f>'Risk Assumptions'!C24</f>
        <v>%</v>
      </c>
      <c r="D240" s="84">
        <f>'Risk Assumptions'!D24</f>
        <v>0.05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</row>
    <row r="241" spans="1:34" hidden="1" outlineLevel="1" x14ac:dyDescent="0.35">
      <c r="A241" s="63"/>
      <c r="B241" s="63"/>
      <c r="C241" s="110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</row>
    <row r="242" spans="1:34" hidden="1" outlineLevel="1" x14ac:dyDescent="0.35">
      <c r="A242" s="63"/>
      <c r="B242" s="86"/>
      <c r="C242" s="111"/>
      <c r="D242" s="86"/>
      <c r="E242" s="86"/>
      <c r="F242" s="86"/>
      <c r="G242" s="86"/>
      <c r="H242" s="102" t="s">
        <v>19</v>
      </c>
      <c r="I242" s="69" t="s">
        <v>22</v>
      </c>
      <c r="J242" s="69" t="s">
        <v>23</v>
      </c>
      <c r="K242" s="69" t="s">
        <v>24</v>
      </c>
      <c r="L242" s="69" t="s">
        <v>25</v>
      </c>
      <c r="M242" s="69" t="s">
        <v>26</v>
      </c>
      <c r="N242" s="69" t="s">
        <v>52</v>
      </c>
      <c r="O242" s="69" t="s">
        <v>53</v>
      </c>
      <c r="P242" s="69" t="s">
        <v>54</v>
      </c>
      <c r="Q242" s="69" t="s">
        <v>55</v>
      </c>
      <c r="R242" s="69" t="s">
        <v>56</v>
      </c>
      <c r="S242" s="69" t="s">
        <v>57</v>
      </c>
      <c r="T242" s="69" t="s">
        <v>58</v>
      </c>
      <c r="U242" s="69" t="s">
        <v>59</v>
      </c>
      <c r="V242" s="69" t="s">
        <v>60</v>
      </c>
      <c r="W242" s="69" t="s">
        <v>61</v>
      </c>
      <c r="X242" s="69" t="s">
        <v>62</v>
      </c>
      <c r="Y242" s="69" t="s">
        <v>63</v>
      </c>
      <c r="Z242" s="69" t="s">
        <v>64</v>
      </c>
      <c r="AA242" s="69" t="s">
        <v>65</v>
      </c>
      <c r="AB242" s="69" t="s">
        <v>66</v>
      </c>
      <c r="AC242" s="69" t="s">
        <v>67</v>
      </c>
      <c r="AD242" s="69" t="s">
        <v>68</v>
      </c>
      <c r="AE242" s="69" t="s">
        <v>69</v>
      </c>
      <c r="AF242" s="69" t="s">
        <v>70</v>
      </c>
      <c r="AG242" s="69" t="s">
        <v>71</v>
      </c>
      <c r="AH242" s="63"/>
    </row>
    <row r="243" spans="1:34" hidden="1" outlineLevel="1" x14ac:dyDescent="0.35">
      <c r="A243" s="63"/>
      <c r="B243" s="63" t="str">
        <f>B237</f>
        <v>Reduced office productivity during disruption</v>
      </c>
      <c r="C243" s="110"/>
      <c r="D243" s="63"/>
      <c r="E243" s="63"/>
      <c r="F243" s="63"/>
      <c r="G243" s="63"/>
      <c r="H243" s="103"/>
      <c r="I243" s="101">
        <v>0</v>
      </c>
      <c r="J243" s="101">
        <f t="shared" ref="J243:K243" si="94">$D238*$D239*$D240</f>
        <v>1968000</v>
      </c>
      <c r="K243" s="101">
        <f t="shared" si="94"/>
        <v>1968000</v>
      </c>
      <c r="L243" s="101">
        <v>0</v>
      </c>
      <c r="M243" s="101">
        <v>0</v>
      </c>
      <c r="N243" s="101">
        <v>0</v>
      </c>
      <c r="O243" s="101">
        <v>0</v>
      </c>
      <c r="P243" s="101">
        <v>0</v>
      </c>
      <c r="Q243" s="101">
        <v>0</v>
      </c>
      <c r="R243" s="101">
        <v>0</v>
      </c>
      <c r="S243" s="101">
        <v>0</v>
      </c>
      <c r="T243" s="101">
        <v>0</v>
      </c>
      <c r="U243" s="101">
        <v>0</v>
      </c>
      <c r="V243" s="101">
        <v>0</v>
      </c>
      <c r="W243" s="101">
        <v>0</v>
      </c>
      <c r="X243" s="101">
        <v>0</v>
      </c>
      <c r="Y243" s="101">
        <v>0</v>
      </c>
      <c r="Z243" s="101">
        <v>0</v>
      </c>
      <c r="AA243" s="101">
        <v>0</v>
      </c>
      <c r="AB243" s="101">
        <v>0</v>
      </c>
      <c r="AC243" s="101">
        <v>0</v>
      </c>
      <c r="AD243" s="101">
        <v>0</v>
      </c>
      <c r="AE243" s="101">
        <v>0</v>
      </c>
      <c r="AF243" s="101">
        <v>0</v>
      </c>
      <c r="AG243" s="101">
        <v>0</v>
      </c>
      <c r="AH243" s="63"/>
    </row>
    <row r="244" spans="1:34" hidden="1" outlineLevel="1" x14ac:dyDescent="0.35">
      <c r="A244" s="63"/>
      <c r="B244" s="63"/>
      <c r="C244" s="110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</row>
    <row r="245" spans="1:34" hidden="1" outlineLevel="1" x14ac:dyDescent="0.35">
      <c r="A245" s="63"/>
      <c r="B245" s="82" t="s">
        <v>179</v>
      </c>
      <c r="C245" s="113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63"/>
    </row>
    <row r="246" spans="1:34" hidden="1" outlineLevel="1" x14ac:dyDescent="0.35">
      <c r="A246" s="63"/>
      <c r="B246" s="63" t="s">
        <v>112</v>
      </c>
      <c r="C246" s="98" t="str">
        <f>'Risk Assumptions'!F26</f>
        <v>#</v>
      </c>
      <c r="D246" s="83">
        <f>'Risk Assumptions'!G26</f>
        <v>81</v>
      </c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 hidden="1" outlineLevel="1" x14ac:dyDescent="0.35">
      <c r="A247" s="63"/>
      <c r="B247" s="63" t="s">
        <v>115</v>
      </c>
      <c r="C247" s="98" t="str">
        <f>'Risk Assumptions'!F28</f>
        <v>$ June 2024</v>
      </c>
      <c r="D247" s="83">
        <f>'Risk Assumptions'!G28</f>
        <v>160000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</row>
    <row r="248" spans="1:34" hidden="1" outlineLevel="1" x14ac:dyDescent="0.35">
      <c r="A248" s="63"/>
      <c r="B248" s="63" t="s">
        <v>119</v>
      </c>
      <c r="C248" s="99" t="str">
        <f>'Risk Assumptions'!F24</f>
        <v>%</v>
      </c>
      <c r="D248" s="84">
        <f>'Risk Assumptions'!G24</f>
        <v>0.05</v>
      </c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</row>
    <row r="249" spans="1:34" hidden="1" outlineLevel="1" x14ac:dyDescent="0.3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</row>
    <row r="250" spans="1:34" hidden="1" outlineLevel="1" x14ac:dyDescent="0.35">
      <c r="A250" s="63"/>
      <c r="B250" s="86"/>
      <c r="C250" s="86"/>
      <c r="D250" s="86"/>
      <c r="E250" s="86"/>
      <c r="F250" s="86"/>
      <c r="G250" s="86"/>
      <c r="H250" s="102" t="s">
        <v>19</v>
      </c>
      <c r="I250" s="69" t="s">
        <v>22</v>
      </c>
      <c r="J250" s="69" t="s">
        <v>23</v>
      </c>
      <c r="K250" s="69" t="s">
        <v>24</v>
      </c>
      <c r="L250" s="69" t="s">
        <v>25</v>
      </c>
      <c r="M250" s="69" t="s">
        <v>26</v>
      </c>
      <c r="N250" s="69" t="s">
        <v>52</v>
      </c>
      <c r="O250" s="69" t="s">
        <v>53</v>
      </c>
      <c r="P250" s="69" t="s">
        <v>54</v>
      </c>
      <c r="Q250" s="69" t="s">
        <v>55</v>
      </c>
      <c r="R250" s="69" t="s">
        <v>56</v>
      </c>
      <c r="S250" s="69" t="s">
        <v>57</v>
      </c>
      <c r="T250" s="69" t="s">
        <v>58</v>
      </c>
      <c r="U250" s="69" t="s">
        <v>59</v>
      </c>
      <c r="V250" s="69" t="s">
        <v>60</v>
      </c>
      <c r="W250" s="69" t="s">
        <v>61</v>
      </c>
      <c r="X250" s="69" t="s">
        <v>62</v>
      </c>
      <c r="Y250" s="69" t="s">
        <v>63</v>
      </c>
      <c r="Z250" s="69" t="s">
        <v>64</v>
      </c>
      <c r="AA250" s="69" t="s">
        <v>65</v>
      </c>
      <c r="AB250" s="69" t="s">
        <v>66</v>
      </c>
      <c r="AC250" s="69" t="s">
        <v>67</v>
      </c>
      <c r="AD250" s="69" t="s">
        <v>68</v>
      </c>
      <c r="AE250" s="69" t="s">
        <v>69</v>
      </c>
      <c r="AF250" s="69" t="s">
        <v>70</v>
      </c>
      <c r="AG250" s="69" t="s">
        <v>71</v>
      </c>
      <c r="AH250" s="63"/>
    </row>
    <row r="251" spans="1:34" hidden="1" outlineLevel="1" x14ac:dyDescent="0.35">
      <c r="A251" s="63"/>
      <c r="B251" s="63" t="str">
        <f>B245</f>
        <v>Reduced field productivity during disruption</v>
      </c>
      <c r="C251" s="110"/>
      <c r="D251" s="63"/>
      <c r="E251" s="63"/>
      <c r="F251" s="63"/>
      <c r="G251" s="63"/>
      <c r="H251" s="103"/>
      <c r="I251" s="101">
        <v>0</v>
      </c>
      <c r="J251" s="101">
        <f t="shared" ref="J251:K251" si="95">$D246*$D247*$D248</f>
        <v>648000</v>
      </c>
      <c r="K251" s="101">
        <f t="shared" si="95"/>
        <v>648000</v>
      </c>
      <c r="L251" s="101">
        <v>0</v>
      </c>
      <c r="M251" s="101">
        <v>0</v>
      </c>
      <c r="N251" s="101">
        <v>0</v>
      </c>
      <c r="O251" s="101">
        <v>0</v>
      </c>
      <c r="P251" s="101">
        <v>0</v>
      </c>
      <c r="Q251" s="101">
        <v>0</v>
      </c>
      <c r="R251" s="101">
        <v>0</v>
      </c>
      <c r="S251" s="101">
        <v>0</v>
      </c>
      <c r="T251" s="101">
        <v>0</v>
      </c>
      <c r="U251" s="101">
        <v>0</v>
      </c>
      <c r="V251" s="101">
        <v>0</v>
      </c>
      <c r="W251" s="101">
        <v>0</v>
      </c>
      <c r="X251" s="101">
        <v>0</v>
      </c>
      <c r="Y251" s="101">
        <v>0</v>
      </c>
      <c r="Z251" s="101">
        <v>0</v>
      </c>
      <c r="AA251" s="101">
        <v>0</v>
      </c>
      <c r="AB251" s="101">
        <v>0</v>
      </c>
      <c r="AC251" s="101">
        <v>0</v>
      </c>
      <c r="AD251" s="101">
        <v>0</v>
      </c>
      <c r="AE251" s="101">
        <v>0</v>
      </c>
      <c r="AF251" s="101">
        <v>0</v>
      </c>
      <c r="AG251" s="101">
        <v>0</v>
      </c>
      <c r="AH251" s="63"/>
    </row>
    <row r="252" spans="1:34" hidden="1" outlineLevel="1" x14ac:dyDescent="0.35"/>
    <row r="253" spans="1:34" hidden="1" outlineLevel="1" x14ac:dyDescent="0.35"/>
    <row r="254" spans="1:34" collapsed="1" x14ac:dyDescent="0.35">
      <c r="A254" s="63"/>
      <c r="B254" s="86"/>
      <c r="C254" s="86"/>
      <c r="D254" s="86"/>
      <c r="E254" s="86"/>
      <c r="F254" s="86"/>
      <c r="G254" s="86"/>
      <c r="H254" s="69"/>
      <c r="I254" s="69" t="s">
        <v>22</v>
      </c>
      <c r="J254" s="69" t="s">
        <v>23</v>
      </c>
      <c r="K254" s="69" t="s">
        <v>24</v>
      </c>
      <c r="L254" s="69" t="s">
        <v>25</v>
      </c>
      <c r="M254" s="69" t="s">
        <v>26</v>
      </c>
      <c r="N254" s="69" t="s">
        <v>52</v>
      </c>
      <c r="O254" s="69" t="s">
        <v>53</v>
      </c>
      <c r="P254" s="69" t="s">
        <v>54</v>
      </c>
      <c r="Q254" s="69" t="s">
        <v>55</v>
      </c>
      <c r="R254" s="69" t="s">
        <v>56</v>
      </c>
      <c r="S254" s="69" t="s">
        <v>57</v>
      </c>
      <c r="T254" s="69" t="s">
        <v>58</v>
      </c>
      <c r="U254" s="69" t="s">
        <v>59</v>
      </c>
      <c r="V254" s="69" t="s">
        <v>60</v>
      </c>
      <c r="W254" s="69" t="s">
        <v>61</v>
      </c>
      <c r="X254" s="69" t="s">
        <v>62</v>
      </c>
      <c r="Y254" s="69" t="s">
        <v>63</v>
      </c>
      <c r="Z254" s="69" t="s">
        <v>64</v>
      </c>
      <c r="AA254" s="69" t="s">
        <v>65</v>
      </c>
      <c r="AB254" s="69" t="s">
        <v>66</v>
      </c>
      <c r="AC254" s="69" t="s">
        <v>67</v>
      </c>
      <c r="AD254" s="69" t="s">
        <v>68</v>
      </c>
      <c r="AE254" s="69" t="s">
        <v>69</v>
      </c>
      <c r="AF254" s="69" t="s">
        <v>70</v>
      </c>
      <c r="AG254" s="69" t="s">
        <v>71</v>
      </c>
      <c r="AH254" s="63"/>
    </row>
    <row r="255" spans="1:34" x14ac:dyDescent="0.35">
      <c r="A255" s="63"/>
      <c r="B255" s="71" t="str">
        <f>"Total risk due to "&amp;B235</f>
        <v>Total risk due to Loss of efficiency during redevelopment</v>
      </c>
      <c r="C255" s="63"/>
      <c r="D255" s="63"/>
      <c r="E255" s="63"/>
      <c r="F255" s="63"/>
      <c r="G255" s="63"/>
      <c r="H255" s="101"/>
      <c r="I255" s="101">
        <f t="shared" ref="I255:AG255" si="96">I243+I251</f>
        <v>0</v>
      </c>
      <c r="J255" s="101">
        <f t="shared" si="96"/>
        <v>2616000</v>
      </c>
      <c r="K255" s="101">
        <f t="shared" si="96"/>
        <v>2616000</v>
      </c>
      <c r="L255" s="101">
        <f t="shared" si="96"/>
        <v>0</v>
      </c>
      <c r="M255" s="101">
        <f t="shared" si="96"/>
        <v>0</v>
      </c>
      <c r="N255" s="101">
        <f t="shared" si="96"/>
        <v>0</v>
      </c>
      <c r="O255" s="101">
        <f t="shared" si="96"/>
        <v>0</v>
      </c>
      <c r="P255" s="101">
        <f t="shared" si="96"/>
        <v>0</v>
      </c>
      <c r="Q255" s="101">
        <f t="shared" si="96"/>
        <v>0</v>
      </c>
      <c r="R255" s="101">
        <f t="shared" si="96"/>
        <v>0</v>
      </c>
      <c r="S255" s="101">
        <f t="shared" si="96"/>
        <v>0</v>
      </c>
      <c r="T255" s="101">
        <f t="shared" si="96"/>
        <v>0</v>
      </c>
      <c r="U255" s="101">
        <f t="shared" si="96"/>
        <v>0</v>
      </c>
      <c r="V255" s="101">
        <f t="shared" si="96"/>
        <v>0</v>
      </c>
      <c r="W255" s="101">
        <f t="shared" si="96"/>
        <v>0</v>
      </c>
      <c r="X255" s="101">
        <f t="shared" si="96"/>
        <v>0</v>
      </c>
      <c r="Y255" s="101">
        <f t="shared" si="96"/>
        <v>0</v>
      </c>
      <c r="Z255" s="101">
        <f t="shared" si="96"/>
        <v>0</v>
      </c>
      <c r="AA255" s="101">
        <f t="shared" si="96"/>
        <v>0</v>
      </c>
      <c r="AB255" s="101">
        <f t="shared" si="96"/>
        <v>0</v>
      </c>
      <c r="AC255" s="101">
        <f t="shared" si="96"/>
        <v>0</v>
      </c>
      <c r="AD255" s="101">
        <f t="shared" si="96"/>
        <v>0</v>
      </c>
      <c r="AE255" s="101">
        <f t="shared" si="96"/>
        <v>0</v>
      </c>
      <c r="AF255" s="101">
        <f t="shared" si="96"/>
        <v>0</v>
      </c>
      <c r="AG255" s="101">
        <f t="shared" si="96"/>
        <v>0</v>
      </c>
      <c r="AH255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8F64-2AE1-4D5D-854F-47BF758A8B33}">
  <sheetPr codeName="Sheet6"/>
  <dimension ref="A1:M57"/>
  <sheetViews>
    <sheetView showGridLines="0" workbookViewId="0">
      <selection activeCell="H9" sqref="H9"/>
    </sheetView>
  </sheetViews>
  <sheetFormatPr defaultRowHeight="13" x14ac:dyDescent="0.3"/>
  <cols>
    <col min="1" max="1" width="8.7265625" style="63"/>
    <col min="2" max="2" width="71.26953125" style="63" bestFit="1" customWidth="1"/>
    <col min="3" max="3" width="9.26953125" style="63" bestFit="1" customWidth="1"/>
    <col min="4" max="4" width="10.453125" style="63" bestFit="1" customWidth="1"/>
    <col min="5" max="5" width="19.453125" style="63" bestFit="1" customWidth="1"/>
    <col min="6" max="6" width="17.1796875" style="63" customWidth="1"/>
    <col min="7" max="8" width="29" style="63" bestFit="1" customWidth="1"/>
    <col min="9" max="9" width="8.7265625" style="63"/>
    <col min="10" max="10" width="9" style="63" bestFit="1" customWidth="1"/>
    <col min="11" max="16384" width="8.7265625" style="63"/>
  </cols>
  <sheetData>
    <row r="1" spans="1:13" s="66" customFormat="1" x14ac:dyDescent="0.3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1" t="s">
        <v>1</v>
      </c>
    </row>
    <row r="2" spans="1:13" s="66" customFormat="1" x14ac:dyDescent="0.3">
      <c r="A2" s="67" t="str">
        <f>model_name</f>
        <v>Burnley depot</v>
      </c>
      <c r="B2" s="68"/>
      <c r="C2" s="68"/>
      <c r="D2" s="68"/>
      <c r="E2" s="68"/>
      <c r="F2" s="68"/>
      <c r="G2" s="68"/>
      <c r="H2" s="68"/>
      <c r="I2" s="32"/>
      <c r="J2" s="32"/>
      <c r="K2" s="32"/>
      <c r="L2" s="32"/>
      <c r="M2" s="62" t="s">
        <v>4</v>
      </c>
    </row>
    <row r="3" spans="1:13" x14ac:dyDescent="0.3">
      <c r="A3" s="63" t="str">
        <f>"All dollar values are in "&amp;TEXT(input_dollars,"$ mmmm yyyy")&amp;" unless otherwise stated"</f>
        <v>All dollar values are in $ June 2024 unless otherwise stated</v>
      </c>
    </row>
    <row r="6" spans="1:13" ht="26" x14ac:dyDescent="0.3">
      <c r="B6" s="69" t="s">
        <v>81</v>
      </c>
      <c r="C6" s="69" t="s">
        <v>82</v>
      </c>
      <c r="D6" s="69" t="s">
        <v>83</v>
      </c>
      <c r="E6" s="70" t="s">
        <v>84</v>
      </c>
      <c r="F6" s="70" t="s">
        <v>97</v>
      </c>
      <c r="G6" s="69" t="s">
        <v>98</v>
      </c>
      <c r="H6" s="69"/>
    </row>
    <row r="7" spans="1:13" x14ac:dyDescent="0.3">
      <c r="B7" s="71" t="s">
        <v>85</v>
      </c>
    </row>
    <row r="8" spans="1:13" x14ac:dyDescent="0.3">
      <c r="B8" s="72" t="s">
        <v>86</v>
      </c>
      <c r="C8" s="73" t="s">
        <v>89</v>
      </c>
      <c r="D8" s="74">
        <v>339188</v>
      </c>
      <c r="E8" s="75" t="b">
        <f t="shared" ref="E8:E11" si="0">AND(LEFT(C8,1)="$",RIGHT(C8,2)&lt;&gt;"24")</f>
        <v>0</v>
      </c>
      <c r="F8" s="75" t="str">
        <f t="shared" ref="F8:F12" si="1">IF(OR(E8,LEFT(C8,1)="$"),"$ June 2024",C8)</f>
        <v>#</v>
      </c>
      <c r="G8" s="74" cm="1">
        <f t="array" ref="G8">IF(E8,D8*INDEX('Reg Assumptions '!$E$23:$K$23,,MATCH(RIGHT(C8,2),RIGHT('Reg Assumptions '!$E$22:$K$22,2),0)),D8)</f>
        <v>339188</v>
      </c>
      <c r="H8" s="153"/>
      <c r="I8" s="153"/>
      <c r="J8" s="153"/>
      <c r="K8" s="153"/>
    </row>
    <row r="9" spans="1:13" x14ac:dyDescent="0.3">
      <c r="B9" s="72" t="s">
        <v>87</v>
      </c>
      <c r="C9" s="73" t="s">
        <v>89</v>
      </c>
      <c r="D9" s="74">
        <v>6794</v>
      </c>
      <c r="E9" s="75" t="b">
        <f t="shared" si="0"/>
        <v>0</v>
      </c>
      <c r="F9" s="75" t="str">
        <f t="shared" si="1"/>
        <v>#</v>
      </c>
      <c r="G9" s="74" cm="1">
        <f t="array" ref="G9">IF(E9,D9*INDEX('Reg Assumptions '!$E$23:$K$23,,MATCH(RIGHT(C9,2),RIGHT('Reg Assumptions '!$E$22:$K$22,2),0)),D9)</f>
        <v>6794</v>
      </c>
      <c r="H9" s="153"/>
      <c r="I9" s="153"/>
      <c r="J9" s="153"/>
      <c r="K9" s="153"/>
    </row>
    <row r="10" spans="1:13" x14ac:dyDescent="0.3">
      <c r="B10" s="72" t="s">
        <v>88</v>
      </c>
      <c r="C10" s="73" t="s">
        <v>90</v>
      </c>
      <c r="D10" s="76">
        <v>2.0031638509745067E-2</v>
      </c>
      <c r="E10" s="75" t="b">
        <f t="shared" si="0"/>
        <v>0</v>
      </c>
      <c r="F10" s="75" t="str">
        <f t="shared" si="1"/>
        <v>%</v>
      </c>
      <c r="G10" s="76" cm="1">
        <f t="array" ref="G10">IF(E10,D10*INDEX('Reg Assumptions '!$E$23:$K$23,,MATCH(RIGHT(C10,2),RIGHT('Reg Assumptions '!$E$22:$K$22,2),0)),D10)</f>
        <v>2.0031638509745067E-2</v>
      </c>
      <c r="H10" s="153"/>
      <c r="I10" s="153"/>
      <c r="J10" s="153"/>
      <c r="K10" s="153"/>
    </row>
    <row r="11" spans="1:13" x14ac:dyDescent="0.3">
      <c r="B11" s="72" t="s">
        <v>91</v>
      </c>
      <c r="C11" s="73" t="s">
        <v>90</v>
      </c>
      <c r="D11" s="76">
        <v>0.1</v>
      </c>
      <c r="E11" s="75" t="b">
        <f t="shared" si="0"/>
        <v>0</v>
      </c>
      <c r="F11" s="75" t="str">
        <f t="shared" si="1"/>
        <v>%</v>
      </c>
      <c r="G11" s="76" cm="1">
        <f t="array" ref="G11">IF(E11,D11*INDEX('Reg Assumptions '!$E$23:$K$23,,MATCH(RIGHT(C11,2),RIGHT('Reg Assumptions '!$E$22:$K$22,2),0)),D11)</f>
        <v>0.1</v>
      </c>
      <c r="H11" s="153"/>
      <c r="I11" s="153"/>
      <c r="J11" s="153"/>
      <c r="K11" s="153"/>
    </row>
    <row r="12" spans="1:13" x14ac:dyDescent="0.3">
      <c r="B12" s="72" t="s">
        <v>92</v>
      </c>
      <c r="C12" s="77" t="s">
        <v>107</v>
      </c>
      <c r="D12" s="74">
        <v>107.10104529616724</v>
      </c>
      <c r="E12" s="75" t="b">
        <f>AND(LEFT(C12,1)="$",RIGHT(C12,2)&lt;&gt;"24")</f>
        <v>0</v>
      </c>
      <c r="F12" s="75" t="str">
        <f t="shared" si="1"/>
        <v>$ June 2024</v>
      </c>
      <c r="G12" s="97" cm="1">
        <f t="array" ref="G12">IF(E12,D12*INDEX('Reg Assumptions '!$E$23:$K$23,,MATCH(RIGHT(C12,2),RIGHT('Reg Assumptions '!$E$22:$K$22,2),0)),D12)</f>
        <v>107.10104529616724</v>
      </c>
      <c r="H12" s="153"/>
      <c r="I12" s="153"/>
      <c r="J12" s="153"/>
      <c r="K12" s="153"/>
    </row>
    <row r="13" spans="1:13" x14ac:dyDescent="0.3">
      <c r="B13" s="71" t="s">
        <v>105</v>
      </c>
      <c r="H13" s="153"/>
    </row>
    <row r="14" spans="1:13" x14ac:dyDescent="0.3">
      <c r="B14" s="72" t="s">
        <v>106</v>
      </c>
      <c r="C14" s="77" t="s">
        <v>107</v>
      </c>
      <c r="D14" s="74">
        <v>36.645859753385643</v>
      </c>
      <c r="E14" s="75" t="b">
        <f>AND(LEFT(C14,1)="$",RIGHT(C14,2)&lt;&gt;"24")</f>
        <v>0</v>
      </c>
      <c r="F14" s="75" t="str">
        <f t="shared" ref="F14:F16" si="2">IF(OR(E14,LEFT(C14,1)="$"),"$ June 2024",C14)</f>
        <v>$ June 2024</v>
      </c>
      <c r="G14" s="74" cm="1">
        <f t="array" ref="G14">IF(E14,D14*INDEX('Reg Assumptions '!$E$23:$K$23,,MATCH(RIGHT(C14,2),RIGHT('Reg Assumptions '!$E$22:$K$22,2),0)),D14)</f>
        <v>36.645859753385643</v>
      </c>
      <c r="H14" s="153"/>
    </row>
    <row r="15" spans="1:13" x14ac:dyDescent="0.3">
      <c r="B15" s="72" t="s">
        <v>118</v>
      </c>
      <c r="C15" s="73" t="s">
        <v>90</v>
      </c>
      <c r="D15" s="76">
        <v>0.03</v>
      </c>
      <c r="E15" s="75" t="b">
        <f t="shared" ref="E15" si="3">AND(LEFT(C15,1)="$",RIGHT(C15,2)&lt;&gt;"24")</f>
        <v>0</v>
      </c>
      <c r="F15" s="75" t="str">
        <f t="shared" si="2"/>
        <v>%</v>
      </c>
      <c r="G15" s="76" cm="1">
        <f t="array" ref="G15">IF(E15,D15*INDEX('Reg Assumptions '!$E$23:$K$23,,MATCH(RIGHT(C15,2),RIGHT('Reg Assumptions '!$E$22:$K$22,2),0)),D15)</f>
        <v>0.03</v>
      </c>
      <c r="H15" s="153"/>
    </row>
    <row r="16" spans="1:13" x14ac:dyDescent="0.3">
      <c r="B16" s="72" t="s">
        <v>181</v>
      </c>
      <c r="C16" s="73" t="s">
        <v>90</v>
      </c>
      <c r="D16" s="76">
        <v>0.02</v>
      </c>
      <c r="E16" s="75" t="b">
        <f t="shared" ref="E16" si="4">AND(LEFT(C16,1)="$",RIGHT(C16,2)&lt;&gt;"24")</f>
        <v>0</v>
      </c>
      <c r="F16" s="75" t="str">
        <f t="shared" si="2"/>
        <v>%</v>
      </c>
      <c r="G16" s="76" cm="1">
        <f t="array" ref="G16">IF(E16,D16*INDEX('Reg Assumptions '!$E$23:$K$23,,MATCH(RIGHT(C16,2),RIGHT('Reg Assumptions '!$E$22:$K$22,2),0)),D16)</f>
        <v>0.02</v>
      </c>
      <c r="H16" s="153"/>
    </row>
    <row r="17" spans="2:8" x14ac:dyDescent="0.3">
      <c r="B17" s="72" t="s">
        <v>223</v>
      </c>
      <c r="C17" s="73" t="s">
        <v>90</v>
      </c>
      <c r="D17" s="76">
        <v>-0.01</v>
      </c>
      <c r="E17" s="75" t="b">
        <f t="shared" ref="E17" si="5">AND(LEFT(C17,1)="$",RIGHT(C17,2)&lt;&gt;"24")</f>
        <v>0</v>
      </c>
      <c r="F17" s="75" t="str">
        <f t="shared" ref="F17" si="6">IF(OR(E17,LEFT(C17,1)="$"),"$ June 2024",C17)</f>
        <v>%</v>
      </c>
      <c r="G17" s="76" cm="1">
        <f t="array" ref="G17">IF(E17,D17*INDEX('Reg Assumptions '!$E$23:$K$23,,MATCH(RIGHT(C17,2),RIGHT('Reg Assumptions '!$E$22:$K$22,2),0)),D17)</f>
        <v>-0.01</v>
      </c>
      <c r="H17" s="153"/>
    </row>
    <row r="18" spans="2:8" x14ac:dyDescent="0.3">
      <c r="B18" s="71" t="s">
        <v>116</v>
      </c>
      <c r="H18" s="153"/>
    </row>
    <row r="19" spans="2:8" x14ac:dyDescent="0.3">
      <c r="B19" s="72" t="s">
        <v>117</v>
      </c>
      <c r="C19" s="73" t="s">
        <v>90</v>
      </c>
      <c r="D19" s="76">
        <v>0.01</v>
      </c>
      <c r="E19" s="75" t="b">
        <f>AND(LEFT(C19,1)="$",RIGHT(C19,2)&lt;&gt;"24")</f>
        <v>0</v>
      </c>
      <c r="F19" s="75" t="str">
        <f t="shared" ref="F19:F23" si="7">IF(OR(E19,LEFT(C19,1)="$"),"$ June 2024",C19)</f>
        <v>%</v>
      </c>
      <c r="G19" s="76" cm="1">
        <f t="array" ref="G19">IF(E19,D19*INDEX('Reg Assumptions '!$E$23:$K$23,,MATCH(RIGHT(C19,2),RIGHT('Reg Assumptions '!$E$22:$K$22,2),0)),D19)</f>
        <v>0.01</v>
      </c>
      <c r="H19" s="153"/>
    </row>
    <row r="20" spans="2:8" x14ac:dyDescent="0.3">
      <c r="B20" s="72" t="s">
        <v>125</v>
      </c>
      <c r="C20" s="73" t="s">
        <v>90</v>
      </c>
      <c r="D20" s="76">
        <v>0.05</v>
      </c>
      <c r="E20" s="75" t="b">
        <f t="shared" ref="E20" si="8">AND(LEFT(C20,1)="$",RIGHT(C20,2)&lt;&gt;"24")</f>
        <v>0</v>
      </c>
      <c r="F20" s="75" t="str">
        <f t="shared" si="7"/>
        <v>%</v>
      </c>
      <c r="G20" s="76" cm="1">
        <f t="array" ref="G20">IF(E20,D20*INDEX('Reg Assumptions '!$E$23:$K$23,,MATCH(RIGHT(C20,2),RIGHT('Reg Assumptions '!$E$22:$K$22,2),0)),D20)</f>
        <v>0.05</v>
      </c>
      <c r="H20" s="153"/>
    </row>
    <row r="21" spans="2:8" x14ac:dyDescent="0.3">
      <c r="B21" s="72" t="s">
        <v>213</v>
      </c>
      <c r="C21" s="73" t="s">
        <v>90</v>
      </c>
      <c r="D21" s="76">
        <v>0.04</v>
      </c>
      <c r="E21" s="75" t="b">
        <f t="shared" ref="E21" si="9">AND(LEFT(C21,1)="$",RIGHT(C21,2)&lt;&gt;"24")</f>
        <v>0</v>
      </c>
      <c r="F21" s="75" t="str">
        <f t="shared" ref="F21" si="10">IF(OR(E21,LEFT(C21,1)="$"),"$ June 2024",C21)</f>
        <v>%</v>
      </c>
      <c r="G21" s="76" cm="1">
        <f t="array" ref="G21">IF(E21,D21*INDEX('Reg Assumptions '!$E$23:$K$23,,MATCH(RIGHT(C21,2),RIGHT('Reg Assumptions '!$E$22:$K$22,2),0)),D21)</f>
        <v>0.04</v>
      </c>
      <c r="H21" s="153"/>
    </row>
    <row r="22" spans="2:8" x14ac:dyDescent="0.3">
      <c r="B22" s="72" t="s">
        <v>215</v>
      </c>
      <c r="C22" s="73" t="s">
        <v>90</v>
      </c>
      <c r="D22" s="76">
        <v>0.02</v>
      </c>
      <c r="E22" s="75" t="b">
        <f t="shared" ref="E22:E23" si="11">AND(LEFT(C22,1)="$",RIGHT(C22,2)&lt;&gt;"24")</f>
        <v>0</v>
      </c>
      <c r="F22" s="75" t="str">
        <f t="shared" si="7"/>
        <v>%</v>
      </c>
      <c r="G22" s="76" cm="1">
        <f t="array" ref="G22">IF(E22,D22*INDEX('Reg Assumptions '!$E$23:$K$23,,MATCH(RIGHT(C22,2),RIGHT('Reg Assumptions '!$E$22:$K$22,2),0)),D22)</f>
        <v>0.02</v>
      </c>
      <c r="H22" s="153"/>
    </row>
    <row r="23" spans="2:8" x14ac:dyDescent="0.3">
      <c r="B23" s="72" t="s">
        <v>216</v>
      </c>
      <c r="C23" s="73" t="s">
        <v>90</v>
      </c>
      <c r="D23" s="76">
        <v>0.04</v>
      </c>
      <c r="E23" s="75" t="b">
        <f t="shared" si="11"/>
        <v>0</v>
      </c>
      <c r="F23" s="75" t="str">
        <f t="shared" si="7"/>
        <v>%</v>
      </c>
      <c r="G23" s="76" cm="1">
        <f t="array" ref="G23">IF(E23,D23*INDEX('Reg Assumptions '!$E$23:$K$23,,MATCH(RIGHT(C23,2),RIGHT('Reg Assumptions '!$E$22:$K$22,2),0)),D23)</f>
        <v>0.04</v>
      </c>
      <c r="H23" s="153"/>
    </row>
    <row r="24" spans="2:8" x14ac:dyDescent="0.3">
      <c r="B24" s="72" t="s">
        <v>180</v>
      </c>
      <c r="C24" s="73" t="s">
        <v>90</v>
      </c>
      <c r="D24" s="76">
        <v>0.05</v>
      </c>
      <c r="E24" s="75" t="b">
        <f t="shared" ref="E24" si="12">AND(LEFT(C24,1)="$",RIGHT(C24,2)&lt;&gt;"24")</f>
        <v>0</v>
      </c>
      <c r="F24" s="75" t="str">
        <f t="shared" ref="F24" si="13">IF(OR(E24,LEFT(C24,1)="$"),"$ June 2024",C24)</f>
        <v>%</v>
      </c>
      <c r="G24" s="76" cm="1">
        <f t="array" ref="G24">IF(E24,D24*INDEX('Reg Assumptions '!$E$23:$K$23,,MATCH(RIGHT(C24,2),RIGHT('Reg Assumptions '!$E$22:$K$22,2),0)),D24)</f>
        <v>0.05</v>
      </c>
      <c r="H24" s="153"/>
    </row>
    <row r="25" spans="2:8" x14ac:dyDescent="0.3">
      <c r="B25" s="71" t="s">
        <v>110</v>
      </c>
      <c r="H25" s="153"/>
    </row>
    <row r="26" spans="2:8" x14ac:dyDescent="0.3">
      <c r="B26" s="72" t="s">
        <v>113</v>
      </c>
      <c r="C26" s="73" t="s">
        <v>89</v>
      </c>
      <c r="D26" s="74">
        <v>81</v>
      </c>
      <c r="E26" s="75" t="b">
        <f t="shared" ref="E26:E27" si="14">AND(LEFT(C26,1)="$",RIGHT(C26,2)&lt;&gt;"24")</f>
        <v>0</v>
      </c>
      <c r="F26" s="75" t="str">
        <f t="shared" ref="F26:F28" si="15">IF(OR(E26,LEFT(C26,1)="$"),"$ June 2024",C26)</f>
        <v>#</v>
      </c>
      <c r="G26" s="74" cm="1">
        <f t="array" ref="G26">IF(E26,D26*INDEX('Reg Assumptions '!$E$23:$K$23,,MATCH(RIGHT(C26,2),RIGHT('Reg Assumptions '!$E$22:$K$22,2),0)),D26)</f>
        <v>81</v>
      </c>
      <c r="H26" s="153"/>
    </row>
    <row r="27" spans="2:8" x14ac:dyDescent="0.3">
      <c r="B27" s="72" t="s">
        <v>114</v>
      </c>
      <c r="C27" s="73" t="s">
        <v>89</v>
      </c>
      <c r="D27" s="74">
        <v>246</v>
      </c>
      <c r="E27" s="75" t="b">
        <f t="shared" si="14"/>
        <v>0</v>
      </c>
      <c r="F27" s="75" t="str">
        <f t="shared" si="15"/>
        <v>#</v>
      </c>
      <c r="G27" s="74" cm="1">
        <f t="array" ref="G27">IF(E27,D27*INDEX('Reg Assumptions '!$E$23:$K$23,,MATCH(RIGHT(C27,2),RIGHT('Reg Assumptions '!$E$22:$K$22,2),0)),D27)</f>
        <v>246</v>
      </c>
      <c r="H27" s="153"/>
    </row>
    <row r="28" spans="2:8" x14ac:dyDescent="0.3">
      <c r="B28" s="72" t="s">
        <v>111</v>
      </c>
      <c r="C28" s="77" t="s">
        <v>107</v>
      </c>
      <c r="D28" s="74">
        <v>160000</v>
      </c>
      <c r="E28" s="75" t="b">
        <f>AND(LEFT(C28,1)="$",RIGHT(C28,2)&lt;&gt;"24")</f>
        <v>0</v>
      </c>
      <c r="F28" s="75" t="str">
        <f t="shared" si="15"/>
        <v>$ June 2024</v>
      </c>
      <c r="G28" s="74" cm="1">
        <f t="array" ref="G28">IF(E28,D28*INDEX('Reg Assumptions '!$E$23:$K$23,,MATCH(RIGHT(C28,2),RIGHT('Reg Assumptions '!$E$22:$K$22,2),0)),D28)</f>
        <v>160000</v>
      </c>
      <c r="H28" s="153"/>
    </row>
    <row r="29" spans="2:8" x14ac:dyDescent="0.3">
      <c r="B29" s="71" t="s">
        <v>152</v>
      </c>
      <c r="H29" s="153"/>
    </row>
    <row r="30" spans="2:8" x14ac:dyDescent="0.3">
      <c r="B30" s="72" t="s">
        <v>160</v>
      </c>
      <c r="C30" s="73" t="s">
        <v>89</v>
      </c>
      <c r="D30" s="74">
        <v>2</v>
      </c>
      <c r="E30" s="75" t="b">
        <f t="shared" ref="E30" si="16">AND(LEFT(C30,1)="$",RIGHT(C30,2)&lt;&gt;"24")</f>
        <v>0</v>
      </c>
      <c r="F30" s="75" t="str">
        <f>IF(E30,"$ June 2024",C30)</f>
        <v>#</v>
      </c>
      <c r="G30" s="74" cm="1">
        <f t="array" ref="G30">IF(E30,D30*INDEX('Reg Assumptions '!$E$23:$K$23,,MATCH(RIGHT(C30,2),RIGHT('Reg Assumptions '!$E$22:$K$22,2),0)),D30)</f>
        <v>2</v>
      </c>
      <c r="H30" s="153"/>
    </row>
    <row r="31" spans="2:8" x14ac:dyDescent="0.3">
      <c r="B31" s="72" t="s">
        <v>121</v>
      </c>
      <c r="C31" s="77" t="s">
        <v>107</v>
      </c>
      <c r="D31" s="74">
        <v>50000</v>
      </c>
      <c r="E31" s="75" t="b">
        <f>AND(LEFT(C31,1)="$",RIGHT(C31,2)&lt;&gt;"24")</f>
        <v>0</v>
      </c>
      <c r="F31" s="75" t="str">
        <f>IF(OR(E31,LEFT(C31,1)="$"),"$ June 2024",C31)</f>
        <v>$ June 2024</v>
      </c>
      <c r="G31" s="74" cm="1">
        <f t="array" ref="G31">IF(E31,D31*INDEX('Reg Assumptions '!$E$23:$K$23,,MATCH(RIGHT(C31,2),RIGHT('Reg Assumptions '!$E$22:$K$22,2),0)),D31)</f>
        <v>50000</v>
      </c>
      <c r="H31" s="153"/>
    </row>
    <row r="32" spans="2:8" x14ac:dyDescent="0.3">
      <c r="B32" s="72" t="s">
        <v>132</v>
      </c>
      <c r="C32" s="77" t="s">
        <v>107</v>
      </c>
      <c r="D32" s="74">
        <v>850000</v>
      </c>
      <c r="E32" s="75" t="b">
        <f>AND(LEFT(C32,1)="$",RIGHT(C32,2)&lt;&gt;"24")</f>
        <v>0</v>
      </c>
      <c r="F32" s="75" t="str">
        <f t="shared" ref="F32:F35" si="17">IF(OR(E32,LEFT(C32,1)="$"),"$ June 2024",C32)</f>
        <v>$ June 2024</v>
      </c>
      <c r="G32" s="74" cm="1">
        <f t="array" ref="G32">IF(E32,D32*INDEX('Reg Assumptions '!$E$23:$K$23,,MATCH(RIGHT(C32,2),RIGHT('Reg Assumptions '!$E$22:$K$22,2),0)),D32)</f>
        <v>850000</v>
      </c>
      <c r="H32" s="153"/>
    </row>
    <row r="33" spans="2:8" x14ac:dyDescent="0.3">
      <c r="B33" s="72" t="s">
        <v>133</v>
      </c>
      <c r="C33" s="77" t="s">
        <v>107</v>
      </c>
      <c r="D33" s="74">
        <v>85000</v>
      </c>
      <c r="E33" s="75" t="b">
        <f>AND(LEFT(C33,1)="$",RIGHT(C33,2)&lt;&gt;"24")</f>
        <v>0</v>
      </c>
      <c r="F33" s="75" t="str">
        <f t="shared" si="17"/>
        <v>$ June 2024</v>
      </c>
      <c r="G33" s="74" cm="1">
        <f t="array" ref="G33">IF(E33,D33*INDEX('Reg Assumptions '!$E$23:$K$23,,MATCH(RIGHT(C33,2),RIGHT('Reg Assumptions '!$E$22:$K$22,2),0)),D33)</f>
        <v>85000</v>
      </c>
      <c r="H33" s="153"/>
    </row>
    <row r="34" spans="2:8" x14ac:dyDescent="0.3">
      <c r="B34" s="72" t="s">
        <v>146</v>
      </c>
      <c r="C34" s="77" t="s">
        <v>107</v>
      </c>
      <c r="D34" s="74">
        <v>280000</v>
      </c>
      <c r="E34" s="75" t="b">
        <f t="shared" ref="E34" si="18">AND(LEFT(C34,1)="$",RIGHT(C34,2)&lt;&gt;"24")</f>
        <v>0</v>
      </c>
      <c r="F34" s="75" t="str">
        <f t="shared" si="17"/>
        <v>$ June 2024</v>
      </c>
      <c r="G34" s="74" cm="1">
        <f t="array" ref="G34">IF(E34,D34*INDEX('Reg Assumptions '!$E$23:$K$23,,MATCH(RIGHT(C34,2),RIGHT('Reg Assumptions '!$E$22:$K$22,2),0)),D34)</f>
        <v>280000</v>
      </c>
      <c r="H34" s="153"/>
    </row>
    <row r="35" spans="2:8" x14ac:dyDescent="0.3">
      <c r="B35" s="72" t="s">
        <v>157</v>
      </c>
      <c r="C35" s="77" t="s">
        <v>107</v>
      </c>
      <c r="D35" s="74">
        <v>340000</v>
      </c>
      <c r="E35" s="75" t="b">
        <f t="shared" ref="E35" si="19">AND(LEFT(C35,1)="$",RIGHT(C35,2)&lt;&gt;"24")</f>
        <v>0</v>
      </c>
      <c r="F35" s="75" t="str">
        <f t="shared" si="17"/>
        <v>$ June 2024</v>
      </c>
      <c r="G35" s="74" cm="1">
        <f t="array" ref="G35">IF(E35,D35*INDEX('Reg Assumptions '!$E$23:$K$23,,MATCH(RIGHT(C35,2),RIGHT('Reg Assumptions '!$E$22:$K$22,2),0)),D35)</f>
        <v>340000</v>
      </c>
      <c r="H35" s="153"/>
    </row>
    <row r="36" spans="2:8" x14ac:dyDescent="0.3">
      <c r="B36" s="71" t="s">
        <v>128</v>
      </c>
      <c r="H36" s="153"/>
    </row>
    <row r="37" spans="2:8" x14ac:dyDescent="0.3">
      <c r="B37" s="72" t="s">
        <v>129</v>
      </c>
      <c r="C37" s="77" t="s">
        <v>206</v>
      </c>
      <c r="D37" s="74">
        <v>5300000</v>
      </c>
      <c r="E37" s="75" t="b">
        <f>AND(LEFT(C37,1)="$",RIGHT(C37,2)&lt;&gt;"24")</f>
        <v>1</v>
      </c>
      <c r="F37" s="75" t="str">
        <f t="shared" ref="F37" si="20">IF(E37,"$ June 2024",C37)</f>
        <v>$ June 2024</v>
      </c>
      <c r="G37" s="74" cm="1">
        <f t="array" ref="G37">IF(E37,D37*INDEX('Reg Assumptions '!$E$23:$K$23,,MATCH(RIGHT(C37,2),RIGHT('Reg Assumptions '!$E$22:$K$22,2),0)),D37)</f>
        <v>5940414.4210879449</v>
      </c>
      <c r="H37" s="153"/>
    </row>
    <row r="38" spans="2:8" x14ac:dyDescent="0.3">
      <c r="B38" s="72" t="s">
        <v>130</v>
      </c>
      <c r="C38" s="73"/>
      <c r="D38" s="74">
        <v>3</v>
      </c>
      <c r="E38" s="75" t="b">
        <f t="shared" ref="E38" si="21">AND(LEFT(C38,1)="$",RIGHT(C38,2)&lt;&gt;"24")</f>
        <v>0</v>
      </c>
      <c r="F38" s="75"/>
      <c r="G38" s="74" cm="1">
        <f t="array" ref="G38">IF(E38,D38*INDEX('Reg Assumptions '!$E$23:$K$23,,MATCH(RIGHT(C38,2),RIGHT('Reg Assumptions '!$E$22:$K$22,2),0)),D38)</f>
        <v>3</v>
      </c>
      <c r="H38" s="153"/>
    </row>
    <row r="39" spans="2:8" x14ac:dyDescent="0.3">
      <c r="B39" s="72" t="s">
        <v>134</v>
      </c>
      <c r="C39" s="73" t="s">
        <v>90</v>
      </c>
      <c r="D39" s="76">
        <v>0.01</v>
      </c>
      <c r="E39" s="75" t="b">
        <f>AND(LEFT(C39,1)="$",RIGHT(C39,2)&lt;&gt;"24")</f>
        <v>0</v>
      </c>
      <c r="F39" s="75" t="str">
        <f t="shared" ref="F39:F43" si="22">IF(OR(E39,LEFT(C39,1)="$"),"$ June 2024",C39)</f>
        <v>%</v>
      </c>
      <c r="G39" s="76" cm="1">
        <f t="array" ref="G39">IF(E39,D39*INDEX('Reg Assumptions '!$E$23:$K$23,,MATCH(RIGHT(C39,2),RIGHT('Reg Assumptions '!$E$22:$K$22,2),0)),D39)</f>
        <v>0.01</v>
      </c>
      <c r="H39" s="153"/>
    </row>
    <row r="40" spans="2:8" x14ac:dyDescent="0.3">
      <c r="B40" s="72" t="s">
        <v>131</v>
      </c>
      <c r="C40" s="73" t="s">
        <v>90</v>
      </c>
      <c r="D40" s="76">
        <v>0.01</v>
      </c>
      <c r="E40" s="75" t="b">
        <f t="shared" ref="E40" si="23">AND(LEFT(C40,1)="$",RIGHT(C40,2)&lt;&gt;"24")</f>
        <v>0</v>
      </c>
      <c r="F40" s="75" t="str">
        <f t="shared" si="22"/>
        <v>%</v>
      </c>
      <c r="G40" s="76" cm="1">
        <f t="array" ref="G40">IF(E40,D40*INDEX('Reg Assumptions '!$E$23:$K$23,,MATCH(RIGHT(C40,2),RIGHT('Reg Assumptions '!$E$22:$K$22,2),0)),D40)</f>
        <v>0.01</v>
      </c>
      <c r="H40" s="153"/>
    </row>
    <row r="41" spans="2:8" x14ac:dyDescent="0.3">
      <c r="B41" s="72" t="s">
        <v>219</v>
      </c>
      <c r="C41" s="73" t="s">
        <v>90</v>
      </c>
      <c r="D41" s="76">
        <v>0.01</v>
      </c>
      <c r="E41" s="75" t="b">
        <f>AND(LEFT(C41,1)="$",RIGHT(C41,2)&lt;&gt;"24")</f>
        <v>0</v>
      </c>
      <c r="F41" s="75" t="str">
        <f t="shared" si="22"/>
        <v>%</v>
      </c>
      <c r="G41" s="76" cm="1">
        <f t="array" ref="G41">IF(E41,D41*INDEX('Reg Assumptions '!$E$23:$K$23,,MATCH(RIGHT(C41,2),RIGHT('Reg Assumptions '!$E$22:$K$22,2),0)),D41)</f>
        <v>0.01</v>
      </c>
      <c r="H41" s="153"/>
    </row>
    <row r="42" spans="2:8" x14ac:dyDescent="0.3">
      <c r="B42" s="72" t="s">
        <v>218</v>
      </c>
      <c r="C42" s="73" t="s">
        <v>90</v>
      </c>
      <c r="D42" s="76">
        <v>4.0000000000000001E-3</v>
      </c>
      <c r="E42" s="75" t="b">
        <f>AND(LEFT(C42,1)="$",RIGHT(C42,2)&lt;&gt;"24")</f>
        <v>0</v>
      </c>
      <c r="F42" s="75" t="str">
        <f t="shared" ref="F42" si="24">IF(OR(E42,LEFT(C42,1)="$"),"$ June 2024",C42)</f>
        <v>%</v>
      </c>
      <c r="G42" s="76" cm="1">
        <f t="array" ref="G42">IF(E42,D42*INDEX('Reg Assumptions '!$E$23:$K$23,,MATCH(RIGHT(C42,2),RIGHT('Reg Assumptions '!$E$22:$K$22,2),0)),D42)</f>
        <v>4.0000000000000001E-3</v>
      </c>
      <c r="H42" s="153"/>
    </row>
    <row r="43" spans="2:8" x14ac:dyDescent="0.3">
      <c r="B43" s="72" t="s">
        <v>158</v>
      </c>
      <c r="C43" s="77" t="s">
        <v>107</v>
      </c>
      <c r="D43" s="74">
        <v>570000</v>
      </c>
      <c r="E43" s="75" t="b">
        <f>AND(LEFT(C43,1)="$",RIGHT(C43,2)&lt;&gt;"24")</f>
        <v>0</v>
      </c>
      <c r="F43" s="75" t="str">
        <f t="shared" si="22"/>
        <v>$ June 2024</v>
      </c>
      <c r="G43" s="74" cm="1">
        <f t="array" ref="G43">IF(E43,D43*INDEX('Reg Assumptions '!$E$23:$K$23,,MATCH(RIGHT(C43,2),RIGHT('Reg Assumptions '!$E$22:$K$22,2),0)),D43)</f>
        <v>570000</v>
      </c>
      <c r="H43" s="153"/>
    </row>
    <row r="44" spans="2:8" x14ac:dyDescent="0.3">
      <c r="B44" s="71" t="s">
        <v>153</v>
      </c>
      <c r="H44" s="153"/>
    </row>
    <row r="45" spans="2:8" x14ac:dyDescent="0.3">
      <c r="B45" s="72" t="s">
        <v>154</v>
      </c>
      <c r="C45" s="73" t="s">
        <v>90</v>
      </c>
      <c r="D45" s="76">
        <v>8.0000000000000002E-3</v>
      </c>
      <c r="E45" s="75" t="b">
        <f t="shared" ref="E45:E46" si="25">AND(LEFT(C45,1)="$",RIGHT(C45,2)&lt;&gt;"24")</f>
        <v>0</v>
      </c>
      <c r="F45" s="75" t="str">
        <f t="shared" ref="F45:F47" si="26">IF(OR(E45,LEFT(C45,1)="$"),"$ June 2024",C45)</f>
        <v>%</v>
      </c>
      <c r="G45" s="76" cm="1">
        <f t="array" ref="G45">IF(E45,D45*INDEX('Reg Assumptions '!$E$23:$K$23,,MATCH(RIGHT(C45,2),RIGHT('Reg Assumptions '!$E$22:$K$22,2),0)),D45)</f>
        <v>8.0000000000000002E-3</v>
      </c>
      <c r="H45" s="153"/>
    </row>
    <row r="46" spans="2:8" x14ac:dyDescent="0.3">
      <c r="B46" s="72" t="s">
        <v>155</v>
      </c>
      <c r="C46" s="73" t="s">
        <v>89</v>
      </c>
      <c r="D46" s="74">
        <f>114/14</f>
        <v>8.1428571428571423</v>
      </c>
      <c r="E46" s="75" t="b">
        <f t="shared" si="25"/>
        <v>0</v>
      </c>
      <c r="F46" s="75" t="str">
        <f t="shared" si="26"/>
        <v>#</v>
      </c>
      <c r="G46" s="74" cm="1">
        <f t="array" ref="G46">IF(E46,D46*INDEX('Reg Assumptions '!$E$23:$K$23,,MATCH(RIGHT(C46,2),RIGHT('Reg Assumptions '!$E$22:$K$22,2),0)),D46)</f>
        <v>8.1428571428571423</v>
      </c>
      <c r="H46" s="153"/>
    </row>
    <row r="47" spans="2:8" x14ac:dyDescent="0.3">
      <c r="B47" s="72" t="s">
        <v>156</v>
      </c>
      <c r="C47" s="77" t="s">
        <v>107</v>
      </c>
      <c r="D47" s="74">
        <v>15000</v>
      </c>
      <c r="E47" s="75" t="b">
        <f>AND(LEFT(C47,1)="$",RIGHT(C47,2)&lt;&gt;"24")</f>
        <v>0</v>
      </c>
      <c r="F47" s="75" t="str">
        <f t="shared" si="26"/>
        <v>$ June 2024</v>
      </c>
      <c r="G47" s="74" cm="1">
        <f t="array" ref="G47">IF(E47,D47*INDEX('Reg Assumptions '!$E$23:$K$23,,MATCH(RIGHT(C47,2),RIGHT('Reg Assumptions '!$E$22:$K$22,2),0)),D47)</f>
        <v>15000</v>
      </c>
      <c r="H47" s="153"/>
    </row>
    <row r="48" spans="2:8" x14ac:dyDescent="0.3">
      <c r="B48" s="71" t="s">
        <v>165</v>
      </c>
      <c r="H48" s="153"/>
    </row>
    <row r="49" spans="2:8" x14ac:dyDescent="0.3">
      <c r="B49" s="72" t="s">
        <v>166</v>
      </c>
      <c r="C49" s="73" t="s">
        <v>90</v>
      </c>
      <c r="D49" s="76">
        <v>8.0000000000000002E-3</v>
      </c>
      <c r="E49" s="75" t="b">
        <f t="shared" ref="E49:E50" si="27">AND(LEFT(C49,1)="$",RIGHT(C49,2)&lt;&gt;"24")</f>
        <v>0</v>
      </c>
      <c r="F49" s="75" t="str">
        <f t="shared" ref="F49:F55" si="28">IF(OR(E49,LEFT(C49,1)="$"),"$ June 2024",C49)</f>
        <v>%</v>
      </c>
      <c r="G49" s="76" cm="1">
        <f t="array" ref="G49">IF(E49,D49*INDEX('Reg Assumptions '!$E$23:$K$23,,MATCH(RIGHT(C49,2),RIGHT('Reg Assumptions '!$E$22:$K$22,2),0)),D49)</f>
        <v>8.0000000000000002E-3</v>
      </c>
      <c r="H49" s="153"/>
    </row>
    <row r="50" spans="2:8" x14ac:dyDescent="0.3">
      <c r="B50" s="72" t="s">
        <v>167</v>
      </c>
      <c r="C50" s="77" t="s">
        <v>107</v>
      </c>
      <c r="D50" s="74">
        <v>280000</v>
      </c>
      <c r="E50" s="75" t="b">
        <f t="shared" si="27"/>
        <v>0</v>
      </c>
      <c r="F50" s="75" t="str">
        <f t="shared" si="28"/>
        <v>$ June 2024</v>
      </c>
      <c r="G50" s="74" cm="1">
        <f t="array" ref="G50">IF(E50,D50*INDEX('Reg Assumptions '!$E$23:$K$23,,MATCH(RIGHT(C50,2),RIGHT('Reg Assumptions '!$E$22:$K$22,2),0)),D50)</f>
        <v>280000</v>
      </c>
      <c r="H50" s="153"/>
    </row>
    <row r="51" spans="2:8" x14ac:dyDescent="0.3">
      <c r="B51" s="72" t="s">
        <v>168</v>
      </c>
      <c r="C51" s="73" t="s">
        <v>89</v>
      </c>
      <c r="D51" s="74">
        <v>12</v>
      </c>
      <c r="E51" s="75" t="b">
        <f>AND(LEFT(C51,1)="$",RIGHT(C51,2)&lt;&gt;"24")</f>
        <v>0</v>
      </c>
      <c r="F51" s="75" t="str">
        <f t="shared" si="28"/>
        <v>#</v>
      </c>
      <c r="G51" s="74" cm="1">
        <f t="array" ref="G51">IF(E51,D51*INDEX('Reg Assumptions '!$E$23:$K$23,,MATCH(RIGHT(C51,2),RIGHT('Reg Assumptions '!$E$22:$K$22,2),0)),D51)</f>
        <v>12</v>
      </c>
      <c r="H51" s="153"/>
    </row>
    <row r="52" spans="2:8" x14ac:dyDescent="0.3">
      <c r="B52" s="72" t="s">
        <v>169</v>
      </c>
      <c r="C52" s="77" t="s">
        <v>107</v>
      </c>
      <c r="D52" s="74">
        <v>6000</v>
      </c>
      <c r="E52" s="75" t="b">
        <f>AND(LEFT(C52,1)="$",RIGHT(C52,2)&lt;&gt;"24")</f>
        <v>0</v>
      </c>
      <c r="F52" s="75" t="str">
        <f t="shared" si="28"/>
        <v>$ June 2024</v>
      </c>
      <c r="G52" s="74" cm="1">
        <f t="array" ref="G52">IF(E52,D52*INDEX('Reg Assumptions '!$E$23:$K$23,,MATCH(RIGHT(C52,2),RIGHT('Reg Assumptions '!$E$22:$K$22,2),0)),D52)</f>
        <v>6000</v>
      </c>
      <c r="H52" s="153"/>
    </row>
    <row r="53" spans="2:8" x14ac:dyDescent="0.3">
      <c r="B53" s="72" t="s">
        <v>170</v>
      </c>
      <c r="C53" s="77" t="s">
        <v>107</v>
      </c>
      <c r="D53" s="74">
        <v>575000</v>
      </c>
      <c r="E53" s="75" t="b">
        <f>AND(LEFT(C53,1)="$",RIGHT(C53,2)&lt;&gt;"24")</f>
        <v>0</v>
      </c>
      <c r="F53" s="75" t="str">
        <f t="shared" si="28"/>
        <v>$ June 2024</v>
      </c>
      <c r="G53" s="74" cm="1">
        <f t="array" ref="G53">IF(E53,D53*INDEX('Reg Assumptions '!$E$23:$K$23,,MATCH(RIGHT(C53,2),RIGHT('Reg Assumptions '!$E$22:$K$22,2),0)),D53)</f>
        <v>575000</v>
      </c>
      <c r="H53" s="153"/>
    </row>
    <row r="54" spans="2:8" x14ac:dyDescent="0.3">
      <c r="B54" s="72" t="s">
        <v>171</v>
      </c>
      <c r="C54" s="73" t="s">
        <v>173</v>
      </c>
      <c r="D54" s="74">
        <v>15</v>
      </c>
      <c r="E54" s="75" t="b">
        <f>AND(LEFT(C54,1)="$",RIGHT(C54,2)&lt;&gt;"24")</f>
        <v>0</v>
      </c>
      <c r="F54" s="75" t="str">
        <f t="shared" si="28"/>
        <v>years</v>
      </c>
      <c r="G54" s="74" cm="1">
        <f t="array" ref="G54">IF(E54,D54*INDEX('Reg Assumptions '!$E$23:$K$23,,MATCH(RIGHT(C54,2),RIGHT('Reg Assumptions '!$E$22:$K$22,2),0)),D54)</f>
        <v>15</v>
      </c>
      <c r="H54" s="153"/>
    </row>
    <row r="55" spans="2:8" x14ac:dyDescent="0.3">
      <c r="B55" s="72" t="s">
        <v>172</v>
      </c>
      <c r="C55" s="73" t="s">
        <v>173</v>
      </c>
      <c r="D55" s="74">
        <v>12</v>
      </c>
      <c r="E55" s="75" t="b">
        <f>AND(LEFT(C55,1)="$",RIGHT(C55,2)&lt;&gt;"24")</f>
        <v>0</v>
      </c>
      <c r="F55" s="75" t="str">
        <f t="shared" si="28"/>
        <v>years</v>
      </c>
      <c r="G55" s="74" cm="1">
        <f t="array" ref="G55">IF(E55,D55*INDEX('Reg Assumptions '!$E$23:$K$23,,MATCH(RIGHT(C55,2),RIGHT('Reg Assumptions '!$E$22:$K$22,2),0)),D55)</f>
        <v>12</v>
      </c>
      <c r="H55" s="153"/>
    </row>
    <row r="56" spans="2:8" x14ac:dyDescent="0.3">
      <c r="H56" s="153"/>
    </row>
    <row r="57" spans="2:8" x14ac:dyDescent="0.3">
      <c r="H57" s="1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0EB-C321-45BB-AFCD-D61DB74780DD}">
  <sheetPr codeName="Sheet2">
    <tabColor theme="0" tint="-0.499984740745262"/>
    <outlinePr summaryBelow="0" summaryRight="0"/>
  </sheetPr>
  <dimension ref="A1:AF84"/>
  <sheetViews>
    <sheetView showGridLines="0" workbookViewId="0">
      <selection activeCell="E27" sqref="E27"/>
    </sheetView>
  </sheetViews>
  <sheetFormatPr defaultColWidth="9" defaultRowHeight="15" customHeight="1" x14ac:dyDescent="0.35"/>
  <cols>
    <col min="1" max="1" width="22.1796875" style="3" customWidth="1"/>
    <col min="2" max="2" width="16.453125" style="3" customWidth="1"/>
    <col min="3" max="3" width="13" style="3" bestFit="1" customWidth="1"/>
    <col min="4" max="4" width="8.453125" style="3" customWidth="1"/>
    <col min="5" max="7" width="7.453125" style="3" bestFit="1" customWidth="1"/>
    <col min="8" max="8" width="8" style="3" bestFit="1" customWidth="1"/>
    <col min="9" max="9" width="10.1796875" style="3" customWidth="1"/>
    <col min="10" max="16384" width="9" style="3"/>
  </cols>
  <sheetData>
    <row r="1" spans="1:32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1" t="s">
        <v>0</v>
      </c>
      <c r="I1" s="2" t="s">
        <v>1</v>
      </c>
    </row>
    <row r="2" spans="1:32" ht="15.5" x14ac:dyDescent="0.35">
      <c r="A2" s="7" t="s">
        <v>3</v>
      </c>
      <c r="B2" s="8"/>
      <c r="C2" s="8"/>
      <c r="D2" s="8"/>
      <c r="E2" s="8"/>
      <c r="F2" s="8"/>
      <c r="G2" s="8"/>
      <c r="H2" s="5"/>
      <c r="I2" s="6" t="s">
        <v>2</v>
      </c>
    </row>
    <row r="3" spans="1:32" s="10" customFormat="1" ht="14.5" x14ac:dyDescent="0.35">
      <c r="A3" s="11" t="s">
        <v>5</v>
      </c>
      <c r="B3" s="12" t="s">
        <v>6</v>
      </c>
      <c r="C3" s="11" t="s">
        <v>7</v>
      </c>
      <c r="D3" s="11" t="s">
        <v>8</v>
      </c>
      <c r="E3" s="3"/>
      <c r="F3" s="3"/>
      <c r="G3" s="3"/>
      <c r="H3" s="3"/>
      <c r="I3" s="9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5" x14ac:dyDescent="0.35">
      <c r="A4" s="11"/>
      <c r="B4" s="12"/>
      <c r="C4" s="11"/>
      <c r="D4" s="11"/>
    </row>
    <row r="5" spans="1:32" ht="14.5" x14ac:dyDescent="0.35">
      <c r="A5" s="13" t="s">
        <v>9</v>
      </c>
      <c r="B5" s="14" t="s">
        <v>209</v>
      </c>
      <c r="C5" s="12"/>
      <c r="D5" s="12"/>
      <c r="E5" s="13"/>
      <c r="F5" s="13"/>
      <c r="G5" s="13"/>
      <c r="H5" s="13"/>
      <c r="I5" s="13"/>
    </row>
    <row r="6" spans="1:32" s="13" customFormat="1" ht="13" x14ac:dyDescent="0.3">
      <c r="A6" s="12"/>
      <c r="B6" s="12"/>
      <c r="C6" s="12"/>
      <c r="D6" s="12"/>
    </row>
    <row r="7" spans="1:32" s="13" customFormat="1" ht="13" x14ac:dyDescent="0.3">
      <c r="A7" s="13" t="s">
        <v>45</v>
      </c>
      <c r="B7" s="15" t="s">
        <v>210</v>
      </c>
      <c r="C7" s="12"/>
      <c r="D7" s="12"/>
    </row>
    <row r="8" spans="1:32" s="13" customFormat="1" ht="13" x14ac:dyDescent="0.3">
      <c r="A8" s="12"/>
      <c r="B8" s="16"/>
      <c r="C8" s="12"/>
      <c r="D8" s="12"/>
    </row>
    <row r="9" spans="1:32" s="13" customFormat="1" ht="13" x14ac:dyDescent="0.3">
      <c r="A9" s="17" t="s">
        <v>10</v>
      </c>
      <c r="B9" s="59">
        <v>45473</v>
      </c>
      <c r="C9" s="60"/>
      <c r="D9" s="12"/>
    </row>
    <row r="10" spans="1:32" s="13" customFormat="1" ht="13" x14ac:dyDescent="0.3">
      <c r="A10" s="17"/>
      <c r="B10" s="18"/>
      <c r="C10" s="12"/>
      <c r="D10" s="12"/>
    </row>
    <row r="11" spans="1:32" s="13" customFormat="1" ht="13" x14ac:dyDescent="0.3">
      <c r="A11" s="17" t="s">
        <v>48</v>
      </c>
      <c r="B11" s="59">
        <v>46203</v>
      </c>
      <c r="C11" s="12"/>
      <c r="D11" s="12"/>
    </row>
    <row r="12" spans="1:32" s="13" customFormat="1" ht="13" x14ac:dyDescent="0.3">
      <c r="A12" s="17"/>
      <c r="B12" s="18"/>
      <c r="C12" s="12"/>
      <c r="D12" s="12"/>
    </row>
    <row r="13" spans="1:32" s="13" customFormat="1" ht="13" x14ac:dyDescent="0.3">
      <c r="A13" s="17"/>
      <c r="B13" s="18"/>
      <c r="C13" s="12"/>
      <c r="D13" s="12"/>
    </row>
    <row r="14" spans="1:32" s="13" customFormat="1" ht="14.5" customHeight="1" x14ac:dyDescent="0.3">
      <c r="A14" s="17" t="s">
        <v>42</v>
      </c>
      <c r="B14" s="15" t="s">
        <v>41</v>
      </c>
      <c r="C14" s="155" t="s">
        <v>43</v>
      </c>
      <c r="D14" s="156"/>
      <c r="E14" s="156"/>
      <c r="F14" s="157"/>
    </row>
    <row r="15" spans="1:32" s="13" customFormat="1" ht="13" x14ac:dyDescent="0.3">
      <c r="A15" s="17"/>
      <c r="B15" s="15" t="s">
        <v>21</v>
      </c>
      <c r="C15" s="155" t="s">
        <v>211</v>
      </c>
      <c r="D15" s="156"/>
      <c r="E15" s="156"/>
      <c r="F15" s="157"/>
    </row>
    <row r="16" spans="1:32" s="13" customFormat="1" ht="13" x14ac:dyDescent="0.3">
      <c r="A16" s="17"/>
      <c r="B16" s="15" t="s">
        <v>38</v>
      </c>
      <c r="C16" s="155" t="s">
        <v>212</v>
      </c>
      <c r="D16" s="156"/>
      <c r="E16" s="156"/>
      <c r="F16" s="157"/>
    </row>
    <row r="17" spans="1:12" s="13" customFormat="1" ht="13" x14ac:dyDescent="0.3">
      <c r="A17" s="17"/>
      <c r="B17" s="18"/>
      <c r="C17" s="12"/>
      <c r="D17" s="12"/>
    </row>
    <row r="18" spans="1:12" s="13" customFormat="1" ht="13" x14ac:dyDescent="0.3">
      <c r="A18" s="17"/>
      <c r="B18" s="18"/>
      <c r="C18" s="12"/>
      <c r="D18" s="12"/>
    </row>
    <row r="19" spans="1:12" s="13" customFormat="1" ht="13" x14ac:dyDescent="0.3">
      <c r="A19" s="17"/>
      <c r="B19" s="18"/>
      <c r="C19" s="12"/>
      <c r="D19" s="12"/>
    </row>
    <row r="20" spans="1:12" s="13" customFormat="1" ht="13" x14ac:dyDescent="0.3">
      <c r="A20" s="18" t="s">
        <v>12</v>
      </c>
      <c r="B20" s="19">
        <v>3.5000000000000003E-2</v>
      </c>
      <c r="C20" s="18"/>
      <c r="D20" s="12"/>
    </row>
    <row r="21" spans="1:12" s="13" customFormat="1" ht="13" x14ac:dyDescent="0.3">
      <c r="A21" s="17"/>
      <c r="B21" s="18"/>
      <c r="C21" s="12"/>
      <c r="D21" s="12"/>
    </row>
    <row r="22" spans="1:12" s="13" customFormat="1" ht="13" x14ac:dyDescent="0.3">
      <c r="A22" s="20" t="s">
        <v>16</v>
      </c>
      <c r="B22" s="20"/>
      <c r="C22" s="20"/>
      <c r="D22" s="21"/>
      <c r="E22" s="22" t="s">
        <v>101</v>
      </c>
      <c r="F22" s="22" t="s">
        <v>100</v>
      </c>
      <c r="G22" s="22" t="s">
        <v>99</v>
      </c>
      <c r="H22" s="22" t="s">
        <v>17</v>
      </c>
      <c r="I22" s="22" t="s">
        <v>11</v>
      </c>
      <c r="J22" s="22" t="s">
        <v>18</v>
      </c>
      <c r="K22" s="22" t="s">
        <v>19</v>
      </c>
      <c r="L22" s="22"/>
    </row>
    <row r="23" spans="1:12" s="13" customFormat="1" ht="14.5" x14ac:dyDescent="0.35">
      <c r="A23" s="23" t="s">
        <v>207</v>
      </c>
      <c r="B23" s="24"/>
      <c r="C23" s="25"/>
      <c r="D23" s="26"/>
      <c r="E23" s="95">
        <v>1.1393728222996515</v>
      </c>
      <c r="F23" s="95">
        <v>1.1256454388984509</v>
      </c>
      <c r="G23" s="95">
        <v>1.1208329096392349</v>
      </c>
      <c r="H23" s="95">
        <v>1.0970174547072133</v>
      </c>
      <c r="I23" s="95">
        <v>1.0384210221730945</v>
      </c>
      <c r="J23" s="95">
        <v>0.98033568003757787</v>
      </c>
      <c r="K23" s="95">
        <v>0.94695863030043814</v>
      </c>
      <c r="L23" s="89"/>
    </row>
    <row r="24" spans="1:12" s="13" customFormat="1" ht="14.5" x14ac:dyDescent="0.35">
      <c r="A24" s="90" t="s">
        <v>208</v>
      </c>
      <c r="B24" s="91"/>
      <c r="C24" s="92"/>
      <c r="D24" s="93"/>
      <c r="E24" s="95">
        <v>1.2211062717770027</v>
      </c>
      <c r="F24" s="95">
        <v>1.2063941480206533</v>
      </c>
      <c r="G24" s="95">
        <v>1.2012363896938592</v>
      </c>
      <c r="H24" s="94">
        <v>1.1757125218136175</v>
      </c>
      <c r="I24" s="95">
        <v>1.1129126464165966</v>
      </c>
      <c r="J24" s="95">
        <v>1.050660524730181</v>
      </c>
      <c r="K24" s="95">
        <v>1.014889156509222</v>
      </c>
      <c r="L24" s="27"/>
    </row>
    <row r="25" spans="1:12" s="13" customFormat="1" ht="13" x14ac:dyDescent="0.3">
      <c r="A25" s="18"/>
      <c r="B25" s="18"/>
      <c r="C25" s="28"/>
      <c r="D25" s="30"/>
      <c r="E25" s="28"/>
      <c r="F25" s="28"/>
      <c r="G25" s="28"/>
      <c r="H25" s="28"/>
      <c r="I25" s="29"/>
    </row>
    <row r="26" spans="1:12" s="18" customFormat="1" ht="13" x14ac:dyDescent="0.3">
      <c r="A26" s="17" t="s">
        <v>20</v>
      </c>
      <c r="C26" s="31">
        <f>INDEX($H$24:$K$24,MATCH(TEXT(input_dollars-365,"yyyy")&amp;"/"&amp;TEXT(input_dollars,"yy"),$H$22:$K$22))</f>
        <v>1.1129126464165966</v>
      </c>
    </row>
    <row r="27" spans="1:12" s="18" customFormat="1" ht="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2" s="18" customFormat="1" ht="13" x14ac:dyDescent="0.3">
      <c r="A28" s="17"/>
    </row>
    <row r="29" spans="1:12" s="18" customFormat="1" ht="14.5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12" ht="12.75" customHeight="1" x14ac:dyDescent="0.35"/>
    <row r="31" spans="1:12" ht="12.75" customHeight="1" x14ac:dyDescent="0.35">
      <c r="B31" s="63"/>
      <c r="C31" s="63"/>
      <c r="D31" s="63"/>
      <c r="E31" s="101"/>
      <c r="F31" s="101"/>
      <c r="G31" s="151"/>
    </row>
    <row r="32" spans="1:12" ht="12.75" customHeight="1" x14ac:dyDescent="0.35">
      <c r="B32" s="63"/>
      <c r="C32" s="63"/>
      <c r="D32" s="63"/>
      <c r="E32" s="101"/>
      <c r="F32" s="101"/>
      <c r="G32" s="151"/>
    </row>
    <row r="33" spans="2:7" ht="12.75" customHeight="1" x14ac:dyDescent="0.35">
      <c r="B33" s="63"/>
      <c r="C33" s="63"/>
      <c r="D33" s="63"/>
      <c r="E33" s="101"/>
      <c r="F33" s="101"/>
      <c r="G33" s="151"/>
    </row>
    <row r="34" spans="2:7" ht="12.75" customHeight="1" x14ac:dyDescent="0.35">
      <c r="B34" s="63"/>
      <c r="C34" s="63"/>
      <c r="D34" s="63"/>
      <c r="E34" s="101"/>
      <c r="F34" s="101"/>
      <c r="G34" s="151"/>
    </row>
    <row r="35" spans="2:7" ht="12.75" customHeight="1" x14ac:dyDescent="0.35">
      <c r="B35" s="63"/>
      <c r="C35" s="63"/>
      <c r="D35" s="63"/>
      <c r="E35" s="151"/>
      <c r="F35" s="101"/>
      <c r="G35" s="151"/>
    </row>
    <row r="36" spans="2:7" ht="12.75" customHeight="1" x14ac:dyDescent="0.35">
      <c r="B36" s="63"/>
      <c r="C36" s="63"/>
      <c r="D36" s="63"/>
      <c r="E36" s="151"/>
      <c r="F36" s="101"/>
    </row>
    <row r="37" spans="2:7" ht="12.75" customHeight="1" x14ac:dyDescent="0.35">
      <c r="B37" s="63"/>
      <c r="C37" s="63"/>
      <c r="D37" s="63"/>
      <c r="E37" s="151"/>
      <c r="F37" s="101"/>
    </row>
    <row r="38" spans="2:7" ht="12.75" customHeight="1" x14ac:dyDescent="0.35">
      <c r="E38" s="151"/>
    </row>
    <row r="39" spans="2:7" ht="12.75" customHeight="1" x14ac:dyDescent="0.35">
      <c r="E39" s="151"/>
    </row>
    <row r="40" spans="2:7" ht="12.75" customHeight="1" x14ac:dyDescent="0.35"/>
    <row r="41" spans="2:7" ht="12.75" customHeight="1" x14ac:dyDescent="0.35"/>
    <row r="42" spans="2:7" ht="12.75" customHeight="1" x14ac:dyDescent="0.35"/>
    <row r="43" spans="2:7" ht="12.75" customHeight="1" x14ac:dyDescent="0.35"/>
    <row r="44" spans="2:7" ht="12.75" customHeight="1" x14ac:dyDescent="0.35"/>
    <row r="45" spans="2:7" ht="12.75" customHeight="1" x14ac:dyDescent="0.35"/>
    <row r="46" spans="2:7" ht="12.75" customHeight="1" x14ac:dyDescent="0.35"/>
    <row r="47" spans="2:7" ht="12.75" customHeight="1" x14ac:dyDescent="0.35"/>
    <row r="48" spans="2:7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</sheetData>
  <sortState xmlns:xlrd2="http://schemas.microsoft.com/office/spreadsheetml/2017/richdata2" ref="B31:F37">
    <sortCondition descending="1" ref="F31:F37"/>
  </sortState>
  <mergeCells count="3">
    <mergeCell ref="C14:F14"/>
    <mergeCell ref="C15:F15"/>
    <mergeCell ref="C16:F16"/>
  </mergeCells>
  <dataValidations count="1">
    <dataValidation type="list" allowBlank="1" showInputMessage="1" showErrorMessage="1" sqref="B5" xr:uid="{2B617FEC-E3BC-42D6-B441-07D4163472D7}">
      <formula1>"CitiPower, Powercor, United Energy"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F3DE075E473244B5E4386B94160962" ma:contentTypeVersion="4" ma:contentTypeDescription="Create a new document." ma:contentTypeScope="" ma:versionID="1ff23c5059180ba69e5db7c494b4031e">
  <xsd:schema xmlns:xsd="http://www.w3.org/2001/XMLSchema" xmlns:xs="http://www.w3.org/2001/XMLSchema" xmlns:p="http://schemas.microsoft.com/office/2006/metadata/properties" xmlns:ns2="9afa79bc-5a61-40ae-a213-d0d9fd096805" targetNamespace="http://schemas.microsoft.com/office/2006/metadata/properties" ma:root="true" ma:fieldsID="7a168ca6ca0f96ac1ba0d7fea861684e" ns2:_="">
    <xsd:import namespace="9afa79bc-5a61-40ae-a213-d0d9fd096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a79bc-5a61-40ae-a213-d0d9fd096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E14C9-3327-44A0-ACC7-25452829E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a79bc-5a61-40ae-a213-d0d9fd096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2F5AF-639F-4297-852A-6DBA25876ED4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afa79bc-5a61-40ae-a213-d0d9fd096805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8612A2-59A2-4B06-AD67-4EE5995EC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Summary</vt:lpstr>
      <vt:lpstr>Options Analysis</vt:lpstr>
      <vt:lpstr>Costs</vt:lpstr>
      <vt:lpstr>Risks</vt:lpstr>
      <vt:lpstr>Risk Assumptions</vt:lpstr>
      <vt:lpstr>Reg Assumptions </vt:lpstr>
      <vt:lpstr>business</vt:lpstr>
      <vt:lpstr>esc_24_26</vt:lpstr>
      <vt:lpstr>input_dollars</vt:lpstr>
      <vt:lpstr>model_name</vt:lpstr>
      <vt:lpstr>output_dollars</vt:lpstr>
      <vt:lpstr>pref_option</vt:lpstr>
      <vt:lpstr>real_disc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Jessica</dc:creator>
  <cp:lastModifiedBy>Gibson, Jessica</cp:lastModifiedBy>
  <dcterms:created xsi:type="dcterms:W3CDTF">2025-01-27T00:00:55Z</dcterms:created>
  <dcterms:modified xsi:type="dcterms:W3CDTF">2025-01-29T04:52:09Z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0x010100E9F3DE075E473244B5E4386B94160962</vt:lpwstr>
  </property>
</Properties>
</file>